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K:\SASD\23CAFR\Packages\SIG\"/>
    </mc:Choice>
  </mc:AlternateContent>
  <xr:revisionPtr revIDLastSave="0" documentId="13_ncr:1_{929FB243-969B-4364-9744-7204028B2F07}" xr6:coauthVersionLast="47" xr6:coauthVersionMax="47" xr10:uidLastSave="{00000000-0000-0000-0000-000000000000}"/>
  <bookViews>
    <workbookView xWindow="-28920" yWindow="-120" windowWidth="29040" windowHeight="15720" tabRatio="944" xr2:uid="{00000000-000D-0000-FFFF-FFFF00000000}"/>
  </bookViews>
  <sheets>
    <sheet name="Index" sheetId="21" r:id="rId1"/>
    <sheet name="Dashboard" sheetId="61" r:id="rId2"/>
    <sheet name="Pkg Updates" sheetId="55" r:id="rId3"/>
    <sheet name="ExhA&amp;B" sheetId="1" r:id="rId4"/>
    <sheet name="Capital Assets" sheetId="2" r:id="rId5"/>
    <sheet name="Capital Asset Compilation" sheetId="7" state="hidden" r:id="rId6"/>
    <sheet name="Long-Term Liabilities" sheetId="52" r:id="rId7"/>
    <sheet name="Analytical Review" sheetId="4" r:id="rId8"/>
    <sheet name="101" sheetId="9" r:id="rId9"/>
    <sheet name="110" sheetId="51" r:id="rId10"/>
    <sheet name="120" sheetId="54" r:id="rId11"/>
    <sheet name="215" sheetId="32" r:id="rId12"/>
    <sheet name="220" sheetId="31" r:id="rId13"/>
    <sheet name="301" sheetId="22" r:id="rId14"/>
    <sheet name="302" sheetId="64" r:id="rId15"/>
    <sheet name="303" sheetId="65" r:id="rId16"/>
    <sheet name="323" sheetId="59" r:id="rId17"/>
    <sheet name="345" sheetId="14" r:id="rId18"/>
    <sheet name="350" sheetId="11" r:id="rId19"/>
    <sheet name="355" sheetId="12" r:id="rId20"/>
    <sheet name="360" sheetId="27" r:id="rId21"/>
    <sheet name="425" sheetId="49" r:id="rId22"/>
    <sheet name="430" sheetId="10" r:id="rId23"/>
    <sheet name="520" sheetId="17" r:id="rId24"/>
    <sheet name="525" sheetId="18" r:id="rId25"/>
    <sheet name="530" sheetId="19" r:id="rId26"/>
    <sheet name="602" sheetId="57" r:id="rId27"/>
    <sheet name="610" sheetId="15" r:id="rId28"/>
    <sheet name="616" sheetId="26" r:id="rId29"/>
    <sheet name="625" sheetId="41" r:id="rId30"/>
    <sheet name="Explanations" sheetId="46" r:id="rId31"/>
    <sheet name="Comments" sheetId="28" r:id="rId32"/>
    <sheet name="College Filenames" sheetId="33" r:id="rId33"/>
    <sheet name="Agencies" sheetId="40" r:id="rId34"/>
    <sheet name="ExhA&amp;B-definitions&amp;messages" sheetId="48" state="hidden" r:id="rId35"/>
    <sheet name="CapAssetBegBal" sheetId="25" r:id="rId36"/>
    <sheet name="LTLiabBegBal" sheetId="29" r:id="rId37"/>
    <sheet name="Pension_OPEB EndBal" sheetId="62" r:id="rId38"/>
    <sheet name="RestrDuefromPG" sheetId="24" r:id="rId39"/>
    <sheet name="Fund Equity" sheetId="6" r:id="rId40"/>
    <sheet name="2022PKG" sheetId="50" r:id="rId41"/>
    <sheet name="Datafor5XX" sheetId="56" state="hidden" r:id="rId42"/>
  </sheets>
  <definedNames>
    <definedName name="__Agy301" localSheetId="26">#REF!</definedName>
    <definedName name="__Agy301">#REF!</definedName>
    <definedName name="__AGY305" localSheetId="26">#REF!</definedName>
    <definedName name="__AGY305">#REF!</definedName>
    <definedName name="__AGY310" localSheetId="26">#REF!</definedName>
    <definedName name="__AGY310">#REF!</definedName>
    <definedName name="__Agy501" localSheetId="26">#REF!</definedName>
    <definedName name="__Agy501">#REF!</definedName>
    <definedName name="__Agy510" localSheetId="26">#REF!</definedName>
    <definedName name="__Agy510">#REF!</definedName>
    <definedName name="__Agy515" localSheetId="26">#REF!</definedName>
    <definedName name="__Agy515">#REF!</definedName>
    <definedName name="__Agy520" localSheetId="26">#REF!</definedName>
    <definedName name="__Agy520">#REF!</definedName>
    <definedName name="__Agy525" localSheetId="26">#REF!</definedName>
    <definedName name="__Agy525">#REF!</definedName>
    <definedName name="__Agy530" localSheetId="26">#REF!</definedName>
    <definedName name="__Agy530">#REF!</definedName>
    <definedName name="__FMD320" localSheetId="26">#REF!</definedName>
    <definedName name="__FMD320">#REF!</definedName>
    <definedName name="__OID320" localSheetId="26">#REF!</definedName>
    <definedName name="__OID320">#REF!</definedName>
    <definedName name="__TO320" localSheetId="26">#REF!</definedName>
    <definedName name="__TO320">#REF!</definedName>
    <definedName name="_AGY325" localSheetId="26">#REF!</definedName>
    <definedName name="_AGY325">#REF!</definedName>
    <definedName name="_xlnm._FilterDatabase" localSheetId="3" hidden="1">'ExhA&amp;B'!$A$1:$A$252</definedName>
    <definedName name="_Hlk98233348" localSheetId="13">'301'!$C$46</definedName>
    <definedName name="_Hlk98233348" localSheetId="14">'302'!$C$47</definedName>
    <definedName name="_Hlk98233348" localSheetId="15">'303'!#REF!</definedName>
    <definedName name="_Hlk98237788" localSheetId="13">'301'!$C$49</definedName>
    <definedName name="_Hlk98237788" localSheetId="14">'302'!#REF!</definedName>
    <definedName name="_Hlk98237788" localSheetId="15">'303'!#REF!</definedName>
    <definedName name="_Hlk99373606" localSheetId="13">'301'!$C$55</definedName>
    <definedName name="_Hlk99373606" localSheetId="14">'302'!#REF!</definedName>
    <definedName name="_Hlk99373606" localSheetId="15">'303'!#REF!</definedName>
    <definedName name="AgyIdx" localSheetId="26">#REF!</definedName>
    <definedName name="AgyIdx">#REF!</definedName>
    <definedName name="AgyName" localSheetId="26">#REF!</definedName>
    <definedName name="AgyName">#REF!</definedName>
    <definedName name="AgyNum" localSheetId="26">Agencies!#REF!</definedName>
    <definedName name="AgyNum" localSheetId="2">Agencies!#REF!</definedName>
    <definedName name="AgyNum">Agencies!#REF!</definedName>
    <definedName name="CCAgNo">'College Filenames'!$B$2:$B$59</definedName>
    <definedName name="CCNameTable">'College Filenames'!$D$2:$D$59</definedName>
    <definedName name="CCTable">'College Filenames'!$A$2:$F$59</definedName>
    <definedName name="College_Name">'ExhA&amp;B'!$B$3</definedName>
    <definedName name="College_Number">'ExhA&amp;B'!$B$2</definedName>
    <definedName name="compgasb" localSheetId="26">Agencies!#REF!</definedName>
    <definedName name="compgasb" localSheetId="2">Agencies!#REF!</definedName>
    <definedName name="compgasb">Agencies!#REF!</definedName>
    <definedName name="compname" localSheetId="26">Agencies!#REF!</definedName>
    <definedName name="compname" localSheetId="2">Agencies!#REF!</definedName>
    <definedName name="compname">Agencies!#REF!</definedName>
    <definedName name="compnum" localSheetId="26">Agencies!#REF!</definedName>
    <definedName name="compnum" localSheetId="2">Agencies!#REF!</definedName>
    <definedName name="compnum">Agencies!#REF!</definedName>
    <definedName name="compnumtxt" localSheetId="10">#REF!</definedName>
    <definedName name="compnumtxt" localSheetId="26">Agencies!#REF!</definedName>
    <definedName name="compnumtxt" localSheetId="2">Agencies!#REF!</definedName>
    <definedName name="compnumtxt">Agencies!#REF!</definedName>
    <definedName name="comptable" localSheetId="10">#REF!</definedName>
    <definedName name="comptable" localSheetId="26">Agencies!#REF!</definedName>
    <definedName name="comptable" localSheetId="2">Agencies!#REF!</definedName>
    <definedName name="comptable">Agencies!#REF!</definedName>
    <definedName name="ConcNum" localSheetId="10">#REF!</definedName>
    <definedName name="ConcNum" localSheetId="26">Agencies!#REF!</definedName>
    <definedName name="ConcNum" localSheetId="2">Agencies!#REF!</definedName>
    <definedName name="ConcNum">Agencies!#REF!</definedName>
    <definedName name="Derivative" localSheetId="26">#REF!</definedName>
    <definedName name="Derivative">#REF!</definedName>
    <definedName name="DF_PGData">RestrDuefromPG!$A$1:$C$64</definedName>
    <definedName name="DF_PGRow">RestrDuefromPG!$A$1:$A$64</definedName>
    <definedName name="EquityData">'Fund Equity'!$B$5:$E$65</definedName>
    <definedName name="EquityDataRow">'Fund Equity'!$B$5:$B$65</definedName>
    <definedName name="ErrorKey" localSheetId="26">#REF!</definedName>
    <definedName name="ErrorKey">#REF!</definedName>
    <definedName name="ErrorTable" localSheetId="26">#REF!</definedName>
    <definedName name="ErrorTable">#REF!</definedName>
    <definedName name="ExhABData">'ExhA&amp;B'!$A:$D</definedName>
    <definedName name="FileExtName">'College Filenames'!$F$1:$F$98</definedName>
    <definedName name="FileNameAgency">'College Filenames'!$B$1:$B$98</definedName>
    <definedName name="FileNameTable">'College Filenames'!$B$1:$F$98</definedName>
    <definedName name="FixedAssetData" localSheetId="4">'Capital Assets'!$B$1:$S$61</definedName>
    <definedName name="FixedAssetRow" localSheetId="4">'Capital Assets'!$B$1:$B$61</definedName>
    <definedName name="FROM320" localSheetId="26">#REF!</definedName>
    <definedName name="FROM320">#REF!</definedName>
    <definedName name="function" localSheetId="26">#REF!</definedName>
    <definedName name="function">#REF!</definedName>
    <definedName name="functionA" localSheetId="26">#REF!</definedName>
    <definedName name="functionA">#REF!</definedName>
    <definedName name="functionC" localSheetId="26">#REF!</definedName>
    <definedName name="functionC">#REF!</definedName>
    <definedName name="FYEnd" localSheetId="2">'Pkg Updates'!#REF!</definedName>
    <definedName name="FYEnd">Index!$A$118</definedName>
    <definedName name="Gasb510" localSheetId="26">#REF!</definedName>
    <definedName name="Gasb510">#REF!</definedName>
    <definedName name="Gasb515" localSheetId="26">#REF!</definedName>
    <definedName name="Gasb515">#REF!</definedName>
    <definedName name="Gasb520" localSheetId="26">#REF!</definedName>
    <definedName name="Gasb520">#REF!</definedName>
    <definedName name="Gasb525" localSheetId="26">#REF!</definedName>
    <definedName name="Gasb525">#REF!</definedName>
    <definedName name="Gasb530" localSheetId="26">#REF!</definedName>
    <definedName name="Gasb530">#REF!</definedName>
    <definedName name="IdxSheetNum" localSheetId="26">#REF!</definedName>
    <definedName name="IdxSheetNum">#REF!</definedName>
    <definedName name="IdxTable" localSheetId="26">#REF!</definedName>
    <definedName name="IdxTable">#REF!</definedName>
    <definedName name="Landrow">CapAssetBegBal!$C$5:$C$62</definedName>
    <definedName name="Leaseannualrental301" localSheetId="14">'302'!#REF!</definedName>
    <definedName name="Leaseannualrental301" localSheetId="15">'303'!#REF!</definedName>
    <definedName name="Leaseannualrental301">'301'!#REF!</definedName>
    <definedName name="Leaseasset301" localSheetId="14">'302'!#REF!</definedName>
    <definedName name="Leaseasset301" localSheetId="15">'303'!#REF!</definedName>
    <definedName name="Leaseasset301">'301'!#REF!</definedName>
    <definedName name="LeaseCol301" localSheetId="14">'302'!$A$22:$M$22</definedName>
    <definedName name="LeaseCol301" localSheetId="15">'303'!#REF!</definedName>
    <definedName name="LeaseCol301">'301'!$A$21:$M$21</definedName>
    <definedName name="LeaseDat301" localSheetId="14">'302'!$A$16:$M$65</definedName>
    <definedName name="LeaseDat301" localSheetId="15">'303'!#REF!</definedName>
    <definedName name="LeaseDat301">'301'!$A$15:$M$75</definedName>
    <definedName name="LeaseRow301" localSheetId="14">'302'!$B$16:$B$65</definedName>
    <definedName name="LeaseRow301" localSheetId="15">'303'!#REF!</definedName>
    <definedName name="LeaseRow301">'301'!$B$15:$B$75</definedName>
    <definedName name="Listfor520">Datafor5XX!$A$4:$A$37</definedName>
    <definedName name="Listfor525and530">Datafor5XX!$A$38:$A$134</definedName>
    <definedName name="NetAssetsData" localSheetId="26">#REF!</definedName>
    <definedName name="NetAssetsData">#REF!</definedName>
    <definedName name="NetAssetsDataRow" localSheetId="26">#REF!</definedName>
    <definedName name="NetAssetsDataRow">#REF!</definedName>
    <definedName name="Pledged_Revenue" localSheetId="26">#REF!</definedName>
    <definedName name="Pledged_Revenue">#REF!</definedName>
    <definedName name="PreparerName">'ExhA&amp;B'!$F$2</definedName>
    <definedName name="PreparerPhone">'ExhA&amp;B'!$F$3</definedName>
    <definedName name="_xlnm.Print_Area" localSheetId="8">'101'!$A$1:$L$68</definedName>
    <definedName name="_xlnm.Print_Area" localSheetId="9">'110'!$A$1:$L$69</definedName>
    <definedName name="_xlnm.Print_Area" localSheetId="10">'120'!$A$1:$J$61</definedName>
    <definedName name="_xlnm.Print_Area" localSheetId="11">'215'!$A$1:$N$82</definedName>
    <definedName name="_xlnm.Print_Area" localSheetId="12">'220'!$A$1:$G$59</definedName>
    <definedName name="_xlnm.Print_Area" localSheetId="13">'301'!$B$1:$Q$145</definedName>
    <definedName name="_xlnm.Print_Area" localSheetId="14">'302'!$C$1:$R$65</definedName>
    <definedName name="_xlnm.Print_Area" localSheetId="15">'303'!$A$1:$Q$51</definedName>
    <definedName name="_xlnm.Print_Area" localSheetId="16">'323'!$B$1:$L$96</definedName>
    <definedName name="_xlnm.Print_Area" localSheetId="17">'345'!$A$1:$J$53</definedName>
    <definedName name="_xlnm.Print_Area" localSheetId="18">'350'!$A$1:$H$49</definedName>
    <definedName name="_xlnm.Print_Area" localSheetId="19">'355'!$A$1:$K$56</definedName>
    <definedName name="_xlnm.Print_Area" localSheetId="20">'360'!$A$1:$N$59</definedName>
    <definedName name="_xlnm.Print_Area" localSheetId="21">'425'!$A$1:$N$42</definedName>
    <definedName name="_xlnm.Print_Area" localSheetId="22">'430'!$A$1:$R$42</definedName>
    <definedName name="_xlnm.Print_Area" localSheetId="23">'520'!$A$1:$O$31</definedName>
    <definedName name="_xlnm.Print_Area" localSheetId="24">'525'!$A$1:$N$31</definedName>
    <definedName name="_xlnm.Print_Area" localSheetId="25">'530'!$A$1:$O$30</definedName>
    <definedName name="_xlnm.Print_Area" localSheetId="26">'602'!$A$1:$G$58</definedName>
    <definedName name="_xlnm.Print_Area" localSheetId="27">'610'!$A$1:$I$50</definedName>
    <definedName name="_xlnm.Print_Area" localSheetId="28">'616'!$A$1:$N$27</definedName>
    <definedName name="_xlnm.Print_Area" localSheetId="29">'625'!$B$1:$W$28</definedName>
    <definedName name="_xlnm.Print_Area" localSheetId="33">Agencies!#REF!</definedName>
    <definedName name="_xlnm.Print_Area" localSheetId="7">'Analytical Review'!$B$1:$P$144</definedName>
    <definedName name="_xlnm.Print_Area" localSheetId="4">'Capital Assets'!$C$2:$T$72</definedName>
    <definedName name="_xlnm.Print_Area" localSheetId="31">Comments!$A$1:$N$39</definedName>
    <definedName name="_xlnm.Print_Area" localSheetId="3">'ExhA&amp;B'!$B$1:$F$144</definedName>
    <definedName name="_xlnm.Print_Area" localSheetId="34">'ExhA&amp;B-definitions&amp;messages'!$A$2:$K$129</definedName>
    <definedName name="_xlnm.Print_Area" localSheetId="30">Explanations!$A$1:$N$45</definedName>
    <definedName name="_xlnm.Print_Area" localSheetId="0">Index!$A$1:$O$71</definedName>
    <definedName name="_xlnm.Print_Area" localSheetId="2">'Pkg Updates'!$A$6:$E$16</definedName>
    <definedName name="_xlnm.Print_Titles" localSheetId="33">Agencies!#REF!</definedName>
    <definedName name="_xlnm.Print_Titles" localSheetId="7">'Analytical Review'!$1:$5</definedName>
    <definedName name="_xlnm.Print_Titles" localSheetId="35">CapAssetBegBal!$A:$A,CapAssetBegBal!$1:$3</definedName>
    <definedName name="_xlnm.Print_Titles" localSheetId="3">'ExhA&amp;B'!$2:$5</definedName>
    <definedName name="_xlnm.Print_Titles" localSheetId="34">'ExhA&amp;B-definitions&amp;messages'!$2:$5</definedName>
    <definedName name="_xlnm.Print_Titles" localSheetId="0">Index!$1:$4</definedName>
    <definedName name="_xlnm.Print_Titles" localSheetId="2">'Pkg Updates'!$1:$5</definedName>
    <definedName name="PriorYear" localSheetId="2">'Pkg Updates'!#REF!</definedName>
    <definedName name="PriorYear">Index!$A$119</definedName>
    <definedName name="PY905Col" localSheetId="26">#REF!</definedName>
    <definedName name="PY905Col">#REF!</definedName>
    <definedName name="PY905Data" localSheetId="26">#REF!</definedName>
    <definedName name="PY905Data">#REF!</definedName>
    <definedName name="PY905Row" localSheetId="26">#REF!</definedName>
    <definedName name="PY905Row">#REF!</definedName>
    <definedName name="Rent301" localSheetId="26">#REF!</definedName>
    <definedName name="Rent301">#REF!</definedName>
    <definedName name="solver_opt" localSheetId="3" hidden="1">'ExhA&amp;B'!#REF!</definedName>
    <definedName name="solver_opt" localSheetId="34" hidden="1">'ExhA&amp;B-definitions&amp;messages'!#REF!</definedName>
    <definedName name="Z_09B6E9FC_05EC_46D9_876B_83C9B6994F28_.wvu.Cols" localSheetId="7" hidden="1">'Analytical Review'!$A:$D</definedName>
    <definedName name="Z_09B6E9FC_05EC_46D9_876B_83C9B6994F28_.wvu.Cols" localSheetId="4" hidden="1">'Capital Assets'!$B:$B</definedName>
    <definedName name="Z_09B6E9FC_05EC_46D9_876B_83C9B6994F28_.wvu.PrintArea" localSheetId="4" hidden="1">'Capital Assets'!$C$2:$T$63</definedName>
    <definedName name="Z_09B6E9FC_05EC_46D9_876B_83C9B6994F28_.wvu.PrintArea" localSheetId="3" hidden="1">'ExhA&amp;B'!$B$6:$F$146</definedName>
    <definedName name="Z_09B6E9FC_05EC_46D9_876B_83C9B6994F28_.wvu.PrintArea" localSheetId="34" hidden="1">'ExhA&amp;B-definitions&amp;messages'!$A$6:$E$129</definedName>
    <definedName name="Z_09B6E9FC_05EC_46D9_876B_83C9B6994F28_.wvu.PrintTitles" localSheetId="7" hidden="1">'Analytical Review'!$2:$7</definedName>
    <definedName name="Z_09B6E9FC_05EC_46D9_876B_83C9B6994F28_.wvu.PrintTitles" localSheetId="3" hidden="1">'ExhA&amp;B'!$2:$5</definedName>
    <definedName name="Z_09B6E9FC_05EC_46D9_876B_83C9B6994F28_.wvu.PrintTitles" localSheetId="34" hidden="1">'ExhA&amp;B-definitions&amp;messages'!$2:$5</definedName>
    <definedName name="Z_09B6E9FC_05EC_46D9_876B_83C9B6994F28_.wvu.Rows" localSheetId="4" hidden="1">'Capital Assets'!$1:$1</definedName>
    <definedName name="Z_1250FD07_FF56_4A9D_AF9E_C27124A7EBE9_.wvu.PrintArea" localSheetId="10" hidden="1">'120'!$A$1:$I$69</definedName>
    <definedName name="Z_1250FD07_FF56_4A9D_AF9E_C27124A7EBE9_.wvu.PrintArea" localSheetId="11" hidden="1">'215'!$A$1:$N$85</definedName>
    <definedName name="Z_1250FD07_FF56_4A9D_AF9E_C27124A7EBE9_.wvu.PrintArea" localSheetId="29" hidden="1">'625'!$B$1:$W$28</definedName>
    <definedName name="Z_22EE6FEF_0954_4B41_9976_46012513457D_.wvu.PrintArea" localSheetId="29" hidden="1">'625'!$B$1:$V$28</definedName>
    <definedName name="Z_279D8F29_3A82_4EC4_B637_4060DE7A5F06_.wvu.Cols" localSheetId="23" hidden="1">'520'!$H:$H</definedName>
    <definedName name="Z_279D8F29_3A82_4EC4_B637_4060DE7A5F06_.wvu.Cols" localSheetId="24" hidden="1">'525'!#REF!</definedName>
    <definedName name="Z_279D8F29_3A82_4EC4_B637_4060DE7A5F06_.wvu.Cols" localSheetId="25" hidden="1">'530'!$H:$H</definedName>
    <definedName name="Z_279D8F29_3A82_4EC4_B637_4060DE7A5F06_.wvu.Cols" localSheetId="28" hidden="1">'616'!$G:$G</definedName>
    <definedName name="Z_279D8F29_3A82_4EC4_B637_4060DE7A5F06_.wvu.PrintArea" localSheetId="23" hidden="1">'520'!$A$1:$N$30</definedName>
    <definedName name="Z_279D8F29_3A82_4EC4_B637_4060DE7A5F06_.wvu.PrintArea" localSheetId="24" hidden="1">'525'!$A$1:$M$30</definedName>
    <definedName name="Z_279D8F29_3A82_4EC4_B637_4060DE7A5F06_.wvu.PrintArea" localSheetId="25" hidden="1">'530'!$A$1:$N$29</definedName>
    <definedName name="Z_279D8F29_3A82_4EC4_B637_4060DE7A5F06_.wvu.PrintArea" localSheetId="28" hidden="1">'616'!$A$1:$L$27</definedName>
    <definedName name="Z_3B9B908F_7E13_4791_A6FD_413206C417A3_.wvu.PrintArea" localSheetId="19" hidden="1">'355'!$A$1:$J$47</definedName>
    <definedName name="Z_3B9B908F_7E13_4791_A6FD_413206C417A3_.wvu.PrintArea" localSheetId="29" hidden="1">'625'!$B$1:$V$28</definedName>
    <definedName name="Z_9FCFC836_1CA5_48BF_958D_24D2EA94B219_.wvu.Cols" localSheetId="10" hidden="1">'120'!#REF!</definedName>
    <definedName name="Z_9FCFC836_1CA5_48BF_958D_24D2EA94B219_.wvu.PrintArea" localSheetId="10" hidden="1">'120'!$A$1:$I$80</definedName>
    <definedName name="Z_B08879A4_635B_4C39_9937_AC7883D562FC_.wvu.Cols" localSheetId="10" hidden="1">'120'!#REF!</definedName>
    <definedName name="Z_B08879A4_635B_4C39_9937_AC7883D562FC_.wvu.PrintArea" localSheetId="10" hidden="1">'120'!$A$1:$I$80</definedName>
    <definedName name="Z_BEA4BE86_04D1_4C96_9358_7A260B9D2B2D_.wvu.PrintArea" localSheetId="10" hidden="1">'120'!$A$1:$I$69</definedName>
    <definedName name="Z_BEA4BE86_04D1_4C96_9358_7A260B9D2B2D_.wvu.PrintArea" localSheetId="11" hidden="1">'215'!$A$1:$N$85</definedName>
    <definedName name="Z_BEA4BE86_04D1_4C96_9358_7A260B9D2B2D_.wvu.PrintArea" localSheetId="29" hidden="1">'625'!$B$1:$W$28</definedName>
  </definedNames>
  <calcPr calcId="191028" fullPrecision="0"/>
  <customWorkbookViews>
    <customWorkbookView name="Luke Harris - Personal View" guid="{09B6E9FC-05EC-46D9-876B-83C9B6994F28}" mergeInterval="0" personalView="1" maximized="1" windowWidth="796" windowHeight="432" tabRatio="62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25" l="1"/>
  <c r="I54" i="2"/>
  <c r="I53" i="2"/>
  <c r="I52" i="2"/>
  <c r="I51" i="2"/>
  <c r="I49" i="2"/>
  <c r="I48" i="2"/>
  <c r="I47" i="2"/>
  <c r="I46" i="2"/>
  <c r="I45" i="2"/>
  <c r="I44" i="2"/>
  <c r="I43" i="2"/>
  <c r="J123" i="4" l="1"/>
  <c r="J100" i="4"/>
  <c r="J71" i="4"/>
  <c r="J33" i="4"/>
  <c r="J20" i="4"/>
  <c r="A1" i="19"/>
  <c r="A1" i="18"/>
  <c r="A1" i="17"/>
  <c r="J35" i="9"/>
  <c r="H141" i="1"/>
  <c r="H140" i="1"/>
  <c r="H137" i="1"/>
  <c r="H136" i="1"/>
  <c r="H135" i="1"/>
  <c r="H134" i="1"/>
  <c r="H133" i="1"/>
  <c r="H132" i="1"/>
  <c r="H131" i="1"/>
  <c r="H128" i="1"/>
  <c r="H127" i="1"/>
  <c r="H126" i="1"/>
  <c r="H125" i="1"/>
  <c r="H124" i="1"/>
  <c r="H123" i="1"/>
  <c r="H122" i="1"/>
  <c r="H121" i="1"/>
  <c r="H120" i="1"/>
  <c r="H119" i="1"/>
  <c r="H118" i="1"/>
  <c r="H117" i="1"/>
  <c r="H113" i="1"/>
  <c r="H112" i="1"/>
  <c r="H111" i="1"/>
  <c r="H110" i="1"/>
  <c r="H109" i="1"/>
  <c r="H108" i="1"/>
  <c r="H104" i="1"/>
  <c r="H103" i="1"/>
  <c r="H102" i="1"/>
  <c r="H101" i="1"/>
  <c r="H100" i="1"/>
  <c r="H99" i="1"/>
  <c r="H98" i="1"/>
  <c r="H90" i="1"/>
  <c r="H89" i="1"/>
  <c r="H88" i="1"/>
  <c r="H87" i="1"/>
  <c r="H86" i="1"/>
  <c r="H84" i="1"/>
  <c r="H83" i="1"/>
  <c r="H82" i="1"/>
  <c r="H79" i="1"/>
  <c r="H75" i="1"/>
  <c r="H74" i="1"/>
  <c r="H73" i="1"/>
  <c r="H72" i="1"/>
  <c r="H71" i="1"/>
  <c r="H70" i="1"/>
  <c r="H64" i="1"/>
  <c r="H63" i="1"/>
  <c r="H62" i="1"/>
  <c r="H58" i="1"/>
  <c r="H57" i="1"/>
  <c r="H56" i="1"/>
  <c r="H55" i="1"/>
  <c r="H54" i="1"/>
  <c r="H53" i="1"/>
  <c r="H52" i="1"/>
  <c r="H47" i="1"/>
  <c r="H46" i="1"/>
  <c r="H45" i="1"/>
  <c r="H44" i="1"/>
  <c r="H39" i="1"/>
  <c r="H38" i="1"/>
  <c r="H37" i="1"/>
  <c r="H36" i="1"/>
  <c r="H34" i="1"/>
  <c r="H33" i="1"/>
  <c r="H32" i="1"/>
  <c r="H31" i="1"/>
  <c r="H30" i="1"/>
  <c r="H29" i="1"/>
  <c r="H28" i="1"/>
  <c r="H27" i="1"/>
  <c r="H23" i="1"/>
  <c r="H22" i="1"/>
  <c r="H20" i="1"/>
  <c r="H19" i="1"/>
  <c r="H18" i="1"/>
  <c r="H17" i="1"/>
  <c r="H16" i="1"/>
  <c r="H15" i="1"/>
  <c r="H14" i="1"/>
  <c r="H13" i="1"/>
  <c r="P1" i="65" l="1"/>
  <c r="M67" i="61" l="1"/>
  <c r="P1" i="64"/>
  <c r="H7" i="65"/>
  <c r="H6" i="65"/>
  <c r="H5" i="65"/>
  <c r="A2" i="65"/>
  <c r="A1" i="65"/>
  <c r="H49" i="65"/>
  <c r="M70" i="61" s="1"/>
  <c r="F49" i="65"/>
  <c r="H34" i="65"/>
  <c r="M68" i="61" s="1"/>
  <c r="F34" i="65"/>
  <c r="H24" i="65"/>
  <c r="M66" i="61" s="1"/>
  <c r="F24" i="65"/>
  <c r="M65" i="61" s="1"/>
  <c r="N33" i="64" l="1"/>
  <c r="L33" i="64"/>
  <c r="L34" i="64" s="1"/>
  <c r="F23" i="64"/>
  <c r="F24" i="64" s="1"/>
  <c r="F25" i="64" s="1"/>
  <c r="F26" i="64" s="1"/>
  <c r="F27" i="64" s="1"/>
  <c r="E28" i="64" s="1"/>
  <c r="J7" i="64"/>
  <c r="J6" i="64"/>
  <c r="C2" i="64"/>
  <c r="C1" i="64"/>
  <c r="N32" i="22"/>
  <c r="L32" i="22"/>
  <c r="L33" i="22" s="1"/>
  <c r="D63" i="29"/>
  <c r="F28" i="64" l="1"/>
  <c r="E29" i="64"/>
  <c r="O56" i="2"/>
  <c r="M56" i="2"/>
  <c r="K56" i="2"/>
  <c r="O39" i="2"/>
  <c r="M39" i="2"/>
  <c r="E30" i="64" l="1"/>
  <c r="F29" i="64"/>
  <c r="T63" i="25"/>
  <c r="K39" i="2"/>
  <c r="E31" i="64" l="1"/>
  <c r="F31" i="64" s="1"/>
  <c r="F30" i="64"/>
  <c r="N5" i="29"/>
  <c r="N6" i="29"/>
  <c r="N7" i="29"/>
  <c r="N8" i="29"/>
  <c r="N9" i="29"/>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BR137" i="50" l="1"/>
  <c r="BS128" i="50"/>
  <c r="BX140" i="50"/>
  <c r="BX139" i="50"/>
  <c r="BY139" i="50" s="1"/>
  <c r="BX135" i="50"/>
  <c r="BX134" i="50"/>
  <c r="BX133" i="50"/>
  <c r="BX132" i="50"/>
  <c r="BX131" i="50"/>
  <c r="BX130" i="50"/>
  <c r="BX127" i="50"/>
  <c r="BX126" i="50"/>
  <c r="BX125" i="50"/>
  <c r="BX124" i="50"/>
  <c r="BX123" i="50"/>
  <c r="BX122" i="50"/>
  <c r="BX121" i="50"/>
  <c r="BX120" i="50"/>
  <c r="BX119" i="50"/>
  <c r="BX118" i="50"/>
  <c r="BX117" i="50"/>
  <c r="BX116" i="50"/>
  <c r="BX114" i="50"/>
  <c r="BX113" i="50"/>
  <c r="BX112" i="50"/>
  <c r="BX111" i="50"/>
  <c r="BX110" i="50"/>
  <c r="BX109" i="50"/>
  <c r="BX108" i="50"/>
  <c r="BX107" i="50"/>
  <c r="BX103" i="50"/>
  <c r="BX102" i="50"/>
  <c r="BX101" i="50"/>
  <c r="BX100" i="50"/>
  <c r="BX99" i="50"/>
  <c r="BX98" i="50"/>
  <c r="BX97" i="50"/>
  <c r="BM141" i="50"/>
  <c r="BL141" i="50"/>
  <c r="BX141" i="50" s="1"/>
  <c r="BY141" i="50" s="1"/>
  <c r="BW128" i="50"/>
  <c r="BV128" i="50"/>
  <c r="BU128" i="50"/>
  <c r="BU129" i="50" s="1"/>
  <c r="BU137" i="50" s="1"/>
  <c r="BU141" i="50" s="1"/>
  <c r="BT128" i="50"/>
  <c r="BW113" i="50"/>
  <c r="BW114" i="50" s="1"/>
  <c r="BV113" i="50"/>
  <c r="BV114" i="50" s="1"/>
  <c r="BU113" i="50"/>
  <c r="BU114" i="50" s="1"/>
  <c r="BW104" i="50"/>
  <c r="BV104" i="50"/>
  <c r="BU104" i="50"/>
  <c r="BW92" i="50"/>
  <c r="BV92" i="50"/>
  <c r="BU92" i="50"/>
  <c r="BV129" i="50" l="1"/>
  <c r="BV137" i="50" s="1"/>
  <c r="BV141" i="50" s="1"/>
  <c r="BW129" i="50"/>
  <c r="BW137" i="50" s="1"/>
  <c r="BW141" i="50" s="1"/>
  <c r="BX73" i="50"/>
  <c r="BY73" i="50" s="1"/>
  <c r="CA73" i="50" s="1"/>
  <c r="BX70" i="50"/>
  <c r="BY70" i="50" s="1"/>
  <c r="CA70" i="50" s="1"/>
  <c r="BX35" i="50"/>
  <c r="BY35" i="50" s="1"/>
  <c r="CA35" i="50" s="1"/>
  <c r="BX34" i="50"/>
  <c r="BY34" i="50" s="1"/>
  <c r="CA34" i="50" s="1"/>
  <c r="BX23" i="50"/>
  <c r="BY23" i="50" s="1"/>
  <c r="CA23" i="50" s="1"/>
  <c r="BX22" i="50"/>
  <c r="BY22" i="50" s="1"/>
  <c r="CA22" i="50" s="1"/>
  <c r="BX21" i="50"/>
  <c r="BY21" i="50" s="1"/>
  <c r="CA21" i="50" s="1"/>
  <c r="BX13" i="50"/>
  <c r="BY13" i="50" s="1"/>
  <c r="CA13" i="50" s="1"/>
  <c r="BS90" i="50"/>
  <c r="O92" i="22" l="1"/>
  <c r="I1" i="57"/>
  <c r="M84" i="61" s="1"/>
  <c r="O141" i="22" l="1"/>
  <c r="O135" i="22"/>
  <c r="O82" i="22"/>
  <c r="O76" i="22"/>
  <c r="P1" i="22"/>
  <c r="J6" i="22"/>
  <c r="J7" i="22"/>
  <c r="M61" i="61" l="1"/>
  <c r="M63" i="61"/>
  <c r="M56" i="61"/>
  <c r="M62" i="61"/>
  <c r="M57" i="61"/>
  <c r="M60" i="61"/>
  <c r="M55" i="61"/>
  <c r="M58" i="61"/>
  <c r="M59" i="61"/>
  <c r="F6" i="31"/>
  <c r="M45" i="61"/>
  <c r="M44" i="61"/>
  <c r="M43" i="61"/>
  <c r="M42" i="61"/>
  <c r="M36" i="61"/>
  <c r="M41" i="61"/>
  <c r="M40" i="61"/>
  <c r="M39" i="61"/>
  <c r="M38" i="61"/>
  <c r="M37" i="61"/>
  <c r="A2" i="21"/>
  <c r="N123" i="4" l="1"/>
  <c r="H123" i="4"/>
  <c r="L123" i="4" s="1"/>
  <c r="H100" i="4"/>
  <c r="L100" i="4" s="1"/>
  <c r="N100" i="4" s="1"/>
  <c r="N71" i="4"/>
  <c r="H71" i="4"/>
  <c r="L71" i="4" s="1"/>
  <c r="N33" i="4"/>
  <c r="H33" i="4"/>
  <c r="L33" i="4" s="1"/>
  <c r="N20" i="4"/>
  <c r="H20" i="4"/>
  <c r="L20" i="4" s="1"/>
  <c r="J34" i="9"/>
  <c r="J27" i="9"/>
  <c r="AG6" i="25" l="1"/>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E63" i="25"/>
  <c r="AD63" i="25"/>
  <c r="AC63" i="25"/>
  <c r="AB63" i="25"/>
  <c r="S63" i="25"/>
  <c r="R63" i="25"/>
  <c r="Q63" i="25"/>
  <c r="P63" i="25"/>
  <c r="BT113" i="50" l="1"/>
  <c r="BS113" i="50"/>
  <c r="BR113" i="50"/>
  <c r="BT104" i="50"/>
  <c r="BS104" i="50"/>
  <c r="BR104" i="50"/>
  <c r="BT90" i="50"/>
  <c r="BR90" i="50"/>
  <c r="BT75" i="50"/>
  <c r="BS75" i="50"/>
  <c r="BR75" i="50"/>
  <c r="BQ75" i="50"/>
  <c r="BT58" i="50"/>
  <c r="BT65" i="50" s="1"/>
  <c r="BS58" i="50"/>
  <c r="BS65" i="50" s="1"/>
  <c r="BR58" i="50"/>
  <c r="BR65" i="50" s="1"/>
  <c r="BT47" i="50"/>
  <c r="BS47" i="50"/>
  <c r="BR47" i="50"/>
  <c r="BT39" i="50"/>
  <c r="BS39" i="50"/>
  <c r="BR39" i="50"/>
  <c r="BT24" i="50"/>
  <c r="BS24" i="50"/>
  <c r="BR24" i="50"/>
  <c r="BX89" i="50"/>
  <c r="BX88" i="50"/>
  <c r="BX87" i="50"/>
  <c r="BX86" i="50"/>
  <c r="BX85" i="50"/>
  <c r="BX84" i="50"/>
  <c r="BX83" i="50"/>
  <c r="BX82" i="50"/>
  <c r="BX81" i="50"/>
  <c r="BX80" i="50"/>
  <c r="BX79" i="50"/>
  <c r="BX78" i="50"/>
  <c r="BX74" i="50"/>
  <c r="BX72" i="50"/>
  <c r="BX71" i="50"/>
  <c r="BX69" i="50"/>
  <c r="BX68" i="50"/>
  <c r="BX63" i="50"/>
  <c r="BX62" i="50"/>
  <c r="BX61" i="50"/>
  <c r="BX57" i="50"/>
  <c r="BX56" i="50"/>
  <c r="BX55" i="50"/>
  <c r="BX54" i="50"/>
  <c r="BX53" i="50"/>
  <c r="BX52" i="50"/>
  <c r="BX51" i="50"/>
  <c r="BX46" i="50"/>
  <c r="BX45" i="50"/>
  <c r="BX44" i="50"/>
  <c r="BX43" i="50"/>
  <c r="BX38" i="50"/>
  <c r="BX37" i="50"/>
  <c r="BX36" i="50"/>
  <c r="BX33" i="50"/>
  <c r="BX32" i="50"/>
  <c r="BX31" i="50"/>
  <c r="BX30" i="50"/>
  <c r="BX29" i="50"/>
  <c r="BX28" i="50"/>
  <c r="BX27" i="50"/>
  <c r="BX20" i="50"/>
  <c r="BX19" i="50"/>
  <c r="BX18" i="50"/>
  <c r="BX17" i="50"/>
  <c r="BX16" i="50"/>
  <c r="BX15" i="50"/>
  <c r="BX14" i="50"/>
  <c r="BX12" i="50"/>
  <c r="BX11" i="50"/>
  <c r="BX10" i="50"/>
  <c r="BX9" i="50"/>
  <c r="BS40" i="50" l="1"/>
  <c r="BS92" i="50" s="1"/>
  <c r="BT114" i="50"/>
  <c r="BR114" i="50"/>
  <c r="BR129" i="50" s="1"/>
  <c r="BR141" i="50" s="1"/>
  <c r="BS114" i="50"/>
  <c r="BS129" i="50" s="1"/>
  <c r="BR40" i="50"/>
  <c r="BR92" i="50" s="1"/>
  <c r="BT40" i="50"/>
  <c r="BT92" i="50" s="1"/>
  <c r="BT129" i="50" l="1"/>
  <c r="BT137" i="50" s="1"/>
  <c r="BT141" i="50" s="1"/>
  <c r="BR142" i="50"/>
  <c r="BY122" i="50"/>
  <c r="BZ122" i="50" s="1"/>
  <c r="BT142" i="50" l="1"/>
  <c r="M53" i="61"/>
  <c r="M49" i="61"/>
  <c r="M47" i="61"/>
  <c r="H120" i="4"/>
  <c r="G7" i="14" l="1"/>
  <c r="B2" i="59"/>
  <c r="L1" i="59"/>
  <c r="B1" i="59"/>
  <c r="BY117" i="50"/>
  <c r="BZ117" i="50" s="1"/>
  <c r="BY120" i="50"/>
  <c r="BZ120" i="50" s="1"/>
  <c r="BY54" i="50" l="1"/>
  <c r="CA54" i="50" s="1"/>
  <c r="BY52" i="50" l="1"/>
  <c r="CA52" i="50" s="1"/>
  <c r="BY56" i="50"/>
  <c r="CA56" i="50" s="1"/>
  <c r="BY55" i="50"/>
  <c r="CA55" i="50" s="1"/>
  <c r="BY51" i="50"/>
  <c r="CA51" i="50" s="1"/>
  <c r="BY53" i="50"/>
  <c r="CA53" i="50" s="1"/>
  <c r="BY57" i="50"/>
  <c r="CA57" i="50" s="1"/>
  <c r="A8" i="59"/>
  <c r="I7" i="59"/>
  <c r="I6" i="59"/>
  <c r="F31" i="10"/>
  <c r="I19" i="62"/>
  <c r="H118" i="4" l="1"/>
  <c r="H115" i="4"/>
  <c r="J11" i="61" l="1"/>
  <c r="E11" i="61"/>
  <c r="M52" i="61" l="1"/>
  <c r="I6" i="62" l="1"/>
  <c r="D63" i="62" l="1"/>
  <c r="C63" i="62"/>
  <c r="M85" i="61" l="1"/>
  <c r="M75" i="61" l="1"/>
  <c r="M73" i="61"/>
  <c r="M74" i="61"/>
  <c r="M72" i="61"/>
  <c r="M71" i="61"/>
  <c r="M51" i="61"/>
  <c r="M50" i="61"/>
  <c r="H63" i="62" l="1"/>
  <c r="G63" i="62"/>
  <c r="F63" i="62"/>
  <c r="E63" i="62"/>
  <c r="I62" i="62"/>
  <c r="I61" i="62"/>
  <c r="I60" i="62"/>
  <c r="I59" i="62"/>
  <c r="I58" i="62"/>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8" i="62"/>
  <c r="I17" i="62"/>
  <c r="I16" i="62"/>
  <c r="I15" i="62"/>
  <c r="I14" i="62"/>
  <c r="I13" i="62"/>
  <c r="I12" i="62"/>
  <c r="I11" i="62"/>
  <c r="I10" i="62"/>
  <c r="I9" i="62"/>
  <c r="I8" i="62"/>
  <c r="I7" i="62"/>
  <c r="I5" i="62"/>
  <c r="I63" i="62" l="1"/>
  <c r="M48" i="61"/>
  <c r="M46" i="61" l="1"/>
  <c r="F9" i="61" l="1"/>
  <c r="BY44" i="50" l="1"/>
  <c r="CA44" i="50" s="1"/>
  <c r="M63" i="29" l="1"/>
  <c r="G63" i="29"/>
  <c r="H63" i="29"/>
  <c r="C63" i="29"/>
  <c r="C76" i="40" l="1"/>
  <c r="C75" i="40"/>
  <c r="C74" i="40"/>
  <c r="C73" i="40"/>
  <c r="C72" i="40"/>
  <c r="C71" i="40"/>
  <c r="C70" i="40"/>
  <c r="C69" i="40"/>
  <c r="C68" i="40"/>
  <c r="C67" i="40"/>
  <c r="C66" i="40"/>
  <c r="C65" i="40"/>
  <c r="C64" i="40"/>
  <c r="C63" i="40"/>
  <c r="C62" i="40"/>
  <c r="C61" i="40"/>
  <c r="C60" i="40"/>
  <c r="C59" i="40"/>
  <c r="C58" i="40"/>
  <c r="C57" i="40"/>
  <c r="C56" i="40"/>
  <c r="C55" i="40"/>
  <c r="C54" i="40"/>
  <c r="C53" i="40"/>
  <c r="C52" i="40"/>
  <c r="C51" i="40"/>
  <c r="C50" i="40"/>
  <c r="C49" i="40"/>
  <c r="C48" i="40"/>
  <c r="C47" i="40"/>
  <c r="C46" i="40"/>
  <c r="C45" i="40"/>
  <c r="C44" i="40"/>
  <c r="C43" i="40"/>
  <c r="C42" i="40"/>
  <c r="C41" i="40"/>
  <c r="C40" i="40"/>
  <c r="C39" i="40"/>
  <c r="C38" i="40"/>
  <c r="C37" i="40"/>
  <c r="C36" i="40"/>
  <c r="C35" i="40"/>
  <c r="C34" i="40"/>
  <c r="K33" i="40"/>
  <c r="C33" i="40"/>
  <c r="K32" i="40"/>
  <c r="C32" i="40"/>
  <c r="L32" i="40" s="1"/>
  <c r="K31" i="40"/>
  <c r="C31" i="40"/>
  <c r="L31" i="40" s="1"/>
  <c r="K30" i="40"/>
  <c r="C30" i="40"/>
  <c r="L30" i="40" s="1"/>
  <c r="K29" i="40"/>
  <c r="C29" i="40"/>
  <c r="L29" i="40" s="1"/>
  <c r="K28" i="40"/>
  <c r="C28" i="40"/>
  <c r="L28" i="40" s="1"/>
  <c r="K27" i="40"/>
  <c r="C27" i="40"/>
  <c r="L27" i="40" s="1"/>
  <c r="K26" i="40"/>
  <c r="C26" i="40"/>
  <c r="L26" i="40" s="1"/>
  <c r="K25" i="40"/>
  <c r="C25" i="40"/>
  <c r="L25" i="40" s="1"/>
  <c r="K24" i="40"/>
  <c r="C24" i="40"/>
  <c r="L24" i="40" s="1"/>
  <c r="K23" i="40"/>
  <c r="C23" i="40"/>
  <c r="L23" i="40" s="1"/>
  <c r="K22" i="40"/>
  <c r="C22" i="40"/>
  <c r="L22" i="40" s="1"/>
  <c r="K21" i="40"/>
  <c r="C21" i="40"/>
  <c r="L21" i="40" s="1"/>
  <c r="K20" i="40"/>
  <c r="C20" i="40"/>
  <c r="L20" i="40" s="1"/>
  <c r="K19" i="40"/>
  <c r="C19" i="40"/>
  <c r="L19" i="40" s="1"/>
  <c r="K18" i="40"/>
  <c r="C18" i="40"/>
  <c r="L18" i="40" s="1"/>
  <c r="K17" i="40"/>
  <c r="C17" i="40"/>
  <c r="L17" i="40" s="1"/>
  <c r="K16" i="40"/>
  <c r="C16" i="40"/>
  <c r="L16" i="40" s="1"/>
  <c r="K15" i="40"/>
  <c r="C15" i="40"/>
  <c r="L15" i="40" s="1"/>
  <c r="K14" i="40"/>
  <c r="C14" i="40"/>
  <c r="L14" i="40" s="1"/>
  <c r="K13" i="40"/>
  <c r="C13" i="40"/>
  <c r="L13" i="40" s="1"/>
  <c r="K12" i="40"/>
  <c r="C12" i="40"/>
  <c r="L12" i="40" s="1"/>
  <c r="K11" i="40"/>
  <c r="C11" i="40"/>
  <c r="L11" i="40" s="1"/>
  <c r="K10" i="40"/>
  <c r="C10" i="40"/>
  <c r="K9" i="40"/>
  <c r="C9" i="40"/>
  <c r="K8" i="40"/>
  <c r="C8" i="40"/>
  <c r="C7" i="40"/>
  <c r="C6" i="40"/>
  <c r="C5" i="40"/>
  <c r="C4" i="40"/>
  <c r="C3" i="40"/>
  <c r="H42" i="4" l="1"/>
  <c r="Q26" i="52" l="1"/>
  <c r="I26" i="52"/>
  <c r="D48" i="1"/>
  <c r="A110" i="59" l="1"/>
  <c r="A109" i="59"/>
  <c r="A9" i="59"/>
  <c r="A7" i="59"/>
  <c r="A6" i="59"/>
  <c r="A5" i="59"/>
  <c r="A4" i="59"/>
  <c r="A3" i="59"/>
  <c r="A2" i="59"/>
  <c r="A1" i="59"/>
  <c r="BY36" i="50" l="1"/>
  <c r="CA36" i="50" s="1"/>
  <c r="F16" i="10" l="1"/>
  <c r="D16" i="10"/>
  <c r="B16" i="10"/>
  <c r="C63" i="24" l="1"/>
  <c r="K149" i="40" l="1"/>
  <c r="A149"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H68" i="4" l="1"/>
  <c r="H34" i="4"/>
  <c r="H21" i="4"/>
  <c r="H44" i="4" l="1"/>
  <c r="H19" i="4"/>
  <c r="BY72" i="50" l="1"/>
  <c r="CA72" i="50" s="1"/>
  <c r="BY45" i="50"/>
  <c r="CA45" i="50" s="1"/>
  <c r="J63" i="29" l="1"/>
  <c r="A1" i="57" l="1"/>
  <c r="A2" i="57"/>
  <c r="F6" i="57"/>
  <c r="F7" i="57"/>
  <c r="F48" i="52" l="1"/>
  <c r="E45" i="52"/>
  <c r="E35" i="52"/>
  <c r="B57" i="52"/>
  <c r="O13" i="52"/>
  <c r="G13" i="52"/>
  <c r="K4" i="52"/>
  <c r="D58" i="1" l="1"/>
  <c r="C47" i="48"/>
  <c r="M31" i="61" l="1"/>
  <c r="Q27" i="52"/>
  <c r="F3" i="33" l="1"/>
  <c r="F4" i="3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2" i="33"/>
  <c r="BX24" i="50" l="1"/>
  <c r="BQ47" i="50"/>
  <c r="BP47" i="50"/>
  <c r="BO47" i="50"/>
  <c r="BN47" i="50"/>
  <c r="BM47" i="50"/>
  <c r="BY69" i="50"/>
  <c r="H7" i="51"/>
  <c r="F34" i="54"/>
  <c r="M67" i="32"/>
  <c r="G7" i="54"/>
  <c r="G6" i="54"/>
  <c r="A1" i="54"/>
  <c r="E47" i="1"/>
  <c r="C62" i="48"/>
  <c r="C38" i="48"/>
  <c r="H67" i="4"/>
  <c r="H43" i="4"/>
  <c r="I63" i="29"/>
  <c r="BY140" i="50"/>
  <c r="BZ140" i="50" s="1"/>
  <c r="BZ139" i="50"/>
  <c r="BY135" i="50"/>
  <c r="BZ135" i="50" s="1"/>
  <c r="BY133" i="50"/>
  <c r="BZ133" i="50" s="1"/>
  <c r="BY132" i="50"/>
  <c r="BZ132" i="50" s="1"/>
  <c r="BQ128" i="50"/>
  <c r="BP128" i="50"/>
  <c r="BO128" i="50"/>
  <c r="BN128" i="50"/>
  <c r="BM128" i="50"/>
  <c r="BY124" i="50"/>
  <c r="BZ124" i="50" s="1"/>
  <c r="BY123" i="50"/>
  <c r="BZ123" i="50" s="1"/>
  <c r="BY121" i="50"/>
  <c r="BZ121" i="50" s="1"/>
  <c r="BY119" i="50"/>
  <c r="BZ119" i="50" s="1"/>
  <c r="BY116" i="50"/>
  <c r="BZ116" i="50" s="1"/>
  <c r="BQ113" i="50"/>
  <c r="BP113" i="50"/>
  <c r="BO113" i="50"/>
  <c r="BN113" i="50"/>
  <c r="BM113" i="50"/>
  <c r="BY112" i="50"/>
  <c r="BZ112" i="50" s="1"/>
  <c r="BY111" i="50"/>
  <c r="BZ111" i="50" s="1"/>
  <c r="BY110" i="50"/>
  <c r="BZ110" i="50" s="1"/>
  <c r="BY109" i="50"/>
  <c r="BZ109" i="50" s="1"/>
  <c r="BY108" i="50"/>
  <c r="BZ108" i="50" s="1"/>
  <c r="BY107" i="50"/>
  <c r="BZ107" i="50" s="1"/>
  <c r="BQ104" i="50"/>
  <c r="BP104" i="50"/>
  <c r="BO104" i="50"/>
  <c r="BN104" i="50"/>
  <c r="BM104" i="50"/>
  <c r="BY103" i="50"/>
  <c r="BZ103" i="50" s="1"/>
  <c r="BQ90" i="50"/>
  <c r="BP90" i="50"/>
  <c r="BO90" i="50"/>
  <c r="BN90" i="50"/>
  <c r="BM90" i="50"/>
  <c r="BX64" i="50"/>
  <c r="BP75" i="50"/>
  <c r="BO75" i="50"/>
  <c r="BN75" i="50"/>
  <c r="BM75" i="50"/>
  <c r="BY71" i="50"/>
  <c r="CA71" i="50" s="1"/>
  <c r="BY63" i="50"/>
  <c r="CA63" i="50" s="1"/>
  <c r="BY62" i="50"/>
  <c r="BY61" i="50"/>
  <c r="CA61" i="50" s="1"/>
  <c r="BQ58" i="50"/>
  <c r="BQ65" i="50" s="1"/>
  <c r="BP58" i="50"/>
  <c r="BP65" i="50" s="1"/>
  <c r="BO58" i="50"/>
  <c r="BO65" i="50" s="1"/>
  <c r="BN58" i="50"/>
  <c r="BN65" i="50" s="1"/>
  <c r="BM58" i="50"/>
  <c r="BM65" i="50" s="1"/>
  <c r="BX47" i="50"/>
  <c r="BQ39" i="50"/>
  <c r="BP39" i="50"/>
  <c r="BO39" i="50"/>
  <c r="BN39" i="50"/>
  <c r="BM39" i="50"/>
  <c r="BY28" i="50"/>
  <c r="CA28" i="50" s="1"/>
  <c r="BQ24" i="50"/>
  <c r="BP24" i="50"/>
  <c r="BO24" i="50"/>
  <c r="BN24" i="50"/>
  <c r="BM24" i="50"/>
  <c r="BY18" i="50"/>
  <c r="CA18" i="50" s="1"/>
  <c r="BY14" i="50"/>
  <c r="CA14" i="50" s="1"/>
  <c r="J92" i="50"/>
  <c r="I92" i="50"/>
  <c r="G92" i="50"/>
  <c r="F92" i="50"/>
  <c r="E92" i="50"/>
  <c r="D92" i="50"/>
  <c r="E27" i="54"/>
  <c r="A87" i="54"/>
  <c r="A2" i="10"/>
  <c r="J7" i="46"/>
  <c r="J5" i="41"/>
  <c r="G46" i="11"/>
  <c r="G37" i="11"/>
  <c r="I31" i="15"/>
  <c r="E125" i="1"/>
  <c r="K24" i="2"/>
  <c r="E75" i="1"/>
  <c r="A28" i="14"/>
  <c r="L63" i="25"/>
  <c r="I63" i="25"/>
  <c r="E63" i="25"/>
  <c r="D63" i="25"/>
  <c r="H7" i="1"/>
  <c r="H72" i="4"/>
  <c r="H66" i="4"/>
  <c r="H45" i="4"/>
  <c r="B3" i="50"/>
  <c r="D23" i="4"/>
  <c r="C23" i="4" s="1"/>
  <c r="D39" i="4"/>
  <c r="C39" i="4" s="1"/>
  <c r="D47" i="4"/>
  <c r="C47" i="4" s="1"/>
  <c r="D48" i="4"/>
  <c r="C48" i="4" s="1"/>
  <c r="D49" i="4"/>
  <c r="C49" i="4" s="1"/>
  <c r="D62" i="4"/>
  <c r="C62" i="4" s="1"/>
  <c r="D64" i="4"/>
  <c r="C64" i="4" s="1"/>
  <c r="D76" i="4"/>
  <c r="C76" i="4" s="1"/>
  <c r="D77" i="4"/>
  <c r="C77" i="4" s="1"/>
  <c r="D78" i="4"/>
  <c r="C78" i="4" s="1"/>
  <c r="D79" i="4"/>
  <c r="C79" i="4" s="1"/>
  <c r="D80" i="4"/>
  <c r="C80" i="4" s="1"/>
  <c r="D81" i="4"/>
  <c r="C81" i="4" s="1"/>
  <c r="D82" i="4"/>
  <c r="C82" i="4" s="1"/>
  <c r="D83" i="4"/>
  <c r="C83" i="4" s="1"/>
  <c r="D84" i="4"/>
  <c r="C84" i="4" s="1"/>
  <c r="D85" i="4"/>
  <c r="D86" i="4"/>
  <c r="C86" i="4" s="1"/>
  <c r="D87" i="4"/>
  <c r="C87" i="4" s="1"/>
  <c r="D88" i="4"/>
  <c r="C88" i="4" s="1"/>
  <c r="D89" i="4"/>
  <c r="C89" i="4" s="1"/>
  <c r="D90" i="4"/>
  <c r="C90" i="4" s="1"/>
  <c r="D91" i="4"/>
  <c r="C91" i="4" s="1"/>
  <c r="D92" i="4"/>
  <c r="C92" i="4" s="1"/>
  <c r="D94" i="4"/>
  <c r="D103" i="4"/>
  <c r="C103" i="4" s="1"/>
  <c r="D111" i="4"/>
  <c r="C111" i="4" s="1"/>
  <c r="D112" i="4"/>
  <c r="C112" i="4" s="1"/>
  <c r="D113" i="4"/>
  <c r="C113" i="4" s="1"/>
  <c r="D126" i="4"/>
  <c r="C126" i="4" s="1"/>
  <c r="D127" i="4"/>
  <c r="C127" i="4" s="1"/>
  <c r="D135" i="4"/>
  <c r="C135" i="4" s="1"/>
  <c r="D136" i="4"/>
  <c r="C136" i="4" s="1"/>
  <c r="D137" i="4"/>
  <c r="C137" i="4" s="1"/>
  <c r="D138" i="4"/>
  <c r="C138" i="4" s="1"/>
  <c r="D140" i="4"/>
  <c r="C140" i="4" s="1"/>
  <c r="D142" i="4"/>
  <c r="C142" i="4" s="1"/>
  <c r="D143" i="4"/>
  <c r="C143" i="4" s="1"/>
  <c r="D144" i="4"/>
  <c r="C144" i="4" s="1"/>
  <c r="A37" i="14"/>
  <c r="C29" i="12"/>
  <c r="C51" i="12"/>
  <c r="F22" i="51"/>
  <c r="J14" i="9"/>
  <c r="B31" i="10"/>
  <c r="D31" i="10"/>
  <c r="E36" i="9"/>
  <c r="F16" i="49"/>
  <c r="C64" i="9"/>
  <c r="C57" i="9"/>
  <c r="E43" i="9"/>
  <c r="F14" i="49"/>
  <c r="I50" i="12"/>
  <c r="G26" i="12"/>
  <c r="I53" i="14"/>
  <c r="H37" i="14"/>
  <c r="H28" i="14"/>
  <c r="F16" i="31"/>
  <c r="J63" i="9"/>
  <c r="J54" i="9"/>
  <c r="J48" i="9"/>
  <c r="J41" i="9"/>
  <c r="N1" i="28"/>
  <c r="H6" i="51"/>
  <c r="A1" i="51"/>
  <c r="E89" i="1"/>
  <c r="E88" i="1"/>
  <c r="E87" i="1"/>
  <c r="E86" i="1"/>
  <c r="E84" i="1"/>
  <c r="E83" i="1"/>
  <c r="E82" i="1"/>
  <c r="D76" i="48"/>
  <c r="D75" i="48"/>
  <c r="D74" i="48"/>
  <c r="D73" i="48"/>
  <c r="D71" i="48"/>
  <c r="D70" i="48"/>
  <c r="D69" i="48"/>
  <c r="C63" i="25"/>
  <c r="O24" i="2"/>
  <c r="M24" i="2"/>
  <c r="H63" i="25"/>
  <c r="J7" i="49"/>
  <c r="J6" i="49"/>
  <c r="A1" i="49"/>
  <c r="A1" i="46"/>
  <c r="E4" i="48"/>
  <c r="E3" i="48"/>
  <c r="E2" i="48"/>
  <c r="A4" i="48"/>
  <c r="D120" i="48"/>
  <c r="D119" i="48"/>
  <c r="D118" i="48"/>
  <c r="D117" i="48"/>
  <c r="D116" i="48"/>
  <c r="D115" i="48"/>
  <c r="D114" i="48"/>
  <c r="C112" i="48"/>
  <c r="D111" i="48"/>
  <c r="D110" i="48"/>
  <c r="D109" i="48"/>
  <c r="C101" i="48"/>
  <c r="C92" i="48"/>
  <c r="C78" i="48"/>
  <c r="D44" i="48"/>
  <c r="D23" i="48"/>
  <c r="C20" i="48"/>
  <c r="D14" i="48"/>
  <c r="D10" i="48"/>
  <c r="D9" i="48"/>
  <c r="J6" i="46"/>
  <c r="Y63" i="25"/>
  <c r="Z63" i="25"/>
  <c r="M63" i="25"/>
  <c r="N63" i="25"/>
  <c r="F63" i="25"/>
  <c r="G63" i="25"/>
  <c r="W1" i="41"/>
  <c r="N1" i="32"/>
  <c r="D6" i="41"/>
  <c r="B1" i="41"/>
  <c r="A30" i="41"/>
  <c r="B37" i="41" s="1"/>
  <c r="H23" i="41"/>
  <c r="J23" i="41" s="1"/>
  <c r="H22" i="41"/>
  <c r="J22" i="41" s="1"/>
  <c r="H21" i="41"/>
  <c r="J21" i="41" s="1"/>
  <c r="H20" i="41"/>
  <c r="J20" i="41" s="1"/>
  <c r="H19" i="41"/>
  <c r="J19" i="41" s="1"/>
  <c r="H18" i="41"/>
  <c r="J18" i="41" s="1"/>
  <c r="H17" i="41"/>
  <c r="J17" i="41" s="1"/>
  <c r="H16" i="41"/>
  <c r="J16" i="41" s="1"/>
  <c r="H15" i="41"/>
  <c r="J15" i="41" s="1"/>
  <c r="L63" i="29"/>
  <c r="E21" i="18"/>
  <c r="E30" i="18"/>
  <c r="D10" i="21"/>
  <c r="E137" i="1"/>
  <c r="E136" i="1"/>
  <c r="E131" i="1"/>
  <c r="M4" i="2"/>
  <c r="I13" i="2"/>
  <c r="K63" i="29"/>
  <c r="F63" i="29"/>
  <c r="E63" i="29"/>
  <c r="E135" i="1"/>
  <c r="E134" i="1"/>
  <c r="E133" i="1"/>
  <c r="E132" i="1"/>
  <c r="D124" i="48"/>
  <c r="F22" i="22"/>
  <c r="F23" i="22" s="1"/>
  <c r="F24" i="22" s="1"/>
  <c r="F25" i="22" s="1"/>
  <c r="F26" i="22" s="1"/>
  <c r="E27" i="22" s="1"/>
  <c r="E28" i="22" s="1"/>
  <c r="E29" i="22" s="1"/>
  <c r="E30" i="22" s="1"/>
  <c r="F3" i="1"/>
  <c r="M3" i="2" s="1"/>
  <c r="F2" i="1"/>
  <c r="P9" i="21"/>
  <c r="A1" i="32"/>
  <c r="J7" i="32"/>
  <c r="J6" i="32"/>
  <c r="A1" i="11"/>
  <c r="F7" i="31"/>
  <c r="A1" i="31"/>
  <c r="A1" i="28"/>
  <c r="J6" i="28"/>
  <c r="J7" i="28"/>
  <c r="A1" i="27"/>
  <c r="J7" i="27"/>
  <c r="J6" i="27"/>
  <c r="N1" i="27"/>
  <c r="E29" i="19"/>
  <c r="E30" i="17"/>
  <c r="D53" i="1" s="1"/>
  <c r="D27" i="26"/>
  <c r="C48" i="48"/>
  <c r="A1" i="10"/>
  <c r="O1" i="19"/>
  <c r="M1" i="26"/>
  <c r="N1" i="18"/>
  <c r="O1" i="17"/>
  <c r="M1" i="10"/>
  <c r="E14" i="1"/>
  <c r="E27" i="1"/>
  <c r="E128" i="1"/>
  <c r="E127" i="1"/>
  <c r="A1" i="26"/>
  <c r="H7" i="9"/>
  <c r="A1" i="9"/>
  <c r="H6" i="9"/>
  <c r="C1" i="22"/>
  <c r="J7" i="10"/>
  <c r="J6" i="10"/>
  <c r="A1" i="14"/>
  <c r="G6" i="14"/>
  <c r="I1" i="11"/>
  <c r="G7" i="11"/>
  <c r="G6" i="11"/>
  <c r="G7" i="12"/>
  <c r="A1" i="12"/>
  <c r="G6" i="12"/>
  <c r="E8" i="15"/>
  <c r="A1" i="15"/>
  <c r="E7" i="15"/>
  <c r="C8" i="17"/>
  <c r="G7" i="18"/>
  <c r="C8" i="18"/>
  <c r="G7" i="19"/>
  <c r="C8" i="19"/>
  <c r="F5" i="26"/>
  <c r="B6" i="26"/>
  <c r="AA63" i="25"/>
  <c r="X63" i="25"/>
  <c r="W63" i="25"/>
  <c r="V63" i="25"/>
  <c r="U63" i="25"/>
  <c r="O63" i="25"/>
  <c r="K63" i="25"/>
  <c r="J63" i="25"/>
  <c r="J16" i="7"/>
  <c r="J33" i="7"/>
  <c r="L33" i="7"/>
  <c r="L16" i="7"/>
  <c r="J17" i="7"/>
  <c r="L17" i="7"/>
  <c r="J18" i="7"/>
  <c r="L18" i="7"/>
  <c r="J32" i="7"/>
  <c r="L32" i="7"/>
  <c r="J34" i="7"/>
  <c r="L34" i="7"/>
  <c r="J35" i="7"/>
  <c r="L35" i="7"/>
  <c r="J36" i="7"/>
  <c r="L36" i="7"/>
  <c r="L25" i="7"/>
  <c r="J25" i="7"/>
  <c r="L24" i="7"/>
  <c r="J24" i="7"/>
  <c r="L23" i="7"/>
  <c r="J23" i="7"/>
  <c r="L22" i="7"/>
  <c r="J22" i="7"/>
  <c r="L21" i="7"/>
  <c r="J21" i="7"/>
  <c r="B4" i="1"/>
  <c r="C5" i="2" s="1"/>
  <c r="Q13" i="2"/>
  <c r="J7" i="4"/>
  <c r="H7" i="4"/>
  <c r="H9" i="4"/>
  <c r="H10" i="4"/>
  <c r="H11" i="4"/>
  <c r="H12" i="4"/>
  <c r="H13" i="4"/>
  <c r="H14" i="4"/>
  <c r="H17" i="4"/>
  <c r="H18" i="4"/>
  <c r="H22" i="4"/>
  <c r="H26" i="4"/>
  <c r="H27" i="4"/>
  <c r="H30" i="4"/>
  <c r="H31" i="4"/>
  <c r="H32" i="4"/>
  <c r="H50" i="4"/>
  <c r="H53" i="4"/>
  <c r="H54" i="4"/>
  <c r="H59" i="4"/>
  <c r="H60" i="4"/>
  <c r="H76" i="4"/>
  <c r="H79" i="4"/>
  <c r="H80" i="4"/>
  <c r="H81" i="4"/>
  <c r="H83" i="4"/>
  <c r="H84" i="4"/>
  <c r="H85" i="4"/>
  <c r="H86" i="4"/>
  <c r="H87" i="4"/>
  <c r="P102" i="4" s="1"/>
  <c r="D102" i="4" s="1"/>
  <c r="C102" i="4" s="1"/>
  <c r="H95" i="4"/>
  <c r="H96" i="4"/>
  <c r="H97" i="4"/>
  <c r="H98" i="4"/>
  <c r="H99" i="4"/>
  <c r="H101" i="4"/>
  <c r="H105" i="4"/>
  <c r="H106" i="4"/>
  <c r="H107" i="4"/>
  <c r="H108" i="4"/>
  <c r="H109" i="4"/>
  <c r="H110" i="4"/>
  <c r="H114" i="4"/>
  <c r="H116" i="4"/>
  <c r="H117" i="4"/>
  <c r="H119" i="4"/>
  <c r="H121" i="4"/>
  <c r="H122" i="4"/>
  <c r="H124" i="4"/>
  <c r="H125" i="4"/>
  <c r="H128" i="4"/>
  <c r="H129" i="4"/>
  <c r="H130" i="4"/>
  <c r="H131" i="4"/>
  <c r="H132" i="4"/>
  <c r="H133" i="4"/>
  <c r="H134" i="4"/>
  <c r="C94" i="4"/>
  <c r="C139" i="4"/>
  <c r="F4" i="1"/>
  <c r="E10" i="1"/>
  <c r="E9" i="1"/>
  <c r="D105" i="1"/>
  <c r="D114" i="1"/>
  <c r="D129" i="1"/>
  <c r="D91" i="1"/>
  <c r="D2" i="6"/>
  <c r="C3" i="24"/>
  <c r="C85" i="4"/>
  <c r="H55" i="4"/>
  <c r="A85" i="54"/>
  <c r="A90" i="54"/>
  <c r="A82" i="54"/>
  <c r="A81" i="54"/>
  <c r="A88" i="54"/>
  <c r="A86" i="54"/>
  <c r="A84" i="54"/>
  <c r="A83" i="54"/>
  <c r="A89" i="54"/>
  <c r="A2" i="17"/>
  <c r="A35" i="64" l="1"/>
  <c r="A29" i="64"/>
  <c r="A20" i="64"/>
  <c r="A7" i="64"/>
  <c r="A2" i="64"/>
  <c r="A24" i="64"/>
  <c r="J5" i="64"/>
  <c r="A5" i="64"/>
  <c r="A25" i="64"/>
  <c r="A19" i="64"/>
  <c r="A34" i="64"/>
  <c r="A31" i="64"/>
  <c r="A18" i="64"/>
  <c r="A6" i="64"/>
  <c r="A28" i="64"/>
  <c r="A17" i="64"/>
  <c r="A1" i="64"/>
  <c r="A38" i="64"/>
  <c r="A33" i="64"/>
  <c r="A30" i="64"/>
  <c r="A27" i="64"/>
  <c r="A23" i="64"/>
  <c r="A9" i="64"/>
  <c r="A4" i="64"/>
  <c r="A32" i="64"/>
  <c r="A22" i="64"/>
  <c r="A8" i="64"/>
  <c r="A3" i="64"/>
  <c r="A36" i="64"/>
  <c r="A26" i="64"/>
  <c r="A21" i="64"/>
  <c r="M80" i="61"/>
  <c r="D30" i="1"/>
  <c r="G31" i="18" s="1"/>
  <c r="M142" i="50"/>
  <c r="H92" i="50"/>
  <c r="I5" i="59"/>
  <c r="J5" i="22"/>
  <c r="F5" i="31"/>
  <c r="M82" i="61"/>
  <c r="M77" i="61"/>
  <c r="BY9" i="50"/>
  <c r="BY130" i="50"/>
  <c r="BZ130" i="50" s="1"/>
  <c r="BY131" i="50"/>
  <c r="BZ131" i="50" s="1"/>
  <c r="R92" i="50"/>
  <c r="Z92" i="50"/>
  <c r="AH92" i="50"/>
  <c r="AX92" i="50"/>
  <c r="BF92" i="50"/>
  <c r="BY126" i="50"/>
  <c r="BZ126" i="50" s="1"/>
  <c r="BY127" i="50"/>
  <c r="BZ127" i="50" s="1"/>
  <c r="BY134" i="50"/>
  <c r="BZ134" i="50" s="1"/>
  <c r="BH143" i="50"/>
  <c r="BY118" i="50"/>
  <c r="BZ118" i="50" s="1"/>
  <c r="BG142" i="50"/>
  <c r="AZ143" i="50"/>
  <c r="N92" i="50"/>
  <c r="AD92" i="50"/>
  <c r="AT92" i="50"/>
  <c r="V92" i="50"/>
  <c r="AL92" i="50"/>
  <c r="K92" i="50"/>
  <c r="AI92" i="50"/>
  <c r="D16" i="48"/>
  <c r="D16" i="1"/>
  <c r="M86" i="61" s="1"/>
  <c r="BP40" i="50"/>
  <c r="BP92" i="50" s="1"/>
  <c r="D15" i="48"/>
  <c r="D54" i="1"/>
  <c r="G30" i="19" s="1"/>
  <c r="D43" i="48"/>
  <c r="BY33" i="50"/>
  <c r="CA33" i="50" s="1"/>
  <c r="F7" i="61"/>
  <c r="W92" i="50"/>
  <c r="AE92" i="50"/>
  <c r="AU92" i="50"/>
  <c r="D142" i="50"/>
  <c r="BY30" i="50"/>
  <c r="CA30" i="50" s="1"/>
  <c r="H46" i="4"/>
  <c r="L19" i="7"/>
  <c r="BY100" i="50"/>
  <c r="BZ100" i="50" s="1"/>
  <c r="BY87" i="50"/>
  <c r="BZ87" i="50" s="1"/>
  <c r="BY82" i="50"/>
  <c r="BZ82" i="50" s="1"/>
  <c r="BY37" i="50"/>
  <c r="CA37" i="50" s="1"/>
  <c r="D15" i="1"/>
  <c r="G22" i="18" s="1"/>
  <c r="BY78" i="50"/>
  <c r="BZ78" i="50" s="1"/>
  <c r="BY97" i="50"/>
  <c r="BZ97" i="50" s="1"/>
  <c r="BO40" i="50"/>
  <c r="BY101" i="50"/>
  <c r="BZ101" i="50" s="1"/>
  <c r="BP114" i="50"/>
  <c r="BP129" i="50" s="1"/>
  <c r="BP137" i="50" s="1"/>
  <c r="BP141" i="50" s="1"/>
  <c r="BP142" i="50" s="1"/>
  <c r="BQ114" i="50"/>
  <c r="BQ129" i="50" s="1"/>
  <c r="BQ137" i="50" s="1"/>
  <c r="BQ141" i="50" s="1"/>
  <c r="C102" i="48"/>
  <c r="C113" i="48" s="1"/>
  <c r="C121" i="48" s="1"/>
  <c r="BN114" i="50"/>
  <c r="BN129" i="50" s="1"/>
  <c r="BN137" i="50" s="1"/>
  <c r="BN141" i="50" s="1"/>
  <c r="BN142" i="50" s="1"/>
  <c r="F5" i="57"/>
  <c r="H111" i="4"/>
  <c r="L2" i="7"/>
  <c r="K2" i="52"/>
  <c r="L3" i="7"/>
  <c r="K3" i="52"/>
  <c r="A33" i="22"/>
  <c r="A18" i="22"/>
  <c r="A28" i="22"/>
  <c r="C7" i="19"/>
  <c r="A24" i="22"/>
  <c r="P10" i="21"/>
  <c r="K9" i="21" s="1"/>
  <c r="K10" i="21" s="1"/>
  <c r="A25" i="22"/>
  <c r="A23" i="22"/>
  <c r="A8" i="22"/>
  <c r="B2" i="1"/>
  <c r="J5" i="32"/>
  <c r="J5" i="27"/>
  <c r="G5" i="12"/>
  <c r="F28" i="26"/>
  <c r="AB92" i="50"/>
  <c r="AR92" i="50"/>
  <c r="AV92" i="50"/>
  <c r="A2" i="46"/>
  <c r="E4" i="4"/>
  <c r="B5" i="52"/>
  <c r="A2" i="27"/>
  <c r="A2" i="18"/>
  <c r="A4" i="22"/>
  <c r="G5" i="54"/>
  <c r="N63" i="29"/>
  <c r="BY98" i="50"/>
  <c r="BZ98" i="50" s="1"/>
  <c r="AS92" i="50"/>
  <c r="AW92" i="50"/>
  <c r="BA92" i="50"/>
  <c r="BI92" i="50"/>
  <c r="BH92" i="50"/>
  <c r="A2" i="15"/>
  <c r="A2" i="14"/>
  <c r="A2" i="51"/>
  <c r="A2" i="32"/>
  <c r="A2" i="49"/>
  <c r="A2" i="31"/>
  <c r="A2" i="26"/>
  <c r="F33" i="10"/>
  <c r="M2" i="2"/>
  <c r="A30" i="22"/>
  <c r="J5" i="10"/>
  <c r="A34" i="22"/>
  <c r="H5" i="9"/>
  <c r="D5" i="41"/>
  <c r="A17" i="22"/>
  <c r="G5" i="11"/>
  <c r="C7" i="18"/>
  <c r="A1" i="22"/>
  <c r="A2" i="48"/>
  <c r="A3" i="48" s="1"/>
  <c r="A27" i="22"/>
  <c r="A7" i="22"/>
  <c r="A31" i="22"/>
  <c r="A16" i="22"/>
  <c r="A32" i="22"/>
  <c r="B5" i="7"/>
  <c r="G5" i="14"/>
  <c r="H5" i="51"/>
  <c r="A21" i="22"/>
  <c r="A19" i="22"/>
  <c r="E6" i="15"/>
  <c r="A35" i="22"/>
  <c r="E2" i="4"/>
  <c r="J138" i="4" s="1"/>
  <c r="A9" i="22"/>
  <c r="A10" i="22"/>
  <c r="A26" i="22"/>
  <c r="A20" i="22"/>
  <c r="B40" i="41"/>
  <c r="B34" i="41"/>
  <c r="B38" i="41"/>
  <c r="F27" i="22"/>
  <c r="D115" i="1"/>
  <c r="D130" i="1" s="1"/>
  <c r="D138" i="1" s="1"/>
  <c r="BM114" i="50"/>
  <c r="BM129" i="50" s="1"/>
  <c r="BM137" i="50" s="1"/>
  <c r="D26" i="48"/>
  <c r="M57" i="2"/>
  <c r="M58" i="2" s="1"/>
  <c r="J26" i="7"/>
  <c r="AG63" i="25"/>
  <c r="A22" i="22"/>
  <c r="A6" i="22"/>
  <c r="J5" i="28"/>
  <c r="J5" i="49"/>
  <c r="B5" i="26"/>
  <c r="A2" i="22"/>
  <c r="A3" i="22"/>
  <c r="A36" i="22"/>
  <c r="A29" i="22"/>
  <c r="A5" i="22"/>
  <c r="J5" i="46"/>
  <c r="C7" i="17"/>
  <c r="BN40" i="50"/>
  <c r="BN92" i="50" s="1"/>
  <c r="M92" i="50"/>
  <c r="Q92" i="50"/>
  <c r="U92" i="50"/>
  <c r="Y92" i="50"/>
  <c r="AK92" i="50"/>
  <c r="AO92" i="50"/>
  <c r="BY68" i="50"/>
  <c r="BX104" i="50"/>
  <c r="BM40" i="50"/>
  <c r="BM92" i="50" s="1"/>
  <c r="BY27" i="50"/>
  <c r="CA27" i="50" s="1"/>
  <c r="BC92" i="50"/>
  <c r="BY85" i="50"/>
  <c r="BZ85" i="50" s="1"/>
  <c r="BY89" i="50"/>
  <c r="BZ89" i="50" s="1"/>
  <c r="BY88" i="50"/>
  <c r="BZ88" i="50" s="1"/>
  <c r="AJ92" i="50"/>
  <c r="L92" i="50"/>
  <c r="BY31" i="50"/>
  <c r="CA31" i="50" s="1"/>
  <c r="BY38" i="50"/>
  <c r="CA38" i="50" s="1"/>
  <c r="BD92" i="50"/>
  <c r="BX58" i="50"/>
  <c r="BX65" i="50" s="1"/>
  <c r="BY86" i="50"/>
  <c r="BZ86" i="50" s="1"/>
  <c r="BX128" i="50"/>
  <c r="B36" i="41"/>
  <c r="B35" i="41"/>
  <c r="B33" i="41"/>
  <c r="B39" i="41"/>
  <c r="L37" i="7"/>
  <c r="BX39" i="50"/>
  <c r="BY29" i="50"/>
  <c r="CA29" i="50" s="1"/>
  <c r="K57" i="2"/>
  <c r="K58" i="2" s="1"/>
  <c r="M78" i="61" s="1"/>
  <c r="J19" i="7"/>
  <c r="BY32" i="50"/>
  <c r="CA32" i="50" s="1"/>
  <c r="AG92" i="50"/>
  <c r="G31" i="17"/>
  <c r="A2" i="9"/>
  <c r="A2" i="12"/>
  <c r="A2" i="19"/>
  <c r="B2" i="41"/>
  <c r="A2" i="11"/>
  <c r="A2" i="54"/>
  <c r="A2" i="28"/>
  <c r="BB92" i="50"/>
  <c r="AC92" i="50"/>
  <c r="BE92" i="50"/>
  <c r="BY16" i="50"/>
  <c r="CA16" i="50" s="1"/>
  <c r="BY20" i="50"/>
  <c r="CA20" i="50" s="1"/>
  <c r="BQ40" i="50"/>
  <c r="BQ92" i="50" s="1"/>
  <c r="S92" i="50"/>
  <c r="AA92" i="50"/>
  <c r="AM92" i="50"/>
  <c r="AQ92" i="50"/>
  <c r="AY92" i="50"/>
  <c r="BY12" i="50"/>
  <c r="CA12" i="50" s="1"/>
  <c r="P92" i="50"/>
  <c r="BO114" i="50"/>
  <c r="BO129" i="50" s="1"/>
  <c r="BO137" i="50" s="1"/>
  <c r="BO141" i="50" s="1"/>
  <c r="BO142" i="50" s="1"/>
  <c r="BY64" i="50"/>
  <c r="E30" i="1"/>
  <c r="H29" i="4"/>
  <c r="H88" i="4"/>
  <c r="H126" i="4"/>
  <c r="H102" i="4"/>
  <c r="J37" i="7"/>
  <c r="BY11" i="50"/>
  <c r="CA11" i="50" s="1"/>
  <c r="C2" i="22"/>
  <c r="BY17" i="50"/>
  <c r="AP92" i="50"/>
  <c r="BY74" i="50"/>
  <c r="BY99" i="50"/>
  <c r="BY46" i="50"/>
  <c r="CA46" i="50" s="1"/>
  <c r="O92" i="50"/>
  <c r="BG92" i="50"/>
  <c r="BX75" i="50"/>
  <c r="BY81" i="50"/>
  <c r="BY43" i="50"/>
  <c r="BY10" i="50"/>
  <c r="CA10" i="50" s="1"/>
  <c r="BY15" i="50"/>
  <c r="BY19" i="50"/>
  <c r="CA19" i="50" s="1"/>
  <c r="T92" i="50"/>
  <c r="X92" i="50"/>
  <c r="AF92" i="50"/>
  <c r="AN92" i="50"/>
  <c r="AZ92" i="50"/>
  <c r="BY83" i="50"/>
  <c r="BZ83" i="50" s="1"/>
  <c r="D141" i="1" l="1"/>
  <c r="M83" i="61"/>
  <c r="M81" i="61"/>
  <c r="E15" i="1"/>
  <c r="D24" i="1"/>
  <c r="CA9" i="50"/>
  <c r="BY24" i="50"/>
  <c r="J133" i="4"/>
  <c r="L133" i="4" s="1"/>
  <c r="J129" i="4"/>
  <c r="J122" i="4"/>
  <c r="J118" i="4"/>
  <c r="J114" i="4"/>
  <c r="L114" i="4" s="1"/>
  <c r="N114" i="4" s="1"/>
  <c r="J97" i="4"/>
  <c r="L97" i="4" s="1"/>
  <c r="N97" i="4" s="1"/>
  <c r="J86" i="4"/>
  <c r="L86" i="4" s="1"/>
  <c r="N86" i="4" s="1"/>
  <c r="J81" i="4"/>
  <c r="J72" i="4"/>
  <c r="L72" i="4" s="1"/>
  <c r="J67" i="4"/>
  <c r="L67" i="4" s="1"/>
  <c r="J59" i="4"/>
  <c r="J52" i="4"/>
  <c r="J130" i="4"/>
  <c r="J83" i="4"/>
  <c r="L83" i="4" s="1"/>
  <c r="J132" i="4"/>
  <c r="J128" i="4"/>
  <c r="L128" i="4" s="1"/>
  <c r="N128" i="4" s="1"/>
  <c r="J121" i="4"/>
  <c r="L121" i="4" s="1"/>
  <c r="N121" i="4" s="1"/>
  <c r="J117" i="4"/>
  <c r="L117" i="4" s="1"/>
  <c r="N117" i="4" s="1"/>
  <c r="J101" i="4"/>
  <c r="L101" i="4" s="1"/>
  <c r="J96" i="4"/>
  <c r="L96" i="4" s="1"/>
  <c r="J85" i="4"/>
  <c r="L85" i="4" s="1"/>
  <c r="N85" i="4" s="1"/>
  <c r="J80" i="4"/>
  <c r="L80" i="4" s="1"/>
  <c r="J70" i="4"/>
  <c r="J66" i="4"/>
  <c r="J55" i="4"/>
  <c r="L55" i="4" s="1"/>
  <c r="N55" i="4" s="1"/>
  <c r="J51" i="4"/>
  <c r="J119" i="4"/>
  <c r="L119" i="4" s="1"/>
  <c r="N119" i="4" s="1"/>
  <c r="J98" i="4"/>
  <c r="J87" i="4"/>
  <c r="L87" i="4" s="1"/>
  <c r="N87" i="4" s="1"/>
  <c r="J68" i="4"/>
  <c r="J53" i="4"/>
  <c r="L53" i="4" s="1"/>
  <c r="N53" i="4" s="1"/>
  <c r="J137" i="4"/>
  <c r="J131" i="4"/>
  <c r="L131" i="4" s="1"/>
  <c r="N131" i="4" s="1"/>
  <c r="J125" i="4"/>
  <c r="L125" i="4" s="1"/>
  <c r="N125" i="4" s="1"/>
  <c r="J120" i="4"/>
  <c r="L120" i="4" s="1"/>
  <c r="N120" i="4" s="1"/>
  <c r="J116" i="4"/>
  <c r="L116" i="4" s="1"/>
  <c r="N116" i="4" s="1"/>
  <c r="J99" i="4"/>
  <c r="L99" i="4" s="1"/>
  <c r="N99" i="4" s="1"/>
  <c r="J95" i="4"/>
  <c r="L95" i="4" s="1"/>
  <c r="N95" i="4" s="1"/>
  <c r="J84" i="4"/>
  <c r="L84" i="4" s="1"/>
  <c r="N84" i="4" s="1"/>
  <c r="J79" i="4"/>
  <c r="J69" i="4"/>
  <c r="J61" i="4"/>
  <c r="J54" i="4"/>
  <c r="L54" i="4" s="1"/>
  <c r="N54" i="4" s="1"/>
  <c r="J50" i="4"/>
  <c r="L50" i="4" s="1"/>
  <c r="J134" i="4"/>
  <c r="L134" i="4" s="1"/>
  <c r="J124" i="4"/>
  <c r="L124" i="4" s="1"/>
  <c r="N124" i="4" s="1"/>
  <c r="J115" i="4"/>
  <c r="J76" i="4"/>
  <c r="J60" i="4"/>
  <c r="L60" i="4" s="1"/>
  <c r="H11" i="1"/>
  <c r="H12" i="1"/>
  <c r="H10" i="1"/>
  <c r="BY128" i="50"/>
  <c r="BZ128" i="50" s="1"/>
  <c r="BY113" i="50"/>
  <c r="BZ113" i="50" s="1"/>
  <c r="H9" i="1"/>
  <c r="L142" i="50"/>
  <c r="L143" i="50"/>
  <c r="AJ142" i="50"/>
  <c r="AJ143" i="50"/>
  <c r="BP91" i="50"/>
  <c r="AP142" i="50"/>
  <c r="U142" i="50"/>
  <c r="AS142" i="50"/>
  <c r="BO91" i="50"/>
  <c r="BO92" i="50"/>
  <c r="AY143" i="50"/>
  <c r="P142" i="50"/>
  <c r="BC143" i="50"/>
  <c r="V143" i="50"/>
  <c r="BB143" i="50"/>
  <c r="H142" i="50"/>
  <c r="P2" i="1"/>
  <c r="J42" i="4"/>
  <c r="L42" i="4" s="1"/>
  <c r="N42" i="4" s="1"/>
  <c r="H15" i="4"/>
  <c r="H52" i="4"/>
  <c r="E54" i="1"/>
  <c r="D72" i="1"/>
  <c r="D73" i="1"/>
  <c r="H70" i="4" s="1"/>
  <c r="D37" i="1"/>
  <c r="H35" i="4" s="1"/>
  <c r="D143" i="50"/>
  <c r="M18" i="61"/>
  <c r="D72" i="2"/>
  <c r="BQ142" i="50"/>
  <c r="J34" i="4"/>
  <c r="N34" i="4" s="1"/>
  <c r="J38" i="7"/>
  <c r="J39" i="7" s="1"/>
  <c r="BN91" i="50"/>
  <c r="J21" i="4"/>
  <c r="J35" i="4"/>
  <c r="J44" i="4"/>
  <c r="J19" i="4"/>
  <c r="J17" i="4"/>
  <c r="L17" i="4" s="1"/>
  <c r="N17" i="4" s="1"/>
  <c r="E53" i="1"/>
  <c r="D29" i="1"/>
  <c r="H28" i="4" s="1"/>
  <c r="B3" i="1"/>
  <c r="B3" i="52" s="1"/>
  <c r="B2" i="52"/>
  <c r="C2" i="2"/>
  <c r="B2" i="7"/>
  <c r="J36" i="4"/>
  <c r="D140" i="1"/>
  <c r="H137" i="4" s="1"/>
  <c r="J107" i="4"/>
  <c r="L107" i="4" s="1"/>
  <c r="N107" i="4" s="1"/>
  <c r="H16" i="4"/>
  <c r="E16" i="1"/>
  <c r="AZ142" i="50"/>
  <c r="BY39" i="50"/>
  <c r="BG143" i="50"/>
  <c r="BH142" i="50"/>
  <c r="J108" i="4"/>
  <c r="L108" i="4" s="1"/>
  <c r="J15" i="4"/>
  <c r="N15" i="4" s="1"/>
  <c r="J28" i="4"/>
  <c r="J43" i="4"/>
  <c r="L43" i="4" s="1"/>
  <c r="N43" i="4" s="1"/>
  <c r="J26" i="4"/>
  <c r="J106" i="4"/>
  <c r="L106" i="4" s="1"/>
  <c r="N106" i="4" s="1"/>
  <c r="J32" i="4"/>
  <c r="L32" i="4" s="1"/>
  <c r="J45" i="4"/>
  <c r="J13" i="4"/>
  <c r="L13" i="4" s="1"/>
  <c r="N13" i="4" s="1"/>
  <c r="J16" i="4"/>
  <c r="N16" i="4" s="1"/>
  <c r="J11" i="4"/>
  <c r="J9" i="4"/>
  <c r="L9" i="4" s="1"/>
  <c r="L129" i="4"/>
  <c r="N129" i="4" s="1"/>
  <c r="J12" i="4"/>
  <c r="J29" i="4"/>
  <c r="J110" i="4"/>
  <c r="L110" i="4" s="1"/>
  <c r="N110" i="4" s="1"/>
  <c r="C123" i="48"/>
  <c r="C125" i="48" s="1"/>
  <c r="C127" i="48" s="1"/>
  <c r="J27" i="4"/>
  <c r="J30" i="4"/>
  <c r="J31" i="4"/>
  <c r="J105" i="4"/>
  <c r="L105" i="4" s="1"/>
  <c r="N105" i="4" s="1"/>
  <c r="J14" i="4"/>
  <c r="J10" i="4"/>
  <c r="L10" i="4" s="1"/>
  <c r="N10" i="4" s="1"/>
  <c r="J22" i="4"/>
  <c r="J37" i="4"/>
  <c r="J18" i="4"/>
  <c r="L18" i="4" s="1"/>
  <c r="N18" i="4" s="1"/>
  <c r="J109" i="4"/>
  <c r="D59" i="1"/>
  <c r="BX129" i="50"/>
  <c r="H51" i="4"/>
  <c r="BM142" i="50"/>
  <c r="F28" i="22"/>
  <c r="BZ39" i="50"/>
  <c r="BQ91" i="50"/>
  <c r="M143" i="50"/>
  <c r="BX40" i="50"/>
  <c r="BI142" i="50"/>
  <c r="BI143" i="50"/>
  <c r="D64" i="6"/>
  <c r="BZ99" i="50"/>
  <c r="BZ104" i="50" s="1"/>
  <c r="BY104" i="50"/>
  <c r="BY47" i="50"/>
  <c r="BZ81" i="50"/>
  <c r="BZ58" i="50"/>
  <c r="BY58" i="50"/>
  <c r="BY75" i="50"/>
  <c r="H112" i="4"/>
  <c r="Q38" i="2" l="1"/>
  <c r="H138" i="4"/>
  <c r="L138" i="4" s="1"/>
  <c r="N138" i="4" s="1"/>
  <c r="E141" i="1"/>
  <c r="M76" i="61"/>
  <c r="I33" i="10"/>
  <c r="Q53" i="2"/>
  <c r="I32" i="2"/>
  <c r="I22" i="2"/>
  <c r="Q22" i="2" s="1"/>
  <c r="I31" i="2"/>
  <c r="I21" i="2"/>
  <c r="Q21" i="2" s="1"/>
  <c r="Q52" i="2"/>
  <c r="Q51" i="2"/>
  <c r="I30" i="2"/>
  <c r="Q30" i="2" s="1"/>
  <c r="I20" i="2"/>
  <c r="I35" i="2"/>
  <c r="Q35" i="2" s="1"/>
  <c r="I29" i="2"/>
  <c r="I19" i="2"/>
  <c r="I26" i="2"/>
  <c r="Q48" i="2"/>
  <c r="I37" i="2"/>
  <c r="Q37" i="2" s="1"/>
  <c r="I28" i="2"/>
  <c r="I18" i="2"/>
  <c r="Q54" i="2"/>
  <c r="I34" i="2"/>
  <c r="Q34" i="2" s="1"/>
  <c r="I23" i="2"/>
  <c r="Q23" i="2" s="1"/>
  <c r="Q47" i="2"/>
  <c r="I36" i="2"/>
  <c r="Q36" i="2" s="1"/>
  <c r="I27" i="2"/>
  <c r="Q55" i="2"/>
  <c r="O22" i="52"/>
  <c r="O18" i="52"/>
  <c r="G25" i="52"/>
  <c r="O25" i="52" s="1"/>
  <c r="G24" i="52"/>
  <c r="O24" i="52" s="1"/>
  <c r="G22" i="52"/>
  <c r="G21" i="52"/>
  <c r="G20" i="52"/>
  <c r="O20" i="52" s="1"/>
  <c r="G19" i="52"/>
  <c r="O19" i="52" s="1"/>
  <c r="G23" i="52"/>
  <c r="CA39" i="50"/>
  <c r="BX90" i="50"/>
  <c r="BY90" i="50" s="1"/>
  <c r="BY65" i="50"/>
  <c r="CA58" i="50"/>
  <c r="H24" i="1"/>
  <c r="BK92" i="50"/>
  <c r="Q31" i="2"/>
  <c r="BY129" i="50"/>
  <c r="BZ129" i="50" s="1"/>
  <c r="BY114" i="50"/>
  <c r="BZ114" i="50" s="1"/>
  <c r="T143" i="50"/>
  <c r="T142" i="50"/>
  <c r="AU142" i="50"/>
  <c r="AU143" i="50"/>
  <c r="S142" i="50"/>
  <c r="S143" i="50"/>
  <c r="BD143" i="50"/>
  <c r="BD142" i="50"/>
  <c r="AL142" i="50"/>
  <c r="AL143" i="50"/>
  <c r="AR142" i="50"/>
  <c r="AR143" i="50"/>
  <c r="AQ142" i="50"/>
  <c r="AQ143" i="50"/>
  <c r="AK142" i="50"/>
  <c r="AK143" i="50"/>
  <c r="AW143" i="50"/>
  <c r="AW142" i="50"/>
  <c r="AO142" i="50"/>
  <c r="AO143" i="50"/>
  <c r="F143" i="50"/>
  <c r="F142" i="50"/>
  <c r="AF142" i="50"/>
  <c r="AF143" i="50"/>
  <c r="X143" i="50"/>
  <c r="X142" i="50"/>
  <c r="AN142" i="50"/>
  <c r="AN143" i="50"/>
  <c r="AV142" i="50"/>
  <c r="AV143" i="50"/>
  <c r="AC142" i="50"/>
  <c r="AC143" i="50"/>
  <c r="E142" i="50"/>
  <c r="E143" i="50"/>
  <c r="I142" i="50"/>
  <c r="I143" i="50"/>
  <c r="Y143" i="50"/>
  <c r="Y142" i="50"/>
  <c r="AB143" i="50"/>
  <c r="AB142" i="50"/>
  <c r="Q143" i="50"/>
  <c r="Q142" i="50"/>
  <c r="AX142" i="50"/>
  <c r="AX143" i="50"/>
  <c r="BF142" i="50"/>
  <c r="BF143" i="50"/>
  <c r="AD142" i="50"/>
  <c r="AD143" i="50"/>
  <c r="V142" i="50"/>
  <c r="AM143" i="50"/>
  <c r="AM142" i="50"/>
  <c r="AH142" i="50"/>
  <c r="AH143" i="50"/>
  <c r="BA142" i="50"/>
  <c r="BA143" i="50"/>
  <c r="O142" i="50"/>
  <c r="O143" i="50"/>
  <c r="K142" i="50"/>
  <c r="K143" i="50"/>
  <c r="AI142" i="50"/>
  <c r="AI143" i="50"/>
  <c r="BE142" i="50"/>
  <c r="BE143" i="50"/>
  <c r="J142" i="50"/>
  <c r="J143" i="50"/>
  <c r="AT143" i="50"/>
  <c r="AT142" i="50"/>
  <c r="R143" i="50"/>
  <c r="R142" i="50"/>
  <c r="Z142" i="50"/>
  <c r="Z143" i="50"/>
  <c r="W142" i="50"/>
  <c r="W143" i="50"/>
  <c r="G142" i="50"/>
  <c r="G143" i="50"/>
  <c r="AA143" i="50"/>
  <c r="AA142" i="50"/>
  <c r="AG142" i="50"/>
  <c r="AG143" i="50"/>
  <c r="N143" i="50"/>
  <c r="N142" i="50"/>
  <c r="AE143" i="50"/>
  <c r="AE142" i="50"/>
  <c r="U143" i="50"/>
  <c r="BB142" i="50"/>
  <c r="P143" i="50"/>
  <c r="AY142" i="50"/>
  <c r="AP143" i="50"/>
  <c r="AS143" i="50"/>
  <c r="BC142" i="50"/>
  <c r="H143" i="50"/>
  <c r="H23" i="4"/>
  <c r="L115" i="4"/>
  <c r="N115" i="4" s="1"/>
  <c r="L118" i="4"/>
  <c r="N118" i="4" s="1"/>
  <c r="H56" i="4"/>
  <c r="O21" i="52"/>
  <c r="D76" i="1"/>
  <c r="H69" i="4"/>
  <c r="H73" i="4" s="1"/>
  <c r="M79" i="61"/>
  <c r="J46" i="4"/>
  <c r="L46" i="4" s="1"/>
  <c r="N46" i="4" s="1"/>
  <c r="H48" i="1"/>
  <c r="H91" i="1"/>
  <c r="L34" i="4"/>
  <c r="L68" i="4"/>
  <c r="N68" i="4" s="1"/>
  <c r="L70" i="4"/>
  <c r="N70" i="4" s="1"/>
  <c r="L35" i="4"/>
  <c r="N35" i="4" s="1"/>
  <c r="N21" i="4"/>
  <c r="L21" i="4"/>
  <c r="L44" i="4"/>
  <c r="N44" i="4" s="1"/>
  <c r="L19" i="4"/>
  <c r="N19" i="4" s="1"/>
  <c r="BY40" i="50"/>
  <c r="L28" i="4"/>
  <c r="N28" i="4" s="1"/>
  <c r="N133" i="4"/>
  <c r="E3" i="4"/>
  <c r="L137" i="4"/>
  <c r="N137" i="4" s="1"/>
  <c r="H129" i="1"/>
  <c r="H65" i="1"/>
  <c r="H59" i="1"/>
  <c r="H76" i="1"/>
  <c r="H40" i="1"/>
  <c r="L52" i="4"/>
  <c r="N52" i="4" s="1"/>
  <c r="N83" i="4"/>
  <c r="D142" i="1"/>
  <c r="B3" i="7"/>
  <c r="C3" i="2"/>
  <c r="H114" i="1"/>
  <c r="G17" i="52"/>
  <c r="H105" i="1"/>
  <c r="J22" i="2"/>
  <c r="P22" i="2"/>
  <c r="N60" i="4"/>
  <c r="L16" i="4"/>
  <c r="N96" i="4"/>
  <c r="L51" i="4"/>
  <c r="N51" i="4" s="1"/>
  <c r="L11" i="4"/>
  <c r="N11" i="4" s="1"/>
  <c r="J62" i="4"/>
  <c r="N134" i="4"/>
  <c r="L29" i="4"/>
  <c r="N29" i="4" s="1"/>
  <c r="L132" i="4"/>
  <c r="N132" i="4" s="1"/>
  <c r="L98" i="4"/>
  <c r="N98" i="4" s="1"/>
  <c r="N80" i="4"/>
  <c r="N72" i="4"/>
  <c r="L15" i="4"/>
  <c r="J38" i="4"/>
  <c r="L26" i="4"/>
  <c r="N26" i="4" s="1"/>
  <c r="N45" i="4"/>
  <c r="L31" i="4"/>
  <c r="N31" i="4" s="1"/>
  <c r="L12" i="4"/>
  <c r="N12" i="4" s="1"/>
  <c r="L30" i="4"/>
  <c r="N30" i="4" s="1"/>
  <c r="L79" i="4"/>
  <c r="N79" i="4" s="1"/>
  <c r="L14" i="4"/>
  <c r="N14" i="4" s="1"/>
  <c r="J111" i="4"/>
  <c r="L111" i="4" s="1"/>
  <c r="N111" i="4" s="1"/>
  <c r="L45" i="4"/>
  <c r="N32" i="4"/>
  <c r="N108" i="4"/>
  <c r="L81" i="4"/>
  <c r="N81" i="4" s="1"/>
  <c r="N50" i="4"/>
  <c r="N67" i="4"/>
  <c r="N101" i="4"/>
  <c r="L27" i="4"/>
  <c r="N27" i="4" s="1"/>
  <c r="J56" i="4"/>
  <c r="N9" i="4"/>
  <c r="J102" i="4"/>
  <c r="L102" i="4" s="1"/>
  <c r="N102" i="4" s="1"/>
  <c r="J23" i="4"/>
  <c r="L66" i="4"/>
  <c r="N66" i="4" s="1"/>
  <c r="L76" i="4"/>
  <c r="N76" i="4" s="1"/>
  <c r="J88" i="4"/>
  <c r="L130" i="4"/>
  <c r="N130" i="4" s="1"/>
  <c r="L122" i="4"/>
  <c r="N122" i="4" s="1"/>
  <c r="L59" i="4"/>
  <c r="N59" i="4" s="1"/>
  <c r="L109" i="4"/>
  <c r="N109" i="4" s="1"/>
  <c r="N22" i="4"/>
  <c r="L22" i="4"/>
  <c r="J126" i="4"/>
  <c r="J73" i="4"/>
  <c r="F29" i="22"/>
  <c r="F30" i="22"/>
  <c r="H127" i="4"/>
  <c r="M64" i="61" l="1"/>
  <c r="O31" i="64"/>
  <c r="M69" i="61"/>
  <c r="I24" i="2"/>
  <c r="I56" i="2"/>
  <c r="I39" i="2"/>
  <c r="BX92" i="50"/>
  <c r="L23" i="4"/>
  <c r="N23" i="4" s="1"/>
  <c r="M21" i="52"/>
  <c r="K21" i="52"/>
  <c r="M22" i="52"/>
  <c r="K22" i="52"/>
  <c r="L73" i="4"/>
  <c r="N73" i="4" s="1"/>
  <c r="R21" i="52"/>
  <c r="O23" i="52"/>
  <c r="L69" i="4"/>
  <c r="N69" i="4" s="1"/>
  <c r="R22" i="52"/>
  <c r="L88" i="4"/>
  <c r="N88" i="4" s="1"/>
  <c r="D144" i="1"/>
  <c r="M26" i="61"/>
  <c r="G26" i="52"/>
  <c r="H66" i="1"/>
  <c r="H115" i="1"/>
  <c r="H130" i="1" s="1"/>
  <c r="H138" i="1" s="1"/>
  <c r="H142" i="1" s="1"/>
  <c r="H144" i="1" s="1"/>
  <c r="H41" i="1"/>
  <c r="O17" i="52"/>
  <c r="Q20" i="2"/>
  <c r="H18" i="7"/>
  <c r="N18" i="7" s="1"/>
  <c r="Q43" i="2"/>
  <c r="H32" i="7"/>
  <c r="Q32" i="2"/>
  <c r="H25" i="7"/>
  <c r="N25" i="7" s="1"/>
  <c r="Q27" i="2"/>
  <c r="H22" i="7"/>
  <c r="N22" i="7" s="1"/>
  <c r="Q46" i="2"/>
  <c r="H35" i="7"/>
  <c r="N35" i="7" s="1"/>
  <c r="H16" i="7"/>
  <c r="Q18" i="2"/>
  <c r="H21" i="7"/>
  <c r="N21" i="7" s="1"/>
  <c r="Q26" i="2"/>
  <c r="Q49" i="2"/>
  <c r="H36" i="7"/>
  <c r="N36" i="7" s="1"/>
  <c r="H33" i="7"/>
  <c r="N33" i="7" s="1"/>
  <c r="Q44" i="2"/>
  <c r="H17" i="7"/>
  <c r="N17" i="7" s="1"/>
  <c r="Q19" i="2"/>
  <c r="H34" i="7"/>
  <c r="N34" i="7" s="1"/>
  <c r="Q45" i="2"/>
  <c r="Q29" i="2"/>
  <c r="H24" i="7"/>
  <c r="N24" i="7" s="1"/>
  <c r="H23" i="7"/>
  <c r="N23" i="7" s="1"/>
  <c r="Q28" i="2"/>
  <c r="J63" i="4"/>
  <c r="L56" i="4"/>
  <c r="N56" i="4" s="1"/>
  <c r="J112" i="4"/>
  <c r="L112" i="4" s="1"/>
  <c r="J39" i="4"/>
  <c r="L126" i="4"/>
  <c r="N126" i="4" s="1"/>
  <c r="H135" i="4"/>
  <c r="S17" i="52" l="1"/>
  <c r="M54" i="61"/>
  <c r="O30" i="22"/>
  <c r="Q56" i="2"/>
  <c r="Q39" i="2"/>
  <c r="BK143" i="50"/>
  <c r="K26" i="52"/>
  <c r="M26" i="52"/>
  <c r="M33" i="61"/>
  <c r="M25" i="61"/>
  <c r="M27" i="61"/>
  <c r="Q24" i="2"/>
  <c r="D38" i="1" s="1"/>
  <c r="O26" i="52"/>
  <c r="H92" i="1"/>
  <c r="I57" i="2"/>
  <c r="I58" i="2" s="1"/>
  <c r="H26" i="7"/>
  <c r="H19" i="7"/>
  <c r="N16" i="7"/>
  <c r="N19" i="7" s="1"/>
  <c r="H37" i="7"/>
  <c r="N32" i="7"/>
  <c r="N37" i="7" s="1"/>
  <c r="J90" i="4"/>
  <c r="J127" i="4"/>
  <c r="L127" i="4" s="1"/>
  <c r="N112" i="4"/>
  <c r="H139" i="4"/>
  <c r="M34" i="61" s="1"/>
  <c r="Q57" i="2" l="1"/>
  <c r="D39" i="1" s="1"/>
  <c r="D64" i="1"/>
  <c r="C53" i="48"/>
  <c r="C54" i="48" s="1"/>
  <c r="C55" i="48" s="1"/>
  <c r="M28" i="61"/>
  <c r="C30" i="48"/>
  <c r="H38" i="7"/>
  <c r="H39" i="7" s="1"/>
  <c r="N127" i="4"/>
  <c r="J135" i="4"/>
  <c r="L135" i="4" s="1"/>
  <c r="H142" i="4"/>
  <c r="M30" i="61" l="1"/>
  <c r="O27" i="52"/>
  <c r="S58" i="2"/>
  <c r="M29" i="61"/>
  <c r="H37" i="4"/>
  <c r="L37" i="4" s="1"/>
  <c r="N37" i="4" s="1"/>
  <c r="C31" i="48"/>
  <c r="D66" i="48" s="1"/>
  <c r="Q58" i="2"/>
  <c r="D65" i="1"/>
  <c r="D66" i="1" s="1"/>
  <c r="H61" i="4"/>
  <c r="H62" i="4" s="1"/>
  <c r="E79" i="1"/>
  <c r="S25" i="2"/>
  <c r="D40" i="1"/>
  <c r="D41" i="1" s="1"/>
  <c r="H36" i="4"/>
  <c r="N135" i="4"/>
  <c r="J139" i="4"/>
  <c r="P139" i="4" l="1"/>
  <c r="M35" i="61"/>
  <c r="M24" i="61"/>
  <c r="C32" i="48"/>
  <c r="C33" i="48" s="1"/>
  <c r="C80" i="48" s="1"/>
  <c r="D92" i="1"/>
  <c r="L61" i="4"/>
  <c r="N61" i="4" s="1"/>
  <c r="H38" i="4"/>
  <c r="L36" i="4"/>
  <c r="N36" i="4" s="1"/>
  <c r="J142" i="4"/>
  <c r="L139" i="4"/>
  <c r="N139" i="4" s="1"/>
  <c r="L62" i="4"/>
  <c r="N62" i="4" s="1"/>
  <c r="H63" i="4"/>
  <c r="L63" i="4" s="1"/>
  <c r="N63" i="4" s="1"/>
  <c r="L38" i="4" l="1"/>
  <c r="N38" i="4" s="1"/>
  <c r="H39" i="4"/>
  <c r="P100" i="4" l="1"/>
  <c r="P123" i="4"/>
  <c r="P33" i="4"/>
  <c r="P71" i="4"/>
  <c r="P120" i="4"/>
  <c r="P20" i="4"/>
  <c r="P115" i="4"/>
  <c r="P118" i="4"/>
  <c r="M32" i="61"/>
  <c r="H90" i="4"/>
  <c r="P68" i="4"/>
  <c r="P42" i="4"/>
  <c r="P34" i="4"/>
  <c r="P36" i="4"/>
  <c r="D36" i="4" s="1"/>
  <c r="P37" i="4"/>
  <c r="D37" i="4" s="1"/>
  <c r="P35" i="4"/>
  <c r="P70" i="4"/>
  <c r="P21" i="4"/>
  <c r="P44" i="4"/>
  <c r="P19" i="4"/>
  <c r="P96" i="4"/>
  <c r="D96" i="4" s="1"/>
  <c r="P117" i="4"/>
  <c r="D117" i="4" s="1"/>
  <c r="P52" i="4"/>
  <c r="D52" i="4" s="1"/>
  <c r="P119" i="4"/>
  <c r="D119" i="4" s="1"/>
  <c r="P14" i="4"/>
  <c r="D14" i="4" s="1"/>
  <c r="C14" i="4" s="1"/>
  <c r="P131" i="4"/>
  <c r="D131" i="4" s="1"/>
  <c r="P130" i="4"/>
  <c r="D130" i="4" s="1"/>
  <c r="P121" i="4"/>
  <c r="D121" i="4" s="1"/>
  <c r="P116" i="4"/>
  <c r="D116" i="4" s="1"/>
  <c r="D12" i="4"/>
  <c r="C12" i="4" s="1"/>
  <c r="P17" i="4"/>
  <c r="D17" i="4" s="1"/>
  <c r="C17" i="4" s="1"/>
  <c r="P53" i="4"/>
  <c r="D53" i="4" s="1"/>
  <c r="P109" i="4"/>
  <c r="D109" i="4" s="1"/>
  <c r="P69" i="4"/>
  <c r="L39" i="4"/>
  <c r="N39" i="4" s="1"/>
  <c r="P28" i="4"/>
  <c r="D28" i="4" s="1"/>
  <c r="C28" i="4" s="1"/>
  <c r="P27" i="4"/>
  <c r="D27" i="4" s="1"/>
  <c r="C27" i="4" s="1"/>
  <c r="P67" i="4"/>
  <c r="P129" i="4"/>
  <c r="D129" i="4" s="1"/>
  <c r="P128" i="4"/>
  <c r="D128" i="4" s="1"/>
  <c r="P32" i="4"/>
  <c r="D32" i="4" s="1"/>
  <c r="C32" i="4" s="1"/>
  <c r="P11" i="4"/>
  <c r="D11" i="4" s="1"/>
  <c r="C11" i="4" s="1"/>
  <c r="P45" i="4"/>
  <c r="P122" i="4"/>
  <c r="D122" i="4" s="1"/>
  <c r="C122" i="4" s="1"/>
  <c r="P72" i="4"/>
  <c r="P97" i="4"/>
  <c r="D97" i="4" s="1"/>
  <c r="C97" i="4" s="1"/>
  <c r="P43" i="4"/>
  <c r="P9" i="4"/>
  <c r="P29" i="4"/>
  <c r="P106" i="4"/>
  <c r="D106" i="4" s="1"/>
  <c r="P108" i="4"/>
  <c r="D108" i="4" s="1"/>
  <c r="P16" i="4"/>
  <c r="D16" i="4" s="1"/>
  <c r="C16" i="4" s="1"/>
  <c r="P101" i="4"/>
  <c r="D101" i="4" s="1"/>
  <c r="C101" i="4" s="1"/>
  <c r="P54" i="4"/>
  <c r="D54" i="4" s="1"/>
  <c r="C54" i="4" s="1"/>
  <c r="P105" i="4"/>
  <c r="D105" i="4" s="1"/>
  <c r="P30" i="4"/>
  <c r="D30" i="4" s="1"/>
  <c r="P8" i="4"/>
  <c r="P55" i="4"/>
  <c r="D55" i="4" s="1"/>
  <c r="C55" i="4" s="1"/>
  <c r="P59" i="4"/>
  <c r="D59" i="4" s="1"/>
  <c r="C59" i="4" s="1"/>
  <c r="P10" i="4"/>
  <c r="D10" i="4" s="1"/>
  <c r="P107" i="4"/>
  <c r="D107" i="4" s="1"/>
  <c r="P95" i="4"/>
  <c r="D95" i="4" s="1"/>
  <c r="P13" i="4"/>
  <c r="D13" i="4" s="1"/>
  <c r="P110" i="4"/>
  <c r="D110" i="4" s="1"/>
  <c r="P124" i="4"/>
  <c r="D124" i="4" s="1"/>
  <c r="C124" i="4" s="1"/>
  <c r="P26" i="4"/>
  <c r="D26" i="4" s="1"/>
  <c r="P60" i="4"/>
  <c r="D60" i="4" s="1"/>
  <c r="C60" i="4" s="1"/>
  <c r="P98" i="4"/>
  <c r="D98" i="4" s="1"/>
  <c r="C98" i="4" s="1"/>
  <c r="P114" i="4"/>
  <c r="D114" i="4" s="1"/>
  <c r="P134" i="4"/>
  <c r="D134" i="4" s="1"/>
  <c r="C134" i="4" s="1"/>
  <c r="P99" i="4"/>
  <c r="D99" i="4" s="1"/>
  <c r="P31" i="4"/>
  <c r="D31" i="4" s="1"/>
  <c r="P18" i="4"/>
  <c r="D18" i="4" s="1"/>
  <c r="C18" i="4" s="1"/>
  <c r="P51" i="4"/>
  <c r="D51" i="4" s="1"/>
  <c r="C51" i="4" s="1"/>
  <c r="P66" i="4"/>
  <c r="P125" i="4"/>
  <c r="D125" i="4" s="1"/>
  <c r="C125" i="4" s="1"/>
  <c r="P50" i="4"/>
  <c r="D50" i="4" s="1"/>
  <c r="P22" i="4"/>
  <c r="D22" i="4" s="1"/>
  <c r="C22" i="4" s="1"/>
  <c r="P15" i="4"/>
  <c r="D15" i="4" s="1"/>
  <c r="C15" i="4" s="1"/>
  <c r="P132" i="4"/>
  <c r="D132" i="4" s="1"/>
  <c r="C132" i="4" s="1"/>
  <c r="P133" i="4"/>
  <c r="D133" i="4" s="1"/>
  <c r="C133" i="4" s="1"/>
  <c r="P61" i="4"/>
  <c r="D61" i="4" s="1"/>
  <c r="M87" i="61" l="1"/>
  <c r="D9" i="4"/>
  <c r="C116" i="4" s="1"/>
  <c r="C52" i="4"/>
  <c r="C31" i="4"/>
  <c r="C30" i="4"/>
  <c r="C121" i="4"/>
  <c r="C26" i="4"/>
  <c r="C99" i="4"/>
  <c r="C131" i="4"/>
  <c r="C110" i="4"/>
  <c r="C53" i="4"/>
  <c r="C119" i="4"/>
  <c r="C109" i="4"/>
  <c r="C130" i="4"/>
  <c r="C13" i="4"/>
  <c r="P5" i="4"/>
  <c r="C129" i="4" l="1"/>
  <c r="C50" i="4"/>
  <c r="C96" i="4"/>
  <c r="C10" i="4"/>
  <c r="C37" i="4"/>
  <c r="C128" i="4"/>
  <c r="C106" i="4"/>
  <c r="C61" i="4"/>
  <c r="C108" i="4"/>
  <c r="C36" i="4"/>
  <c r="C105" i="4"/>
  <c r="C9" i="4"/>
  <c r="C107" i="4"/>
  <c r="C95" i="4"/>
  <c r="C114" i="4"/>
  <c r="C117" i="4"/>
  <c r="CA15" i="50"/>
  <c r="CA17" i="50"/>
  <c r="BZ24" i="50"/>
  <c r="BZ40" i="50" s="1"/>
  <c r="CA40" i="50" s="1"/>
  <c r="CA24" i="50" l="1"/>
  <c r="CA43" i="50"/>
  <c r="BZ47" i="50"/>
  <c r="CA47" i="50" s="1"/>
  <c r="CA62" i="50"/>
  <c r="BZ64" i="50"/>
  <c r="CA64" i="50" s="1"/>
  <c r="BZ65" i="50" l="1"/>
  <c r="CA65" i="50" s="1"/>
  <c r="CA68" i="50"/>
  <c r="CA74" i="50"/>
  <c r="CA69" i="50"/>
  <c r="BZ75" i="50"/>
  <c r="CA75" i="50" s="1"/>
  <c r="CB96" i="50"/>
  <c r="BZ141" i="50" l="1"/>
  <c r="BS137" i="50"/>
  <c r="BS141" i="50"/>
  <c r="BX137" i="50"/>
  <c r="BY137" i="50" l="1"/>
  <c r="BZ137" i="50" s="1"/>
  <c r="BY136" i="50"/>
  <c r="BZ136" i="50" s="1"/>
  <c r="O57" i="2"/>
  <c r="O58" i="2" s="1"/>
  <c r="L26" i="7"/>
  <c r="L38" i="7" s="1"/>
  <c r="L39" i="7" s="1"/>
  <c r="N26" i="7" l="1"/>
  <c r="N38" i="7" s="1"/>
  <c r="N39" i="7" s="1"/>
  <c r="N4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Helen K. Vozzo</author>
    <author>Krellner, John R</author>
    <author>BURTOFT, JOANNIE W</author>
  </authors>
  <commentList>
    <comment ref="B14" authorId="0" shapeId="0" xr:uid="{00000000-0006-0000-0200-000001000000}">
      <text>
        <r>
          <rPr>
            <sz val="8"/>
            <color indexed="81"/>
            <rFont val="Tahoma"/>
            <family val="2"/>
          </rPr>
          <t>Due from Primary Gov amt must meet $1 million threshold; this caption is NOT for amt due from System Office for construction. Receivable from System office for construction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B15" authorId="0" shapeId="0" xr:uid="{00000000-0006-0000-0200-000002000000}">
      <text>
        <r>
          <rPr>
            <sz val="8"/>
            <color indexed="81"/>
            <rFont val="Tahoma"/>
            <family val="2"/>
          </rPr>
          <t>Due from State of NC Component Units. Must agree to worksheet 525.  1 million dollar threshold applies.</t>
        </r>
        <r>
          <rPr>
            <sz val="8"/>
            <color indexed="81"/>
            <rFont val="Tahoma"/>
            <family val="2"/>
          </rPr>
          <t xml:space="preserve">
</t>
        </r>
      </text>
    </comment>
    <comment ref="D15" authorId="1" shapeId="0" xr:uid="{00000000-0006-0000-0200-000003000000}">
      <text>
        <r>
          <rPr>
            <b/>
            <sz val="9"/>
            <color indexed="81"/>
            <rFont val="Tahoma"/>
            <family val="2"/>
          </rPr>
          <t>complete ws 525 first</t>
        </r>
        <r>
          <rPr>
            <sz val="9"/>
            <color indexed="81"/>
            <rFont val="Tahoma"/>
            <family val="2"/>
          </rPr>
          <t xml:space="preserve">
</t>
        </r>
      </text>
    </comment>
    <comment ref="B16" authorId="0" shapeId="0" xr:uid="{00000000-0006-0000-0200-000004000000}">
      <text>
        <r>
          <rPr>
            <sz val="8"/>
            <color indexed="81"/>
            <rFont val="Tahoma"/>
            <family val="2"/>
          </rPr>
          <t xml:space="preserve">Only for college with discretely presented component unit.  Amount due from a component unit foundation of the college should be recorded here and will be eliminated by OSC during the Annual Report compilation (no threshold)
</t>
        </r>
      </text>
    </comment>
    <comment ref="D16" authorId="1" shapeId="0" xr:uid="{00000000-0006-0000-0200-000005000000}">
      <text>
        <r>
          <rPr>
            <b/>
            <sz val="9"/>
            <color indexed="81"/>
            <rFont val="Tahoma"/>
            <family val="2"/>
          </rPr>
          <t>complete ws 616 first</t>
        </r>
        <r>
          <rPr>
            <sz val="9"/>
            <color indexed="81"/>
            <rFont val="Tahoma"/>
            <family val="2"/>
          </rPr>
          <t xml:space="preserve">
</t>
        </r>
      </text>
    </comment>
    <comment ref="B29" authorId="0" shapeId="0" xr:uid="{00000000-0006-0000-0200-000006000000}">
      <text>
        <r>
          <rPr>
            <sz val="8"/>
            <color indexed="81"/>
            <rFont val="Tahoma"/>
            <family val="2"/>
          </rPr>
          <t xml:space="preserve">Restricted due from Primary Government must agree to amount per System Office; represents amount due from State 
System Office for construction balances. Do not include this number on any Annual Report worksheet.
</t>
        </r>
      </text>
    </comment>
    <comment ref="B30" authorId="0" shapeId="0" xr:uid="{00000000-0006-0000-0200-000007000000}">
      <text>
        <r>
          <rPr>
            <sz val="8"/>
            <color indexed="81"/>
            <rFont val="Tahoma"/>
            <family val="2"/>
          </rPr>
          <t>New caption for FY2008 added July 2008. 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Must agree to w/s 525</t>
        </r>
      </text>
    </comment>
    <comment ref="D30" authorId="1" shapeId="0" xr:uid="{00000000-0006-0000-0200-000008000000}">
      <text>
        <r>
          <rPr>
            <b/>
            <sz val="9"/>
            <color indexed="81"/>
            <rFont val="Tahoma"/>
            <family val="2"/>
          </rPr>
          <t>Complete ws 525 first</t>
        </r>
        <r>
          <rPr>
            <sz val="9"/>
            <color indexed="81"/>
            <rFont val="Tahoma"/>
            <family val="2"/>
          </rPr>
          <t xml:space="preserve">
</t>
        </r>
      </text>
    </comment>
    <comment ref="B38" authorId="0" shapeId="0" xr:uid="{00000000-0006-0000-0200-000009000000}">
      <text>
        <r>
          <rPr>
            <sz val="8"/>
            <color indexed="81"/>
            <rFont val="Tahoma"/>
            <family val="2"/>
          </rPr>
          <t xml:space="preserve">Do the Capital Assets worksheet first
</t>
        </r>
      </text>
    </comment>
    <comment ref="B39" authorId="0" shapeId="0" xr:uid="{00000000-0006-0000-0200-00000A000000}">
      <text>
        <r>
          <rPr>
            <sz val="8"/>
            <color indexed="81"/>
            <rFont val="Tahoma"/>
            <family val="2"/>
          </rPr>
          <t>Do the Capital Assets worksheet first</t>
        </r>
      </text>
    </comment>
    <comment ref="B53" authorId="0" shapeId="0" xr:uid="{00000000-0006-0000-0200-00000B000000}">
      <text>
        <r>
          <rPr>
            <sz val="8"/>
            <color indexed="81"/>
            <rFont val="Tahoma"/>
            <family val="2"/>
          </rPr>
          <t>Due to Prim Gov - Must agree to worksheet 520 and represents amts due to State Prison Enterprises, Motor Fleet, ITS and State Telecommunications</t>
        </r>
      </text>
    </comment>
    <comment ref="B54" authorId="0" shapeId="0" xr:uid="{00000000-0006-0000-0200-00000C000000}">
      <text>
        <r>
          <rPr>
            <sz val="8"/>
            <color indexed="81"/>
            <rFont val="Tahoma"/>
            <family val="2"/>
          </rPr>
          <t xml:space="preserve">Due to St of NC Comp Units - See list of Comp units in Instructions - must meet $1 million threshold
</t>
        </r>
      </text>
    </comment>
    <comment ref="B58" authorId="0" shapeId="0" xr:uid="{00000000-0006-0000-0200-00000D000000}">
      <text>
        <r>
          <rPr>
            <sz val="8"/>
            <color indexed="81"/>
            <rFont val="Tahoma"/>
            <family val="2"/>
          </rPr>
          <t xml:space="preserve">Do the Long-Term Liabilities worksheet first
</t>
        </r>
      </text>
    </comment>
    <comment ref="B64" authorId="0" shapeId="0" xr:uid="{00000000-0006-0000-0200-00000E000000}">
      <text>
        <r>
          <rPr>
            <sz val="8"/>
            <color indexed="81"/>
            <rFont val="Tahoma"/>
            <family val="2"/>
          </rPr>
          <t>Do the Long-Term Liabilities worksheet first</t>
        </r>
      </text>
    </comment>
    <comment ref="B72" authorId="2" shapeId="0" xr:uid="{CEAF231C-3356-4543-812B-B5AF0AE1B262}">
      <text>
        <r>
          <rPr>
            <b/>
            <sz val="9"/>
            <color indexed="81"/>
            <rFont val="Tahoma"/>
            <family val="2"/>
          </rPr>
          <t>Krellner, John R:</t>
        </r>
        <r>
          <rPr>
            <sz val="9"/>
            <color indexed="81"/>
            <rFont val="Tahoma"/>
            <family val="2"/>
          </rPr>
          <t xml:space="preserve">
Pulls from Pension/OPEB WS</t>
        </r>
      </text>
    </comment>
    <comment ref="B73" authorId="2" shapeId="0" xr:uid="{F528D3D5-C5E0-4087-B755-959D23F9B0E9}">
      <text>
        <r>
          <rPr>
            <b/>
            <sz val="9"/>
            <color indexed="81"/>
            <rFont val="Tahoma"/>
            <family val="2"/>
          </rPr>
          <t>Krellner, John R:</t>
        </r>
        <r>
          <rPr>
            <sz val="9"/>
            <color indexed="81"/>
            <rFont val="Tahoma"/>
            <family val="2"/>
          </rPr>
          <t xml:space="preserve">
Pulls from Pension/OPEB WS</t>
        </r>
      </text>
    </comment>
    <comment ref="B80" authorId="0" shapeId="0" xr:uid="{00000000-0006-0000-0200-00000F000000}">
      <text>
        <r>
          <rPr>
            <sz val="8"/>
            <color indexed="81"/>
            <rFont val="Tahoma"/>
            <family val="2"/>
          </rPr>
          <t xml:space="preserve">See Net Assets policy in instructions. No category of </t>
        </r>
        <r>
          <rPr>
            <b/>
            <sz val="8"/>
            <color indexed="81"/>
            <rFont val="Tahoma"/>
            <family val="2"/>
          </rPr>
          <t>restricted</t>
        </r>
        <r>
          <rPr>
            <sz val="8"/>
            <color indexed="81"/>
            <rFont val="Tahoma"/>
            <family val="2"/>
          </rPr>
          <t xml:space="preserve"> net assets can be negative. If liabilities that relate to restricted assets exceed those assets, no balance should be reported; the negative amt should be reported as a reduction of unrestricted.
</t>
        </r>
      </text>
    </comment>
    <comment ref="B90" authorId="0" shapeId="0" xr:uid="{00000000-0006-0000-0200-000010000000}">
      <text>
        <r>
          <rPr>
            <sz val="8"/>
            <color indexed="81"/>
            <rFont val="Tahoma"/>
            <family val="2"/>
          </rPr>
          <t>Unrestricted is the "residual" component of net assets; does not meet the def'n of "restricted" or "invest in cap assets, net of related debt." Unrestricted may be negative.</t>
        </r>
      </text>
    </comment>
    <comment ref="B99" authorId="0" shapeId="0" xr:uid="{00000000-0006-0000-0200-000011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B100" authorId="0" shapeId="0" xr:uid="{00000000-0006-0000-0200-000012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B117" authorId="0" shapeId="0" xr:uid="{00000000-0006-0000-0200-000013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B118" authorId="3" shapeId="0" xr:uid="{2230C2E5-0506-4716-B0E9-3F7B3A300F51}">
      <text>
        <r>
          <rPr>
            <b/>
            <sz val="9"/>
            <color indexed="81"/>
            <rFont val="Tahoma"/>
            <family val="2"/>
          </rPr>
          <t>BURTOFT, JOANNIE W:</t>
        </r>
        <r>
          <rPr>
            <sz val="9"/>
            <color indexed="81"/>
            <rFont val="Tahoma"/>
            <family val="2"/>
          </rPr>
          <t xml:space="preserve">
This account should only be used for entities receiving coronavirus relief funds or American Rescue Plan State Fiscal Recovery Funds DIRECTLY from OSBM.</t>
        </r>
      </text>
    </comment>
    <comment ref="B120" authorId="0" shapeId="0" xr:uid="{00000000-0006-0000-0200-000014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B121" authorId="3" shapeId="0" xr:uid="{33E147BB-99FC-4404-BCCD-9E38672DC317}">
      <text>
        <r>
          <rPr>
            <b/>
            <sz val="9"/>
            <color indexed="81"/>
            <rFont val="Tahoma"/>
            <family val="2"/>
          </rPr>
          <t>BURTOFT, JOANNIE W:</t>
        </r>
        <r>
          <rPr>
            <sz val="9"/>
            <color indexed="81"/>
            <rFont val="Tahoma"/>
            <family val="2"/>
          </rPr>
          <t xml:space="preserve">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the Annual Report presentation purposes.</t>
        </r>
      </text>
    </comment>
    <comment ref="B123" authorId="3" shapeId="0" xr:uid="{0472B530-1725-4B70-81CD-593E4E24CC2F}">
      <text>
        <r>
          <rPr>
            <b/>
            <sz val="9"/>
            <color indexed="81"/>
            <rFont val="Tahoma"/>
            <family val="2"/>
          </rPr>
          <t>BURTOFT, JOANNIE W:</t>
        </r>
        <r>
          <rPr>
            <sz val="9"/>
            <color indexed="81"/>
            <rFont val="Tahoma"/>
            <family val="2"/>
          </rPr>
          <t xml:space="preserve">
This is a new account caption for FY2021. Amounts in this caption should reflect the proportionate share of the State Health Plan's contribution to the Retiree Health Benefit Fund (RHBF) for employer participants.</t>
        </r>
      </text>
    </comment>
    <comment ref="B131" authorId="0" shapeId="0" xr:uid="{00000000-0006-0000-0200-000015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B132" authorId="0" shapeId="0" xr:uid="{00000000-0006-0000-0200-000016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B133" authorId="2" shapeId="0" xr:uid="{EBC8A0D4-F3AD-4A55-AAC8-83EEE8F0B94B}">
      <text>
        <r>
          <rPr>
            <b/>
            <sz val="9"/>
            <color indexed="81"/>
            <rFont val="Tahoma"/>
            <family val="2"/>
          </rPr>
          <t>Krellner, John R:</t>
        </r>
        <r>
          <rPr>
            <sz val="9"/>
            <color indexed="81"/>
            <rFont val="Tahoma"/>
            <family val="2"/>
          </rPr>
          <t xml:space="preserve">
INCLUDES SCIF (State Capital Infrastructure Funds)
</t>
        </r>
      </text>
    </comment>
    <comment ref="B136" authorId="0" shapeId="0" xr:uid="{00000000-0006-0000-0200-000017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the </t>
        </r>
        <r>
          <rPr>
            <b/>
            <sz val="8"/>
            <color indexed="81"/>
            <rFont val="Tahoma"/>
            <family val="2"/>
          </rPr>
          <t>Annual</t>
        </r>
        <r>
          <rPr>
            <sz val="8"/>
            <color indexed="81"/>
            <rFont val="Tahoma"/>
            <family val="2"/>
          </rPr>
          <t xml:space="preserve"> </t>
        </r>
        <r>
          <rPr>
            <b/>
            <sz val="8"/>
            <color indexed="81"/>
            <rFont val="Tahoma"/>
            <family val="2"/>
          </rPr>
          <t>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B137" authorId="0" shapeId="0" xr:uid="{00000000-0006-0000-0200-000018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annual</t>
        </r>
        <r>
          <rPr>
            <b/>
            <sz val="8"/>
            <color indexed="81"/>
            <rFont val="Tahoma"/>
            <family val="2"/>
          </rPr>
          <t xml:space="preserve"> </t>
        </r>
        <r>
          <rPr>
            <sz val="8"/>
            <color indexed="81"/>
            <rFont val="Tahoma"/>
            <family val="2"/>
          </rPr>
          <t xml:space="preserve">reporting, defined as threshold of </t>
        </r>
        <r>
          <rPr>
            <b/>
            <sz val="8"/>
            <color indexed="81"/>
            <rFont val="Tahoma"/>
            <family val="2"/>
          </rPr>
          <t>$10 million</t>
        </r>
        <r>
          <rPr>
            <sz val="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Sisson, Virginia P</author>
  </authors>
  <commentList>
    <comment ref="E25" authorId="0" shapeId="0" xr:uid="{CCCD3EBF-1BFE-498A-9A65-1C986A104541}">
      <text>
        <r>
          <rPr>
            <sz val="9"/>
            <color indexed="81"/>
            <rFont val="Tahoma"/>
            <family val="2"/>
          </rPr>
          <t xml:space="preserve">New caption for 2019 - GASB 83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14" authorId="0" shapeId="0" xr:uid="{00000000-0006-0000-1E00-000001000000}">
      <text>
        <r>
          <rPr>
            <sz val="8"/>
            <color indexed="81"/>
            <rFont val="Tahoma"/>
            <family val="2"/>
          </rPr>
          <t>Due from Primary Gov amt must meet $1 million threshold; this caption is NOT for amt due from System Office for construction. Receivable from System office for consruction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A15" authorId="0" shapeId="0" xr:uid="{00000000-0006-0000-1E00-000002000000}">
      <text>
        <r>
          <rPr>
            <sz val="8"/>
            <color indexed="81"/>
            <rFont val="Tahoma"/>
            <family val="2"/>
          </rPr>
          <t>Due from State of NC Component Units.  Exception: Any amt due from Golden LEAF for noncapital grant  must be shown here and recorded on worksheet 525</t>
        </r>
        <r>
          <rPr>
            <sz val="8"/>
            <color indexed="81"/>
            <rFont val="Tahoma"/>
            <family val="2"/>
          </rPr>
          <t xml:space="preserve">
</t>
        </r>
      </text>
    </comment>
    <comment ref="A16" authorId="0" shapeId="0" xr:uid="{00000000-0006-0000-1E00-000003000000}">
      <text>
        <r>
          <rPr>
            <sz val="8"/>
            <color indexed="81"/>
            <rFont val="Tahoma"/>
            <family val="2"/>
          </rPr>
          <t xml:space="preserve">Only for college with discretely presented component unit.  Amount due from a component unit foundation of the college should be recorded here and will be eliminated by OSC during CAFR compilation (no threshold)
</t>
        </r>
        <r>
          <rPr>
            <sz val="8"/>
            <color indexed="81"/>
            <rFont val="Tahoma"/>
            <family val="2"/>
          </rPr>
          <t xml:space="preserve">
</t>
        </r>
      </text>
    </comment>
    <comment ref="A25" authorId="0" shapeId="0" xr:uid="{00000000-0006-0000-1E00-000004000000}">
      <text>
        <r>
          <rPr>
            <sz val="8"/>
            <color indexed="81"/>
            <rFont val="Tahoma"/>
            <family val="2"/>
          </rPr>
          <t>Restricted due from Primary Government must agree to amount per System Office; represents amount due from State System Office for construction balances. Do not include this number on any CAFR worksheet.</t>
        </r>
        <r>
          <rPr>
            <sz val="8"/>
            <color indexed="81"/>
            <rFont val="Tahoma"/>
            <family val="2"/>
          </rPr>
          <t xml:space="preserve">
</t>
        </r>
      </text>
    </comment>
    <comment ref="A26" authorId="0" shapeId="0" xr:uid="{00000000-0006-0000-1E00-000005000000}">
      <text>
        <r>
          <rPr>
            <sz val="8"/>
            <color indexed="81"/>
            <rFont val="Tahoma"/>
            <family val="2"/>
          </rPr>
          <t>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Exception for Golden LEAF, no threshold; show any amt due from Golden LEAF regardless of amt if definition met; must agree to w/s 525.</t>
        </r>
      </text>
    </comment>
    <comment ref="A30" authorId="0" shapeId="0" xr:uid="{00000000-0006-0000-1E00-000006000000}">
      <text>
        <r>
          <rPr>
            <sz val="8"/>
            <color indexed="81"/>
            <rFont val="Tahoma"/>
            <family val="2"/>
          </rPr>
          <t xml:space="preserve">Do the Capital Assets worksheet first
</t>
        </r>
      </text>
    </comment>
    <comment ref="A31" authorId="0" shapeId="0" xr:uid="{00000000-0006-0000-1E00-000007000000}">
      <text>
        <r>
          <rPr>
            <sz val="8"/>
            <color indexed="81"/>
            <rFont val="Tahoma"/>
            <family val="2"/>
          </rPr>
          <t>Do the Capital Assets worksheet first</t>
        </r>
      </text>
    </comment>
    <comment ref="A43" authorId="0" shapeId="0" xr:uid="{00000000-0006-0000-1E00-000008000000}">
      <text>
        <r>
          <rPr>
            <sz val="8"/>
            <color indexed="81"/>
            <rFont val="Tahoma"/>
            <family val="2"/>
          </rPr>
          <t>Due to Prim Gov - Must agree to worksheet 520 and represents amts due to State Prison Enterprises, Motor Fleet, ITS and State Telecommunications</t>
        </r>
      </text>
    </comment>
    <comment ref="A44" authorId="0" shapeId="0" xr:uid="{00000000-0006-0000-1E00-000009000000}">
      <text>
        <r>
          <rPr>
            <sz val="8"/>
            <color indexed="81"/>
            <rFont val="Tahoma"/>
            <family val="2"/>
          </rPr>
          <t xml:space="preserve">Due to St of NC Comp Units - See list of Comp units in Instructions - must meet $1 million threshold
</t>
        </r>
      </text>
    </comment>
    <comment ref="A47" authorId="0" shapeId="0" xr:uid="{00000000-0006-0000-1E00-00000A000000}">
      <text>
        <r>
          <rPr>
            <sz val="8"/>
            <color indexed="81"/>
            <rFont val="Tahoma"/>
            <family val="2"/>
          </rPr>
          <t xml:space="preserve">Do the Long-Term Liabilities worksheet first
</t>
        </r>
      </text>
    </comment>
    <comment ref="A53" authorId="0" shapeId="0" xr:uid="{00000000-0006-0000-1E00-00000B000000}">
      <text>
        <r>
          <rPr>
            <sz val="8"/>
            <color indexed="81"/>
            <rFont val="Tahoma"/>
            <family val="2"/>
          </rPr>
          <t>Do the Long-Term Liabilities worksheet first</t>
        </r>
      </text>
    </comment>
    <comment ref="A67" authorId="0" shapeId="0" xr:uid="{00000000-0006-0000-1E00-00000C000000}">
      <text>
        <r>
          <rPr>
            <sz val="8"/>
            <color indexed="81"/>
            <rFont val="Tahoma"/>
            <family val="2"/>
          </rPr>
          <t xml:space="preserve">See Net Position policy in instructions. No category of </t>
        </r>
        <r>
          <rPr>
            <b/>
            <sz val="8"/>
            <color indexed="81"/>
            <rFont val="Tahoma"/>
            <family val="2"/>
          </rPr>
          <t>restricted</t>
        </r>
        <r>
          <rPr>
            <sz val="8"/>
            <color indexed="81"/>
            <rFont val="Tahoma"/>
            <family val="2"/>
          </rPr>
          <t xml:space="preserve"> net position can be negative. If liabilities that relate to restricted assets exceed those assets, no balance should be reported; the negative amt should be reported as a reduction of unrestricted.
</t>
        </r>
      </text>
    </comment>
    <comment ref="A77" authorId="0" shapeId="0" xr:uid="{00000000-0006-0000-1E00-00000D000000}">
      <text>
        <r>
          <rPr>
            <sz val="8"/>
            <color indexed="81"/>
            <rFont val="Tahoma"/>
            <family val="2"/>
          </rPr>
          <t>Unrestricted is the "residual" component of net position; does not meet the def'n of "restricted" or "Net invested in cap assets." Unrestricted may be negative.</t>
        </r>
      </text>
    </comment>
    <comment ref="A87" authorId="0" shapeId="0" xr:uid="{00000000-0006-0000-1E00-00000E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A88" authorId="0" shapeId="0" xr:uid="{00000000-0006-0000-1E00-00000F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A104" authorId="0" shapeId="0" xr:uid="{00000000-0006-0000-1E00-000010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A106" authorId="0" shapeId="0" xr:uid="{00000000-0006-0000-1E00-000011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A114" authorId="0" shapeId="0" xr:uid="{00000000-0006-0000-1E00-000012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A115" authorId="0" shapeId="0" xr:uid="{00000000-0006-0000-1E00-000013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A119" authorId="0" shapeId="0" xr:uid="{00000000-0006-0000-1E00-000014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A120" authorId="0" shapeId="0" xr:uid="{00000000-0006-0000-1E00-000015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List>
</comments>
</file>

<file path=xl/sharedStrings.xml><?xml version="1.0" encoding="utf-8"?>
<sst xmlns="http://schemas.openxmlformats.org/spreadsheetml/2006/main" count="4623" uniqueCount="1962">
  <si>
    <t>Office of the State Controller</t>
  </si>
  <si>
    <t>Instructions and Index</t>
  </si>
  <si>
    <t>Header Information</t>
  </si>
  <si>
    <t>Choose your college name from the drop down list and complete the preparer information below.  This information will be carried to the header of each individual worksheet.</t>
  </si>
  <si>
    <t>College name:</t>
  </si>
  <si>
    <t>Alamance Community College</t>
  </si>
  <si>
    <t>College number:</t>
  </si>
  <si>
    <t>Preparer:</t>
  </si>
  <si>
    <t>Phone:</t>
  </si>
  <si>
    <t>E-mail address:</t>
  </si>
  <si>
    <t>Printing Instructions</t>
  </si>
  <si>
    <r>
      <t xml:space="preserve">To print </t>
    </r>
    <r>
      <rPr>
        <u/>
        <sz val="12"/>
        <rFont val="Times New Roman"/>
        <family val="1"/>
      </rPr>
      <t>all</t>
    </r>
    <r>
      <rPr>
        <sz val="12"/>
        <rFont val="Times New Roman"/>
        <family val="1"/>
      </rPr>
      <t xml:space="preserve"> worksheets at one time, choose File, Print, and print "Entire workbook."</t>
    </r>
  </si>
  <si>
    <t>General Instructions</t>
  </si>
  <si>
    <t>Enter numbers for Exhibits A &amp; B as you would for financial statement presentation, using</t>
  </si>
  <si>
    <t>negative numbers only in the Net Position section on Exhibit A to represent a deficit balance,</t>
  </si>
  <si>
    <t>and in the Nonoperating Revenues (Expenses) section on Exhibit B to represent expenses.</t>
  </si>
  <si>
    <t>Throughout the workbook all numbers that are to be subtracted should be entered as</t>
  </si>
  <si>
    <t>negative numbers in the cells in order for the formulas to calculate properly.</t>
  </si>
  <si>
    <t>Due date:  8/26/23 - Earlier submission is strongly encouraged. Thanks!</t>
  </si>
  <si>
    <t xml:space="preserve">ALL updates made to the package after April 28, 2023, will be listed on the "Pkg Updates" tab.  </t>
  </si>
  <si>
    <t xml:space="preserve">Please review before submitting your package to determine if the changes impact your entity.  </t>
  </si>
  <si>
    <t>Contact OSC with questions.</t>
  </si>
  <si>
    <t>Index</t>
  </si>
  <si>
    <t>To go directly to a specific worksheet, click on the corresponding link below.  To return to this Index</t>
  </si>
  <si>
    <t>worksheet, press Ctrl i, or click on the words "Office of the State Controller" at the top of any worksheet.</t>
  </si>
  <si>
    <t xml:space="preserve">All worksheets must be completed or labeled not applicable on the table below. This index sheet </t>
  </si>
  <si>
    <t xml:space="preserve">must be properly filled out to account for all the worksheets and ensure the package is complete. </t>
  </si>
  <si>
    <t xml:space="preserve">To label a worksheet as "Not Applicable" (NA), enter a "na" in the NA column below. For reference </t>
  </si>
  <si>
    <t>worksheets and required worksheets that must be completed, the NA box is shaded in.</t>
  </si>
  <si>
    <t>Sheet</t>
  </si>
  <si>
    <t>NA</t>
  </si>
  <si>
    <t>Worksheet Title</t>
  </si>
  <si>
    <t>ExhA&amp;B</t>
  </si>
  <si>
    <t>Exhibit A-Statement of Net Position and Exhibit B-Statement of Revenues, Expenses and Changes in Net Position</t>
  </si>
  <si>
    <t>Capital Assets</t>
  </si>
  <si>
    <t>Changes in Capital Assets</t>
  </si>
  <si>
    <t>Long-Term Liabilities</t>
  </si>
  <si>
    <t xml:space="preserve">Changes in Long-Term Liabilities </t>
  </si>
  <si>
    <t>Analytical Review</t>
  </si>
  <si>
    <t xml:space="preserve">Worksheet for computing variances for Analytical Review w/s 625 </t>
  </si>
  <si>
    <t>Summary of Significant Accounting Policies</t>
  </si>
  <si>
    <t xml:space="preserve">Public-Private and Public-Public Partnership Arrangements </t>
  </si>
  <si>
    <t>Government Combinations and Disposals of Government Operations</t>
  </si>
  <si>
    <t xml:space="preserve">Capital Asset Impairments </t>
  </si>
  <si>
    <t xml:space="preserve">Capital Asset Statistics </t>
  </si>
  <si>
    <t xml:space="preserve">Leases </t>
  </si>
  <si>
    <r>
      <t xml:space="preserve">Subscription Based Information Techology Arrangements (SBITAs) </t>
    </r>
    <r>
      <rPr>
        <sz val="12"/>
        <color rgb="FFFF0000"/>
        <rFont val="Times New Roman"/>
        <family val="1"/>
      </rPr>
      <t>New FY 2023</t>
    </r>
  </si>
  <si>
    <r>
      <t xml:space="preserve">Summary Table for Leases and SBITAs </t>
    </r>
    <r>
      <rPr>
        <sz val="12"/>
        <color rgb="FFFF0000"/>
        <rFont val="Times New Roman"/>
        <family val="1"/>
      </rPr>
      <t>New FY 2023</t>
    </r>
  </si>
  <si>
    <t>Certain Asset Retirement Obligations</t>
  </si>
  <si>
    <t>Contingencies</t>
  </si>
  <si>
    <t>Construction and Other Significant Commitments</t>
  </si>
  <si>
    <t>Subsequent Events/Other Items</t>
  </si>
  <si>
    <t>Related Party Transactions</t>
  </si>
  <si>
    <t>Stewardship, Compliance, and Accountability</t>
  </si>
  <si>
    <t>Restatements (Prior Period Adjustments)</t>
  </si>
  <si>
    <t>Schedule of Due to Primary Government</t>
  </si>
  <si>
    <t>Schedule of Due from /Restricted Due From State of NC Component Units</t>
  </si>
  <si>
    <t>Schedule of Due to State of NC Component Units</t>
  </si>
  <si>
    <t xml:space="preserve">Employer Contribution Amounts for TSERS and OPEB </t>
  </si>
  <si>
    <t>Significant Transactions between Component Units</t>
  </si>
  <si>
    <t xml:space="preserve">Schedule of Due from College Component Units </t>
  </si>
  <si>
    <t xml:space="preserve">Analytical Review </t>
  </si>
  <si>
    <t>Explanations</t>
  </si>
  <si>
    <t>Comments</t>
  </si>
  <si>
    <t>Your Comments and Suggestions</t>
  </si>
  <si>
    <t>Coll Filenames</t>
  </si>
  <si>
    <t>List of all colleges and their agency numbers and Annual Report filenames</t>
  </si>
  <si>
    <t>Agencies</t>
  </si>
  <si>
    <t>List of all agencies in the State of NC Reporting Entity</t>
  </si>
  <si>
    <t>ExhA&amp;B definitions
&amp; messages</t>
  </si>
  <si>
    <t>Example Exhibit A&amp;B showing definitions, error messages and source for pre-populated cells</t>
  </si>
  <si>
    <t>Dates</t>
  </si>
  <si>
    <t>Fiscal Year End</t>
  </si>
  <si>
    <t>Fiscal Year Begin</t>
  </si>
  <si>
    <t>Last Fiscal Year End</t>
  </si>
  <si>
    <t>Next Fiscal Year Begin</t>
  </si>
  <si>
    <t>Next Fiscal Year End</t>
  </si>
  <si>
    <t>OFFICE OF THE STATE CONTROLLER</t>
  </si>
  <si>
    <t>STATEWIDE  ACCOUNTING   DIVISION</t>
  </si>
  <si>
    <r>
      <t>COMMUNITY COLLEGES  YEAR-END CLOSE PACKAGE</t>
    </r>
    <r>
      <rPr>
        <b/>
        <sz val="11"/>
        <color indexed="10"/>
        <rFont val="Arial"/>
        <family val="2"/>
      </rPr>
      <t xml:space="preserve"> </t>
    </r>
  </si>
  <si>
    <t>STATUS INDICATOR DASHBOARD</t>
  </si>
  <si>
    <t>FOR JUNE 30, 2023</t>
  </si>
  <si>
    <t xml:space="preserve">COLLEGE NO. </t>
  </si>
  <si>
    <t xml:space="preserve">DATE </t>
  </si>
  <si>
    <t>COLLEGE NAME</t>
  </si>
  <si>
    <t>CONTACT</t>
  </si>
  <si>
    <t>PHONE</t>
  </si>
  <si>
    <t>REVIEWED BY:</t>
  </si>
  <si>
    <t>APPROVED BY:</t>
  </si>
  <si>
    <t>Annual Report E-PACKAGE FILENAME</t>
  </si>
  <si>
    <r>
      <rPr>
        <b/>
        <sz val="10"/>
        <rFont val="Tahoma"/>
        <family val="2"/>
      </rPr>
      <t>OSC Only:  Verify</t>
    </r>
    <r>
      <rPr>
        <sz val="10"/>
        <rFont val="Tahoma"/>
        <family val="2"/>
      </rPr>
      <t xml:space="preserve"> the FCCS Entity on the ExhA&amp;B WS is 48100G </t>
    </r>
  </si>
  <si>
    <r>
      <rPr>
        <b/>
        <sz val="10"/>
        <rFont val="Tahoma"/>
        <family val="2"/>
      </rPr>
      <t>OSC Only:  Verify</t>
    </r>
    <r>
      <rPr>
        <sz val="10"/>
        <rFont val="Tahoma"/>
        <family val="2"/>
      </rPr>
      <t xml:space="preserve"> the FCCS Agency on the ExhA&amp;B WS is the 2 digit college number on the Index tab </t>
    </r>
  </si>
  <si>
    <t>for that college. For example, Alamance Community College is C0.</t>
  </si>
  <si>
    <t>Note: If you make any changes on the Tabs-you must use the delete key to clear cell information on Tabs</t>
  </si>
  <si>
    <t>Exhibit A&amp;B balance sheet is in balance 2023</t>
  </si>
  <si>
    <t>Exhibit A&amp;B balance sheet is in balance 2022</t>
  </si>
  <si>
    <t>Net position Exhibit A&amp;B end of year balance sheet = Net position end of year statement of net position 2023</t>
  </si>
  <si>
    <t>Net position Exhibit A&amp;B end of year balance sheet = Net position end of year statement of net position 2022</t>
  </si>
  <si>
    <t>Capital assets non-depreciable = amount on Exhibit A&amp;B</t>
  </si>
  <si>
    <t>Capital assets depreciable = amount on Exhibit A&amp;B</t>
  </si>
  <si>
    <t>Long term liability total ties to Exhibit A&amp;B</t>
  </si>
  <si>
    <t>Long term liability current portion total ties to Exhibit A&amp;B</t>
  </si>
  <si>
    <t>Analytical review balance sheet is in balance 2023</t>
  </si>
  <si>
    <t>Analytical review balance sheet is in balance 2022</t>
  </si>
  <si>
    <t>Analytical review end of year balance sheet = Net position end of year statement of net position 2023</t>
  </si>
  <si>
    <t>Analytical review end of year balance sheet = Net position end of year statement of net position 2022</t>
  </si>
  <si>
    <t>Worksheet 101 inventory valuation question answered appropriately</t>
  </si>
  <si>
    <t>Worksheet 101 Capitalization Assets other than Leases question answered appropriately</t>
  </si>
  <si>
    <t>Worksheet 101 threshold amount identified if applicable</t>
  </si>
  <si>
    <t>Worksheet 101 Capitalization of Leases question answered appropriately</t>
  </si>
  <si>
    <t>Worksheet 101 depreciation method question answered appropriately</t>
  </si>
  <si>
    <t>Worksheet 101 Program Revenue question answered appropriately</t>
  </si>
  <si>
    <t>Worksheet 101 amount identified if applicable</t>
  </si>
  <si>
    <t>Worksheet 101 Capitalization of Artwork question answered appropriately</t>
  </si>
  <si>
    <t>Worksheet 101 blended foundation question answered appropriately</t>
  </si>
  <si>
    <t>Worksheet 101 blended foundation identified if applicable</t>
  </si>
  <si>
    <t>Worksheet 101 discrete foundation questions answered appropriately</t>
  </si>
  <si>
    <t>Worksheet 101 discrete foundation identified if applicable</t>
  </si>
  <si>
    <t>Worksheet 110 question is answered appropriately</t>
  </si>
  <si>
    <t xml:space="preserve">Worksheet 120 question yes/no is answered </t>
  </si>
  <si>
    <t>Worksheet 120 combination/disposal category answered or not applicable</t>
  </si>
  <si>
    <t>Worksheet 220 question is answered appropriately</t>
  </si>
  <si>
    <t>Worksheet 301 PV of Future Lease Pymts = Leases Payable on LT Liab w/s</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</si>
  <si>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</si>
  <si>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</si>
  <si>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</si>
  <si>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</si>
  <si>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</si>
  <si>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</si>
  <si>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Worksheet 302 PV of Future Subscription Pymts = Subscription Payable on LT Liab w/s</t>
  </si>
  <si>
    <t>NEW FY 2023</t>
  </si>
  <si>
    <t>Worksheet 303 Summary of Lease Pymts =  Leases Payable on LT Liab w/s</t>
  </si>
  <si>
    <t>Worksheet 303 Summary of Current Portion Lease Pymts =  Current Portion Leases Pay on LT Liab w/s</t>
  </si>
  <si>
    <t>Worksheet 303 Summary of Lease Receivables =  Lease Receivables on ExhA&amp;B w/s</t>
  </si>
  <si>
    <t>Worksheet 303 Summ of Current Portion Lease Rec =  Current Portion Lease Rec on ExhA&amp;B w/s</t>
  </si>
  <si>
    <t>Worksheet 303 Summary of Subscription Pymts =  Current Portion Subscription Payable on LT Liab w/s</t>
  </si>
  <si>
    <t>Worksheet 303 Summary of Current Portion Subscription Pymts =  Current Portion Sub Pay on LT Liab w/s</t>
  </si>
  <si>
    <t>Worksheet 345 questions are answered appropriately</t>
  </si>
  <si>
    <t>Worksheet 355 questions are answered appropriately (Y/N)</t>
  </si>
  <si>
    <t>Worksheet 355 subsequent event explanation provided if applicable</t>
  </si>
  <si>
    <t>Worksheet 355 other items explanation provided if applicable</t>
  </si>
  <si>
    <t>Worksheet 425 question answered appropriately</t>
  </si>
  <si>
    <t>Total restatements Exhibit 430 = Restatement amount on Exhibit A&amp;B</t>
  </si>
  <si>
    <t>Worksheet 430 long term liability restatement = Restatement per long-term liability tab</t>
  </si>
  <si>
    <t>Worksheet 430 capital transactions restatement = Restatement per capital assets tab</t>
  </si>
  <si>
    <t>Restricted due from primary government Exhibit A&amp;B = amount per Community College System Office</t>
  </si>
  <si>
    <t xml:space="preserve"> </t>
  </si>
  <si>
    <t>Worksheet 520 total = Due to Primary Government Exhibit A&amp;B</t>
  </si>
  <si>
    <t>Worksheet 525 subtotal = Due from Comp Unit Exhibit A&amp;B</t>
  </si>
  <si>
    <t>Worksheet 525 subtotal = Restricted due from Comp Units Exhibit A&amp;B</t>
  </si>
  <si>
    <t>Worksheet 530 total = Restricted due to Comp Units Exhibit A&amp;B</t>
  </si>
  <si>
    <t>Worksheet 602 completed showing TSERS, RHBF, &amp; DIPNC contributions</t>
  </si>
  <si>
    <t>Worksheet 610 employer's share of medical insurance premiums paid to State Health Plan is reported</t>
  </si>
  <si>
    <t>Worksheet 616 total = Due from college component unit Exhibit A&amp;B</t>
  </si>
  <si>
    <t>Worksheet 625 If there is a Comment required from Analycial Review it is provided here 6/30/2023</t>
  </si>
  <si>
    <t>PROBLEMS NOTED AND ACTION TAKEN.</t>
  </si>
  <si>
    <t>Package Updates made after April 28, 2023</t>
  </si>
  <si>
    <t>OSC Only</t>
  </si>
  <si>
    <t>Date of Change</t>
  </si>
  <si>
    <t>Worksheet / Narrative #</t>
  </si>
  <si>
    <t>Description of Change</t>
  </si>
  <si>
    <t>Analyst</t>
  </si>
  <si>
    <t>Web Team Notified to Update SIG</t>
  </si>
  <si>
    <t>Revision Date for SIG</t>
  </si>
  <si>
    <t>Date Agencies Notified</t>
  </si>
  <si>
    <t>Kim Battle</t>
  </si>
  <si>
    <t>FCCS Entity</t>
  </si>
  <si>
    <t>48100G</t>
  </si>
  <si>
    <t>this col-</t>
  </si>
  <si>
    <t>Preparer Name:</t>
  </si>
  <si>
    <t>FCCS Agency</t>
  </si>
  <si>
    <t>*Enter FCCS equivalent Agency. Example - C0</t>
  </si>
  <si>
    <t xml:space="preserve">OSC </t>
  </si>
  <si>
    <t>Preparer Phone:</t>
  </si>
  <si>
    <t>Use Only</t>
  </si>
  <si>
    <t>Exhibit A - Statement of Net Position</t>
  </si>
  <si>
    <t>Prior Year - to compare</t>
  </si>
  <si>
    <t>ASSETS</t>
  </si>
  <si>
    <t>Current assets</t>
  </si>
  <si>
    <t>Cash and cash equivalents</t>
  </si>
  <si>
    <t>Restricted cash and cash equivalents</t>
  </si>
  <si>
    <t>11R11000</t>
  </si>
  <si>
    <t>Short-term investments</t>
  </si>
  <si>
    <t>Restricted short-term investments</t>
  </si>
  <si>
    <t xml:space="preserve">Receivables, net </t>
  </si>
  <si>
    <t>Due from primary government</t>
  </si>
  <si>
    <t>Due from State of NC component units (ws 525)</t>
  </si>
  <si>
    <t>Due from college component units (ws 616)</t>
  </si>
  <si>
    <t>Inventories</t>
  </si>
  <si>
    <t>Prepaid items</t>
  </si>
  <si>
    <t xml:space="preserve">Notes receivable, net </t>
  </si>
  <si>
    <t>Lease receivable, net</t>
  </si>
  <si>
    <t>PPP Asset receivable, net</t>
  </si>
  <si>
    <t>New for  FY2023</t>
  </si>
  <si>
    <t>Beneficial interest in assets held by others</t>
  </si>
  <si>
    <t>Net OPEB asset</t>
  </si>
  <si>
    <t>Total current assets</t>
  </si>
  <si>
    <t>Noncurrent assets</t>
  </si>
  <si>
    <t>Restricted due from primary government</t>
  </si>
  <si>
    <t>Restricted due from State of NC Component unit (ws 525)</t>
  </si>
  <si>
    <t>Restricted investments</t>
  </si>
  <si>
    <t>Other investments</t>
  </si>
  <si>
    <t>Capital assets - nondepreciable</t>
  </si>
  <si>
    <t xml:space="preserve">Capital assets - depreciable, net </t>
  </si>
  <si>
    <t>Total noncurrent assets</t>
  </si>
  <si>
    <t>Total assets</t>
  </si>
  <si>
    <t>DEFERRED OUTFLOWS OF RESOURCES</t>
  </si>
  <si>
    <t>Deferred outflows for ARO</t>
  </si>
  <si>
    <t>Deferred outflows for pensions</t>
  </si>
  <si>
    <t>Deferred outflows for OPEB</t>
  </si>
  <si>
    <t>Other deferred outflows</t>
  </si>
  <si>
    <t>Total deferred outflows of resources</t>
  </si>
  <si>
    <t>LIABILITIES</t>
  </si>
  <si>
    <t>Current Liabilities:</t>
  </si>
  <si>
    <t>Accounts payable and accrued liabilities</t>
  </si>
  <si>
    <t>Due to primary government (ws 520)</t>
  </si>
  <si>
    <t>Due to State of NC component units (ws 530)</t>
  </si>
  <si>
    <t>Obligations under securities lending</t>
  </si>
  <si>
    <t>Unearned revenue</t>
  </si>
  <si>
    <t>Funds held for others</t>
  </si>
  <si>
    <t>Long-term liabilities - current portion</t>
  </si>
  <si>
    <t>Total current liabilities</t>
  </si>
  <si>
    <t>Noncurrent Liabilities:</t>
  </si>
  <si>
    <t>U.S. Government grants refundable</t>
  </si>
  <si>
    <t>Long-term liabilities</t>
  </si>
  <si>
    <t>Total noncurrent liabilities</t>
  </si>
  <si>
    <t>Total liabilities</t>
  </si>
  <si>
    <t>DEFERRED INFLOWS OF RESOURCES</t>
  </si>
  <si>
    <t>Deferred Inflows for PPP Arrangements</t>
  </si>
  <si>
    <t>Title Chage for   FY2023</t>
  </si>
  <si>
    <t>Deferred inflows - nonexchange transactions</t>
  </si>
  <si>
    <t>Deferred inflows for irrevocable split-interest agreements</t>
  </si>
  <si>
    <t>Deferred inflows for pensions</t>
  </si>
  <si>
    <t>Deferred inflows for OPEB</t>
  </si>
  <si>
    <t>Deferred Inflows for lease agreements</t>
  </si>
  <si>
    <t>Other deferred inflows</t>
  </si>
  <si>
    <t>Total deferred inflows of resources</t>
  </si>
  <si>
    <t>NET POSITION</t>
  </si>
  <si>
    <t>Net investment in capital assets</t>
  </si>
  <si>
    <t>NetinvestmentCapitalAssets</t>
  </si>
  <si>
    <t>CapProjectsReno</t>
  </si>
  <si>
    <t>Restricted for:</t>
  </si>
  <si>
    <t xml:space="preserve">    Nonexpendable:</t>
  </si>
  <si>
    <t xml:space="preserve">     Scholarships and fellowships</t>
  </si>
  <si>
    <t>NonExpendable</t>
  </si>
  <si>
    <t>Higher Ed</t>
  </si>
  <si>
    <t xml:space="preserve">     Loans</t>
  </si>
  <si>
    <t>Loans</t>
  </si>
  <si>
    <t xml:space="preserve">     Other</t>
  </si>
  <si>
    <t>OthPur</t>
  </si>
  <si>
    <t xml:space="preserve">    Expendable:</t>
  </si>
  <si>
    <t>Expendable</t>
  </si>
  <si>
    <t xml:space="preserve">     Capital projects</t>
  </si>
  <si>
    <t>Unrestricted</t>
  </si>
  <si>
    <t>UnRestricted</t>
  </si>
  <si>
    <t>No Function</t>
  </si>
  <si>
    <t>Total net position</t>
  </si>
  <si>
    <t>Exhibit B - Statement of Revenues, Expenses,</t>
  </si>
  <si>
    <t>and Changes in Net Position</t>
  </si>
  <si>
    <t>REVENUES</t>
  </si>
  <si>
    <t>Operating Revenues</t>
  </si>
  <si>
    <t>Student tuition and fees, net</t>
  </si>
  <si>
    <t xml:space="preserve">Federal grants and contracts </t>
  </si>
  <si>
    <t>427AA000</t>
  </si>
  <si>
    <t>State and local grants and contracts</t>
  </si>
  <si>
    <t>428AA000</t>
  </si>
  <si>
    <t>Nongovernmental grants and contracts</t>
  </si>
  <si>
    <t>42BAA000</t>
  </si>
  <si>
    <t>Sales and services, net</t>
  </si>
  <si>
    <t>Rental and lease earnings</t>
  </si>
  <si>
    <t>Other operating revenues</t>
  </si>
  <si>
    <t>Total operating revenues</t>
  </si>
  <si>
    <t>EXPENSES</t>
  </si>
  <si>
    <t>Operating Expenses</t>
  </si>
  <si>
    <t>Personal services</t>
  </si>
  <si>
    <t>Supplies and materials</t>
  </si>
  <si>
    <t>Services</t>
  </si>
  <si>
    <t>Scholarships and fellowships</t>
  </si>
  <si>
    <t>Utilities</t>
  </si>
  <si>
    <t>Depreciation</t>
  </si>
  <si>
    <t>Total operating expenses</t>
  </si>
  <si>
    <t xml:space="preserve">     Operating loss</t>
  </si>
  <si>
    <t>NONOPERATING REVENUES (EXPENSES)</t>
  </si>
  <si>
    <t xml:space="preserve">State aid </t>
  </si>
  <si>
    <t>2690A</t>
  </si>
  <si>
    <t>State aid - Coronavirus</t>
  </si>
  <si>
    <t>County appropriations</t>
  </si>
  <si>
    <t xml:space="preserve">Noncapital grants </t>
  </si>
  <si>
    <t>NonCapitalGrants</t>
  </si>
  <si>
    <t>Federal aid - COVID-19</t>
  </si>
  <si>
    <t>421COVID</t>
  </si>
  <si>
    <t>Noncapital gifts, net</t>
  </si>
  <si>
    <t>Noncapital contributions</t>
  </si>
  <si>
    <t>Investment income, net</t>
  </si>
  <si>
    <t>Interest and fees expense</t>
  </si>
  <si>
    <t>Lease interest revenue</t>
  </si>
  <si>
    <t>Other nonoperating revenues</t>
  </si>
  <si>
    <t>Other nonoperating expenses</t>
  </si>
  <si>
    <t xml:space="preserve">   Net nonoperating revenues (expenses)</t>
  </si>
  <si>
    <t xml:space="preserve">      Income before other revenues, expenses, gains, or losses</t>
  </si>
  <si>
    <t>State capital aid</t>
  </si>
  <si>
    <t>County capital aid</t>
  </si>
  <si>
    <t xml:space="preserve">Capital grants  </t>
  </si>
  <si>
    <t>42DAA000</t>
  </si>
  <si>
    <t>Capital gifts, net</t>
  </si>
  <si>
    <t>Additions to endowments</t>
  </si>
  <si>
    <t>Special items</t>
  </si>
  <si>
    <t>Extraordinary items</t>
  </si>
  <si>
    <t xml:space="preserve">     Increase (decrease) in net position</t>
  </si>
  <si>
    <t>Net position - beginning of year</t>
  </si>
  <si>
    <t>Restatements</t>
  </si>
  <si>
    <t>Net position - end of year</t>
  </si>
  <si>
    <t>BegBal</t>
  </si>
  <si>
    <t>PYAdj</t>
  </si>
  <si>
    <t>Additions</t>
  </si>
  <si>
    <t>Deletions</t>
  </si>
  <si>
    <t>EndBal</t>
  </si>
  <si>
    <t>CAPITAL ASSETS</t>
  </si>
  <si>
    <t>Beg. Balance</t>
  </si>
  <si>
    <t>Prior Year Asset</t>
  </si>
  <si>
    <t>Current Year</t>
  </si>
  <si>
    <t>End. Balance</t>
  </si>
  <si>
    <t>Adjustment</t>
  </si>
  <si>
    <t>FCCS_OpeningBalanceAdjustment</t>
  </si>
  <si>
    <t>Mvmts_PurchasedAdditions</t>
  </si>
  <si>
    <t>Mvmts_Retirements</t>
  </si>
  <si>
    <t>This Col-</t>
  </si>
  <si>
    <t>A</t>
  </si>
  <si>
    <t>B</t>
  </si>
  <si>
    <t xml:space="preserve">C </t>
  </si>
  <si>
    <t xml:space="preserve">D </t>
  </si>
  <si>
    <t xml:space="preserve">E </t>
  </si>
  <si>
    <t>OSC use</t>
  </si>
  <si>
    <t>only</t>
  </si>
  <si>
    <t>Capital assets - nondepreciable:</t>
  </si>
  <si>
    <t>Land and permanent easements</t>
  </si>
  <si>
    <t>Art, literature, and artifacts, nondepreciable</t>
  </si>
  <si>
    <t>Construction in progress</t>
  </si>
  <si>
    <t>Computer software in development</t>
  </si>
  <si>
    <t>Patents in development</t>
  </si>
  <si>
    <t>Other intangible assets-nondepr</t>
  </si>
  <si>
    <t>Total capital assets - nondepreciable</t>
  </si>
  <si>
    <t>To Exhibit A</t>
  </si>
  <si>
    <t>Capital assets, depreciable:</t>
  </si>
  <si>
    <t>Buildings</t>
  </si>
  <si>
    <t>General Infrastructure</t>
  </si>
  <si>
    <t>Machinery and equipment</t>
  </si>
  <si>
    <t>Art, literature, and artifacts</t>
  </si>
  <si>
    <t xml:space="preserve">Computer software </t>
  </si>
  <si>
    <t xml:space="preserve">Patents   </t>
  </si>
  <si>
    <t>Other intangible assets</t>
  </si>
  <si>
    <t>Lease assets, depreciable:</t>
  </si>
  <si>
    <t xml:space="preserve">Right to Use Lease Asset - Land </t>
  </si>
  <si>
    <t xml:space="preserve">Right to Use Lease Asset - Buildings </t>
  </si>
  <si>
    <t>Right to Use Lease Asset - M&amp;E</t>
  </si>
  <si>
    <t>Right to Use Lease Asset - Gen Infrastructure</t>
  </si>
  <si>
    <t>New for FY2023</t>
  </si>
  <si>
    <t>Total capital/lease assets - depreciable</t>
  </si>
  <si>
    <t xml:space="preserve">      Less accumulated depreciation for:</t>
  </si>
  <si>
    <t>1520AD</t>
  </si>
  <si>
    <t>1550AD</t>
  </si>
  <si>
    <t xml:space="preserve">General Infrastructure </t>
  </si>
  <si>
    <t>1530AD</t>
  </si>
  <si>
    <t>1540AD</t>
  </si>
  <si>
    <t>1555AD</t>
  </si>
  <si>
    <t>Computer software</t>
  </si>
  <si>
    <t>1556AD</t>
  </si>
  <si>
    <t>Patents</t>
  </si>
  <si>
    <t>1560AD</t>
  </si>
  <si>
    <t>Total accumulated depreciation</t>
  </si>
  <si>
    <t>Total capital assets - depreciable, net</t>
  </si>
  <si>
    <t xml:space="preserve">Total Capital assets, net </t>
  </si>
  <si>
    <r>
      <t>Note:</t>
    </r>
    <r>
      <rPr>
        <b/>
        <sz val="10"/>
        <rFont val="Arial"/>
        <family val="2"/>
      </rPr>
      <t xml:space="preserve">  Numbers that are to be subtracted across should be entered as negative numbers for the formulas to calculate properly.</t>
    </r>
  </si>
  <si>
    <t xml:space="preserve">The beginning balance numbers must agree to the ending numbers per the prior year ACFR package.  Enter any audit adjustments in the prior year </t>
  </si>
  <si>
    <t>asset adjustment column and include on the restatements worksheet 430.</t>
  </si>
  <si>
    <t xml:space="preserve">The accumulated depreciation current year additions should tie to depreciation expense on Exhibit B.  If it doesn't, please provide an explanation on the Explanations worksheet.   </t>
  </si>
  <si>
    <t>Changes in Capital Assets - Compilation worksheet for OSC Fixed Assets Compiler</t>
  </si>
  <si>
    <t>Beg, Balance</t>
  </si>
  <si>
    <t>Balance</t>
  </si>
  <si>
    <t>June, 30, 2003</t>
  </si>
  <si>
    <t>June 30, 2004</t>
  </si>
  <si>
    <t xml:space="preserve">Land </t>
  </si>
  <si>
    <t>Capital assets - depreciable:</t>
  </si>
  <si>
    <t>Intangible assets</t>
  </si>
  <si>
    <t>Total capital assets, depreciable</t>
  </si>
  <si>
    <t xml:space="preserve"> LESS ACCUMULATED DEPRECIATION-CAPITAL ASSETS</t>
  </si>
  <si>
    <t>Total accumulated depreciation-capital assets</t>
  </si>
  <si>
    <t>Total Capital assets, net</t>
  </si>
  <si>
    <t>Note:  Numbers that are to be subtracted should be entered as negative numbers for the formulas to calculate properly.</t>
  </si>
  <si>
    <t>Increases</t>
  </si>
  <si>
    <t>Decreases</t>
  </si>
  <si>
    <t>Changes in Long-Term Liabilities</t>
  </si>
  <si>
    <t>Prior Year</t>
  </si>
  <si>
    <t>Current</t>
  </si>
  <si>
    <t>Description</t>
  </si>
  <si>
    <t>Adjustments</t>
  </si>
  <si>
    <t>Portion</t>
  </si>
  <si>
    <t>Mvmts_LTDAdditions</t>
  </si>
  <si>
    <t>Mvmts_LTDDeletions</t>
  </si>
  <si>
    <t>FCCS_No Movement</t>
  </si>
  <si>
    <t>[A]</t>
  </si>
  <si>
    <t>[ B ]</t>
  </si>
  <si>
    <t>[C]</t>
  </si>
  <si>
    <t>[D]</t>
  </si>
  <si>
    <t>[E]</t>
  </si>
  <si>
    <t>[F]</t>
  </si>
  <si>
    <t>Leases Payable</t>
  </si>
  <si>
    <t>Worksheet 302 Must Be Completed</t>
  </si>
  <si>
    <t>Compensated Absences</t>
  </si>
  <si>
    <t>Notes from direct borrowings</t>
  </si>
  <si>
    <t>See Instructions below.</t>
  </si>
  <si>
    <t>Net Pension Liability</t>
  </si>
  <si>
    <t>Net OPEB Liability</t>
  </si>
  <si>
    <t>Annuity and Life Income Payable</t>
  </si>
  <si>
    <t>Pollution Remediation Payable</t>
  </si>
  <si>
    <t>Asset Retirement Obligation</t>
  </si>
  <si>
    <t>Total Long-Term Liabilities</t>
  </si>
  <si>
    <t>Instructions to complete this worksheet:</t>
  </si>
  <si>
    <t xml:space="preserve">The beginning balance numbers must agree to the prior year ending numbers per the prior year ACFR package.  Enter any audit adjustments </t>
  </si>
  <si>
    <t>in the prior year adjustments column</t>
  </si>
  <si>
    <t>Column [A]</t>
  </si>
  <si>
    <t>Balances per college's 6/30 prior year General Ledger, include current and noncurrent portions</t>
  </si>
  <si>
    <t>Column [B]  Prior year adjustments</t>
  </si>
  <si>
    <t xml:space="preserve">Prior year restatements, correction of errors. </t>
  </si>
  <si>
    <t>Column [C]</t>
  </si>
  <si>
    <t xml:space="preserve">Long-term liabilities which have become college liabilities during the fiscal year and have been appropriately </t>
  </si>
  <si>
    <t xml:space="preserve">recorded in the college's General Ledger. </t>
  </si>
  <si>
    <t>Column [D]</t>
  </si>
  <si>
    <t xml:space="preserve">Those portions of long-term liabilities paid by the college during the current fiscal year and recorded as a reduction </t>
  </si>
  <si>
    <t xml:space="preserve">of long-term liabilities in the General Ledger. </t>
  </si>
  <si>
    <t>Column [E]</t>
  </si>
  <si>
    <t>Balance per college's General Ledger - long-term liabilities, current and noncurrent</t>
  </si>
  <si>
    <t xml:space="preserve">        (Total long-term liabilities less current portion agrees to Long-Term Liabilities on  Exhibit A)</t>
  </si>
  <si>
    <t>Column [F]</t>
  </si>
  <si>
    <t>Current Portion</t>
  </si>
  <si>
    <t xml:space="preserve">        (Total agrees to Long-Term Liabilities-Current Portion on Exhibit A)</t>
  </si>
  <si>
    <t>Notes from direct borrowings:</t>
  </si>
  <si>
    <t xml:space="preserve">Notes from direct borrowings – An example of direct borrowings is a government entering into a loan agreement with a lender, such as a bank loan. </t>
  </si>
  <si>
    <r>
      <t xml:space="preserve">Direct borrowings have </t>
    </r>
    <r>
      <rPr>
        <b/>
        <sz val="10"/>
        <rFont val="Arial"/>
        <family val="2"/>
      </rPr>
      <t>terms negotiated directly with a lender and are not offered for public sale</t>
    </r>
    <r>
      <rPr>
        <sz val="10"/>
        <rFont val="Arial"/>
        <family val="2"/>
      </rPr>
      <t xml:space="preserve">. </t>
    </r>
  </si>
  <si>
    <t>Guaranteed Energy Savings contracts should be classified as notes from direct borrowings.</t>
  </si>
  <si>
    <t>Per GASB 88, note disclosures for direct borrowings of debt should be separated from other debt.</t>
  </si>
  <si>
    <t>Thresholds:</t>
  </si>
  <si>
    <t>Percent change</t>
  </si>
  <si>
    <t>$ value of change</t>
  </si>
  <si>
    <t>Worksheet for computing variances for Analytical Review w/s/625</t>
  </si>
  <si>
    <t>Number of comments</t>
  </si>
  <si>
    <t>EXHIBIT A</t>
  </si>
  <si>
    <t>C=COMMENT (Need to provide detail on tab 625 for each Comment)</t>
  </si>
  <si>
    <t>Difference</t>
  </si>
  <si>
    <t>% Difference</t>
  </si>
  <si>
    <t>Current assets:</t>
  </si>
  <si>
    <t>Receivables, net</t>
  </si>
  <si>
    <t>Due from State of NC component units</t>
  </si>
  <si>
    <t>Due from college component units</t>
  </si>
  <si>
    <t>Notes receivable, net</t>
  </si>
  <si>
    <t>Noncurrent assets:</t>
  </si>
  <si>
    <t>Restricted due from State of NC Comp Unit</t>
  </si>
  <si>
    <t>Capital assets - depreciable, net</t>
  </si>
  <si>
    <t>Total Assets</t>
  </si>
  <si>
    <t>Total Deferred Outflows of Resources</t>
  </si>
  <si>
    <t>Due to primary government</t>
  </si>
  <si>
    <t>Due to State of NC component units</t>
  </si>
  <si>
    <t>Funds held for others - current</t>
  </si>
  <si>
    <t>Funds held for others - noncurrent</t>
  </si>
  <si>
    <t xml:space="preserve">Long-term liabilities </t>
  </si>
  <si>
    <t>Total Liabilities</t>
  </si>
  <si>
    <t>Serv concess arrangmt rev applicable to future yrs</t>
  </si>
  <si>
    <t>Total Deferred Inflows of Resources</t>
  </si>
  <si>
    <t>Review for reasonableness</t>
  </si>
  <si>
    <t>EXHIBIT B</t>
  </si>
  <si>
    <t>Federal grants and contracts</t>
  </si>
  <si>
    <t>Personal Services</t>
  </si>
  <si>
    <t xml:space="preserve">     Operating income (loss)</t>
  </si>
  <si>
    <t>State aid</t>
  </si>
  <si>
    <t>State aid - Coronavirus Relief Fund</t>
  </si>
  <si>
    <t>Noncapital grants</t>
  </si>
  <si>
    <t>Capital grants</t>
  </si>
  <si>
    <t>SUMMARY OF SIGNIFICANT ACCOUNTING POLICIES (101)</t>
  </si>
  <si>
    <t>GASB Fund:  All GASB Funds</t>
  </si>
  <si>
    <t>Agency No:</t>
  </si>
  <si>
    <t>Agency Name:</t>
  </si>
  <si>
    <t>Preparer/Phone:</t>
  </si>
  <si>
    <t>1)</t>
  </si>
  <si>
    <t>INVENTORY VALUATION</t>
  </si>
  <si>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</si>
  <si>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</si>
  <si>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</si>
  <si>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</si>
  <si>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</si>
  <si>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</si>
  <si>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</si>
  <si>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</si>
  <si>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</si>
  <si>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4XXX</t>
  </si>
  <si>
    <t>2)</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</si>
  <si>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</si>
  <si>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</si>
  <si>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</si>
  <si>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</si>
  <si>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</si>
  <si>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</si>
  <si>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</si>
  <si>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</si>
  <si>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</si>
  <si>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</si>
  <si>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</si>
  <si>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</si>
  <si>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b)</t>
  </si>
  <si>
    <t>Do you use the above threshold to capitalize lease assets?</t>
  </si>
  <si>
    <t>c)</t>
  </si>
  <si>
    <t>Depreciation Method</t>
  </si>
  <si>
    <t>d)</t>
  </si>
  <si>
    <t>List your method of depreciation (e.g., straight-line, etc.):</t>
  </si>
  <si>
    <t>3)</t>
  </si>
  <si>
    <t>PROGRAM REVENUE</t>
  </si>
  <si>
    <t>Does your agency receive interest as program revenue that is restricted</t>
  </si>
  <si>
    <t>for use in capital projects?</t>
  </si>
  <si>
    <t>IF "YES", LIST AMOUNT</t>
  </si>
  <si>
    <t>4)</t>
  </si>
  <si>
    <t>CAPITALIZATION OF ARTWORK, HISTORICAL TREASURES, OR ARTIFACTS</t>
  </si>
  <si>
    <t xml:space="preserve">Does your agency have any artwork, historical treasures, or artifacts </t>
  </si>
  <si>
    <t>that are not capitalized?</t>
  </si>
  <si>
    <t>If yes, please describe:</t>
  </si>
  <si>
    <t>5)</t>
  </si>
  <si>
    <t>FOUNDATIONS AND SIMILARLY AFFILIATED ORGANIZATIONS</t>
  </si>
  <si>
    <t>Does the college have any blended component units (foundations or similarly affiliated organizations)?</t>
  </si>
  <si>
    <t>If yes, please disclose name(s) of organizations:</t>
  </si>
  <si>
    <t xml:space="preserve">Does the college have any discretely presented component units (foundations or similarly </t>
  </si>
  <si>
    <t>affiliated organizations that meet the criteria of GASB Statement No. 39)?</t>
  </si>
  <si>
    <t>YES **</t>
  </si>
  <si>
    <r>
      <t xml:space="preserve">** You must also complete and submit the </t>
    </r>
    <r>
      <rPr>
        <b/>
        <u/>
        <sz val="9"/>
        <rFont val="Arial"/>
        <family val="2"/>
      </rPr>
      <t>Foundation Conversion Template</t>
    </r>
    <r>
      <rPr>
        <b/>
        <sz val="9"/>
        <rFont val="Arial"/>
        <family val="2"/>
      </rPr>
      <t xml:space="preserve"> to OSC by Sept 12</t>
    </r>
  </si>
  <si>
    <t>Public-Private and Public-Public Partnership Arrangements (110)</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</si>
  <si>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</si>
  <si>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</si>
  <si>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r>
      <rPr>
        <sz val="10"/>
        <rFont val="Arial"/>
        <family val="2"/>
      </rPr>
      <t>:</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</si>
  <si>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</si>
  <si>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</si>
  <si>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</si>
  <si>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college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</si>
  <si>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</si>
  <si>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</si>
  <si>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 college's PPP arrangements.   </t>
  </si>
  <si>
    <t>Please provide the following information in the area below:</t>
  </si>
  <si>
    <t xml:space="preserve">1. A general description of the arrangement in effect during the reporting period, including the status </t>
  </si>
  <si>
    <t xml:space="preserve">   of any projects during the construction period, if applicable, and the basis, terms and conditions</t>
  </si>
  <si>
    <t xml:space="preserve">   on which any variable payments not included in the measurement of a receivable or payable </t>
  </si>
  <si>
    <t xml:space="preserve">   for installment payments are determined (if applicable).</t>
  </si>
  <si>
    <t>2. The nature and amounts of assets and deferred inflows of resources related to the PPP (transferor)</t>
  </si>
  <si>
    <t xml:space="preserve">   or (if operator) the assets, liabilities and deferred outflows recognized in the financial statements.</t>
  </si>
  <si>
    <t>3. The discount rate or rates applied to the measurement of a receivable for installment payments, if</t>
  </si>
  <si>
    <t xml:space="preserve">   applicable (transferor) or related to a liability for installment payments (operator).</t>
  </si>
  <si>
    <t>4.  For an operater, principal and interest requirements to maturity, presented separately, for the</t>
  </si>
  <si>
    <t xml:space="preserve">   liability for installment payements for each of the five subsequent fiscal years and in five-year </t>
  </si>
  <si>
    <t xml:space="preserve">   increments thereafter.</t>
  </si>
  <si>
    <t xml:space="preserve">5. The amount of inflows or outflows of resources recognized in the reporting period for variable and </t>
  </si>
  <si>
    <t xml:space="preserve">   other payments not previously included in the measurement of a receivable or liability for installment </t>
  </si>
  <si>
    <t xml:space="preserve">   payments, including inflows or outflows of resources related to residual value guarantees and </t>
  </si>
  <si>
    <t xml:space="preserve">   termination penalties.</t>
  </si>
  <si>
    <t xml:space="preserve">6. The nature and extent of rights retained by the transferor or granted to the governmental operator under </t>
  </si>
  <si>
    <t xml:space="preserve">   the arrangement.</t>
  </si>
  <si>
    <t xml:space="preserve">7. For an operator, the components of any loss associated with an impairment (the impairment loss and </t>
  </si>
  <si>
    <t xml:space="preserve">   any related change in the liability).</t>
  </si>
  <si>
    <t xml:space="preserve">8. If a guarantee or commitment exists for a particular period or periods; disclosures should be made about </t>
  </si>
  <si>
    <t xml:space="preserve">   the guarantees and commitments including identification, duration, and significant contract terms of the </t>
  </si>
  <si>
    <t xml:space="preserve">   guarantee or commitment.</t>
  </si>
  <si>
    <t xml:space="preserve">Disclosure information for multiple PPPs may be provided individually or in the aggregate for those that </t>
  </si>
  <si>
    <t>involve similar facilities and risk.  Refer to Appendix C of GASB 94 for illustrations of required disclosures.</t>
  </si>
  <si>
    <t>GOVERNMENT COMBINATIONS AND DISPOSALS OF GOVERNMENT OPERATIONS (120)</t>
  </si>
  <si>
    <t xml:space="preserve">GASB Fund No: </t>
  </si>
  <si>
    <t>All Funds</t>
  </si>
  <si>
    <t>GASB Statement 69 establishes accounting and financial reporting standards related to government combinations</t>
  </si>
  <si>
    <t>and disposals of government operations. Additional guidance is included as follows:</t>
  </si>
  <si>
    <t>Financial Reporting Update for GASB 69</t>
  </si>
  <si>
    <r>
      <t xml:space="preserve">As used in this Statement, the term </t>
    </r>
    <r>
      <rPr>
        <i/>
        <sz val="9"/>
        <rFont val="Arial"/>
        <family val="2"/>
      </rPr>
      <t>government combinations</t>
    </r>
    <r>
      <rPr>
        <sz val="9"/>
        <rFont val="Arial"/>
        <family val="2"/>
      </rPr>
      <t xml:space="preserve"> includes a variety of transactions referred to as</t>
    </r>
  </si>
  <si>
    <t>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</si>
  <si>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</si>
  <si>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</si>
  <si>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</si>
  <si>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</si>
  <si>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</si>
  <si>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</si>
  <si>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</si>
  <si>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</si>
  <si>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</si>
  <si>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</si>
  <si>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college complete a government merger, government acquisition, a transfer of operations, or a disposal</t>
  </si>
  <si>
    <t>of operations during fiscal year 2023?  (Indicate with an "X")</t>
  </si>
  <si>
    <t>If the answer to the above question is "Yes", indicate the type(s) of government combination(s) or disposal of</t>
  </si>
  <si>
    <t>operations:</t>
  </si>
  <si>
    <t>(Indicate with an "X")</t>
  </si>
  <si>
    <t>Government merger</t>
  </si>
  <si>
    <t>Government acquisition</t>
  </si>
  <si>
    <t>Transfer of operations</t>
  </si>
  <si>
    <t>Disposal of operations</t>
  </si>
  <si>
    <r>
      <t>If you answered YES, the following disclosures are required</t>
    </r>
    <r>
      <rPr>
        <sz val="9"/>
        <rFont val="Arial"/>
        <family val="2"/>
      </rPr>
      <t xml:space="preserve"> (see below):</t>
    </r>
  </si>
  <si>
    <t>Provide required GASB 69 disclosures below:</t>
  </si>
  <si>
    <t>CAPITAL ASSET IMPAIRMENTS (215)</t>
  </si>
  <si>
    <t>GASB Fund No:</t>
  </si>
  <si>
    <t>All funds</t>
  </si>
  <si>
    <t xml:space="preserve">GASB Statement No. 42 establishes accounting and financial reporting standards for impairment of </t>
  </si>
  <si>
    <r>
      <t xml:space="preserve">capital assets.  A capital asset is considered impaired when its service utility has declined </t>
    </r>
    <r>
      <rPr>
        <b/>
        <u/>
        <sz val="10"/>
        <rFont val="Arial"/>
        <family val="2"/>
      </rPr>
      <t>significantly</t>
    </r>
  </si>
  <si>
    <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</si>
  <si>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</si>
  <si>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Building damaged during a natural disaster, mold remediation, and asbestos removal.</t>
    </r>
  </si>
  <si>
    <t xml:space="preserve">If your agency has any impaired capital assets including right to use leased assets at year-end </t>
  </si>
  <si>
    <r>
      <rPr>
        <b/>
        <sz val="10"/>
        <rFont val="Arial"/>
        <family val="2"/>
      </rPr>
      <t>with material carrying values</t>
    </r>
    <r>
      <rPr>
        <sz val="10"/>
        <rFont val="Arial"/>
        <family val="2"/>
      </rPr>
      <t>, provide the following:</t>
    </r>
  </si>
  <si>
    <t>1.</t>
  </si>
  <si>
    <t xml:space="preserve">A general description of the impairment. </t>
  </si>
  <si>
    <t>2.</t>
  </si>
  <si>
    <t>The carrying amount of impaired capital assets that were idle at year-end,</t>
  </si>
  <si>
    <t>regardless of whether the impairment is considered permanent or temporary.</t>
  </si>
  <si>
    <t>3.</t>
  </si>
  <si>
    <t>For right to use leased assets - disclose the impairment loss and any related change</t>
  </si>
  <si>
    <t xml:space="preserve"> in the lease liability.</t>
  </si>
  <si>
    <t>4.</t>
  </si>
  <si>
    <t>For SBITA assets - disclose the impairment loss and any related change</t>
  </si>
  <si>
    <t xml:space="preserve"> in the subscription liability.</t>
  </si>
  <si>
    <t>5</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</si>
  <si>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</si>
  <si>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</si>
  <si>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</si>
  <si>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</si>
  <si>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</si>
  <si>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6</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</si>
  <si>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</si>
  <si>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</si>
  <si>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7</t>
  </si>
  <si>
    <r>
      <t xml:space="preserve">losses and recognized as </t>
    </r>
    <r>
      <rPr>
        <u/>
        <sz val="10"/>
        <rFont val="Arial"/>
        <family val="2"/>
      </rPr>
      <t>extraordinary items</t>
    </r>
    <r>
      <rPr>
        <sz val="10"/>
        <rFont val="Arial"/>
        <family val="2"/>
      </rPr>
      <t>.</t>
    </r>
  </si>
  <si>
    <t>CAPITAL ASSET STATISTICS (220)</t>
  </si>
  <si>
    <t>GASB 44 requires the disclosure of capital assets in the statistical section of the ACFR.</t>
  </si>
  <si>
    <t>Please list the number of buildings owned or leased by the community college.</t>
  </si>
  <si>
    <t>Number of Buildings</t>
  </si>
  <si>
    <t>LEASES  (301)</t>
  </si>
  <si>
    <t>Agency:</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</si>
  <si>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</si>
  <si>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</si>
  <si>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</si>
  <si>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</si>
  <si>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I. Lessee:</t>
  </si>
  <si>
    <t>Complete the following schedule for required lease disclosures:</t>
  </si>
  <si>
    <t>Lease</t>
  </si>
  <si>
    <t>Principal_Lease</t>
  </si>
  <si>
    <t>Interest_Lease</t>
  </si>
  <si>
    <t>Payments</t>
  </si>
  <si>
    <t>for Fiscal Year</t>
  </si>
  <si>
    <t>Principal</t>
  </si>
  <si>
    <t>Interest</t>
  </si>
  <si>
    <t>CLBTA</t>
  </si>
  <si>
    <t>Y1</t>
  </si>
  <si>
    <t>Y2</t>
  </si>
  <si>
    <t>Y3</t>
  </si>
  <si>
    <t>Y4</t>
  </si>
  <si>
    <t>Y5</t>
  </si>
  <si>
    <t>Y6-Y10</t>
  </si>
  <si>
    <t>Y11-Y15</t>
  </si>
  <si>
    <t>Y16-Y20</t>
  </si>
  <si>
    <t>Y21-Y25</t>
  </si>
  <si>
    <t>a</t>
  </si>
  <si>
    <t>Total</t>
  </si>
  <si>
    <t>Lease Liability ( Principal)</t>
  </si>
  <si>
    <t>NOTE:</t>
  </si>
  <si>
    <t xml:space="preserve">Lease payments balance must agree to LEASES PAYABLE on the Long-Term Liabilities worksheet. </t>
  </si>
  <si>
    <t xml:space="preserve">*Additional disclosures required, if yes responses are provided below. </t>
  </si>
  <si>
    <t>Please see requirements below:</t>
  </si>
  <si>
    <t>a.     A general description of leasing arrangements, including (1) the basis, terms, and conditions on which variable payments not included in the measurement of the</t>
  </si>
  <si>
    <t xml:space="preserve">        lease liability are determined and (2) the existence, terms, and conditions of residual value guarantees provided by the lessee not included in the measurement </t>
  </si>
  <si>
    <t xml:space="preserve">       of the lease liability.</t>
  </si>
  <si>
    <t>b.    The amount of outflows of resources recognized in the reporting period for variable payments not previously included in the measurement of the lease liability.</t>
  </si>
  <si>
    <t xml:space="preserve">c.    The amount of outflows of resources recognized in the reporting period for other payments, such as residual value guarantees or termination penalties, not </t>
  </si>
  <si>
    <t xml:space="preserve">       previously included in the measurement of the lease liability.</t>
  </si>
  <si>
    <t>d.     Commitments under leases before the commencement of the lease term.</t>
  </si>
  <si>
    <t>If applicable, please provide the following additional disclosures:</t>
  </si>
  <si>
    <t xml:space="preserve">e.     Sublease transactions- The original lessee (now the lessor in the sublease) includes a general description of the sub leasing arrangement disclosed separately </t>
  </si>
  <si>
    <t xml:space="preserve">        from the lessee transaction related to the original leasing arrangement.</t>
  </si>
  <si>
    <t>f.     Sale-leaseback transactions- disclose the terms and conditions of the sale-leaseback transaction along with the required disclosures in a. through d. above.</t>
  </si>
  <si>
    <t>g.     Lease-leaseback transactions- disclose the amounts of the lease and the leaseback separately.</t>
  </si>
  <si>
    <t>Example of a Lessee Disclosure which may be grouped:</t>
  </si>
  <si>
    <t xml:space="preserve">During the current fiscal year, the _____________ (Community College) entered into a _____-year lease agreement as lessee for the acquisition and the use of </t>
  </si>
  <si>
    <t xml:space="preserve">equipment. An initial lease liability was recorded in the amount of $ _____  during the current fiscal year. As of June 30, 2022, the value of the lease liability </t>
  </si>
  <si>
    <t xml:space="preserve">was $______.  The _____________ (Community College) is required to make monthly principal and interest payments of $_____. The lease has an interest rate of ___  %.  </t>
  </si>
  <si>
    <t xml:space="preserve">In addition, the _____________ (Community College) will purchase the equipment for $ _________at the end of the lease term. The equipment has a ______ year   </t>
  </si>
  <si>
    <t xml:space="preserve">estimated useful life. The value of the right to use asset as of the end of the current fiscal year was $______ and had accumulated amortization of $ ______.   </t>
  </si>
  <si>
    <t xml:space="preserve">Do you have a lease with another component unit of the State? </t>
  </si>
  <si>
    <t>Yes</t>
  </si>
  <si>
    <t>No</t>
  </si>
  <si>
    <t>If yes, please provide the component unit the lease is with and the amount of the lease along with the required disclosure using the text box above.</t>
  </si>
  <si>
    <t>Component unit/lease amount</t>
  </si>
  <si>
    <t>Confirm lease liability reported on line 78 above with the Lessor's lease receivable.</t>
  </si>
  <si>
    <t xml:space="preserve">   Contact Name/email</t>
  </si>
  <si>
    <t xml:space="preserve">Date Confirmed </t>
  </si>
  <si>
    <t xml:space="preserve">Do you have a lease with a primary government agency of the State? </t>
  </si>
  <si>
    <t>If yes, please provide the primary government agency the lease is with and the amount of the lease along with the required disclosure using the text box above.</t>
  </si>
  <si>
    <t>Primary gov't agency/lease amount</t>
  </si>
  <si>
    <t>II. Lessor:</t>
  </si>
  <si>
    <t xml:space="preserve">Did you report lease receivables in your financial statements?  </t>
  </si>
  <si>
    <t xml:space="preserve">If yes, additional disclosures are required. Please see requirements below: </t>
  </si>
  <si>
    <t xml:space="preserve">a.    A general description of leasing arrangements, including the basis, terms, and conditions on which any variable payments not included in the </t>
  </si>
  <si>
    <t xml:space="preserve">       measurement of the lease receivable are determined. </t>
  </si>
  <si>
    <t xml:space="preserve">b.   The total amount of inflows of resources (for example, lease revenue, interest revenue, and any other lease-related inflows) recognized in the </t>
  </si>
  <si>
    <t xml:space="preserve">       reporting period from leases.</t>
  </si>
  <si>
    <t xml:space="preserve">c.   The amount of inflows of resources recognized in the reporting period for variable and other payments not previously included in the measurement </t>
  </si>
  <si>
    <t xml:space="preserve">       of the lease receivable, including inflows of resources related to residual value guarantees and termination penalties.</t>
  </si>
  <si>
    <t xml:space="preserve">d.   The existence, terms, and conditions of options by the lessee to terminate the lease or abate payments if the lessor government has issued debt for </t>
  </si>
  <si>
    <t xml:space="preserve">       which the principal and interest payments are secured by the lease payments.</t>
  </si>
  <si>
    <t xml:space="preserve">e.   Sublease transactions- Lessor in the sublease includes a general description of the sub leasing arrangement disclosed separately from the </t>
  </si>
  <si>
    <t xml:space="preserve">       lessee transaction related to the original leasing arrangement.</t>
  </si>
  <si>
    <t xml:space="preserve">f.    Sale-leaseback transactions- Provide the required disclosures for lessors in a. through d. above. </t>
  </si>
  <si>
    <t>g.   Lease-leaseback transactions- disclose the amounts of the lease and the leaseback separately.</t>
  </si>
  <si>
    <t>Example of a Lessor Disclosure which may be grouped:</t>
  </si>
  <si>
    <t xml:space="preserve">During the current fiscal year, the _____________ (Community College) began leasing two floors of one of its buildings to a third party.  The lease is for _____ years </t>
  </si>
  <si>
    <t>and the______ (Community College) will receive monthly payments of $ ______.   The (Community College) recognized $ ______ in lease revenue and $ ____ in</t>
  </si>
  <si>
    <t xml:space="preserve">interest revenue during the current fiscal year related to this lease.   As of June 30, 2022, the______ (Community College) receivable for lease payments was $ ______. </t>
  </si>
  <si>
    <t xml:space="preserve">Also,  the______ (Community College) has a deferred inflow of resources associated with the lease that will be recognized as revenue over the lease term.   </t>
  </si>
  <si>
    <t>As of June 30, 2022, the balance of deferred inflow of resources was $ ______.</t>
  </si>
  <si>
    <t xml:space="preserve">Do you have a lease receivable with a component unit of the State? </t>
  </si>
  <si>
    <t>If yes, please provide the component unit the lease receivable is with and the amount of the receivable along with the required disclosure in the text box above.</t>
  </si>
  <si>
    <t>Component Unit/Lease receivable amount</t>
  </si>
  <si>
    <t>Confirm lease liability reported on line 124 above with the Lessor's lease receivable.</t>
  </si>
  <si>
    <t xml:space="preserve">Do you have a lease receivable with a primary government agency of the State? </t>
  </si>
  <si>
    <t>If yes, please provide the primary government agency the lease receivable is with and the amount of the lease receivable along with the required disclosure in the text box above.</t>
  </si>
  <si>
    <t xml:space="preserve">Primary government agency/lease receivable amount </t>
  </si>
  <si>
    <t>Confirm lease receivable reported on line 130 above with the Lessee's lease liability.</t>
  </si>
  <si>
    <t>Subscription Based Information Technology Arrangements- SBITAs (302)</t>
  </si>
  <si>
    <t xml:space="preserve">Per GASB 96, a SBITA is a contract that conveys control of the right to use another party's (a SBITA vendor's  IT software, alone </t>
  </si>
  <si>
    <t xml:space="preserve">or in a combination with tangible capital assets (the underlying IT assets), as specifiedin the contract for a period of time in an exchange </t>
  </si>
  <si>
    <r>
      <t xml:space="preserve"> or an exchange-like transaction.  </t>
    </r>
    <r>
      <rPr>
        <b/>
        <i/>
        <sz val="10"/>
        <color rgb="FFFF0000"/>
        <rFont val="Arial"/>
        <family val="2"/>
      </rPr>
      <t>New FY 2023</t>
    </r>
  </si>
  <si>
    <t>SBITA</t>
  </si>
  <si>
    <t>Principal_SBITAs</t>
  </si>
  <si>
    <t>Interest_SBITAs</t>
  </si>
  <si>
    <t>Subscription Liability ( Principal)</t>
  </si>
  <si>
    <t xml:space="preserve">SBITA payments balance must agree to Subscription (SBITA) Liability on the Long-Term Liabilities worksheet. </t>
  </si>
  <si>
    <t>*Additional disclosures required. Please use the text box below.</t>
  </si>
  <si>
    <t>a.    The amount of outflows of resources recognized in the reporting period for variable payments not previously included in the measurement of the subscription liability.</t>
  </si>
  <si>
    <t xml:space="preserve">b.    The amount of outflows of resources recognized in the reporting period for other payments, such as termination penalties, not previously included in the </t>
  </si>
  <si>
    <t xml:space="preserve">       measurement of the subscription liability.</t>
  </si>
  <si>
    <t>c.    Commitments under SBITAs before the commencement of the lease term.</t>
  </si>
  <si>
    <t xml:space="preserve">Summary Table for LEASES and SBITAS (303) </t>
  </si>
  <si>
    <t>I. Leasing arrangements at June 30, 2023, please summarize below (excluding short-term leases):</t>
  </si>
  <si>
    <t>Rec/Liab Total</t>
  </si>
  <si>
    <t>Rec/Liab Current</t>
  </si>
  <si>
    <t>Terms Years Lowest</t>
  </si>
  <si>
    <t>Terms Years Highest</t>
  </si>
  <si>
    <t>Interest Rate Lowest</t>
  </si>
  <si>
    <t>Interest Rate Highest</t>
  </si>
  <si>
    <t>Lease Terms</t>
  </si>
  <si>
    <t>Receivable</t>
  </si>
  <si>
    <t>In Years</t>
  </si>
  <si>
    <t>Classification:</t>
  </si>
  <si>
    <t>(Liability)
June 30, 2023</t>
  </si>
  <si>
    <t>Current 
Portion</t>
  </si>
  <si>
    <t>Lowest End of Term</t>
  </si>
  <si>
    <t>Highest End of Term</t>
  </si>
  <si>
    <t>Lessee:</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</si>
  <si>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</si>
  <si>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</si>
  <si>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</si>
  <si>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</si>
  <si>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</si>
  <si>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</si>
  <si>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</si>
  <si>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</si>
  <si>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</si>
  <si>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2023, leases payable balance on the Long-Term Liabilities worksheet. </t>
  </si>
  <si>
    <t>Lessor:</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</si>
  <si>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</si>
  <si>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</si>
  <si>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</si>
  <si>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</si>
  <si>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</si>
  <si>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2023, please summarize below (excluding short-term arrangements):</t>
  </si>
  <si>
    <t>Subscription Terms</t>
  </si>
  <si>
    <t>Subscription</t>
  </si>
  <si>
    <t xml:space="preserve">Interest Rate Lowest </t>
  </si>
  <si>
    <t xml:space="preserve">Lessee Totals in Column F and Column H must agree to the June 30, 2023, subscription (SBITA) balance on the Long-Term Liabilites worksheet. </t>
  </si>
  <si>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</si>
  <si>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</si>
  <si>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</si>
  <si>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</si>
  <si>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</si>
  <si>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</si>
  <si>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</si>
  <si>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</si>
  <si>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</si>
  <si>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</si>
  <si>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</si>
  <si>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</si>
  <si>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</si>
  <si>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</si>
  <si>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</si>
  <si>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</si>
  <si>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</si>
  <si>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</si>
  <si>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</si>
  <si>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</si>
  <si>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</si>
  <si>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d.</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</si>
  <si>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</si>
  <si>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</si>
  <si>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</si>
  <si>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attached ACFR Package Narratives.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</si>
  <si>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</si>
  <si>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</si>
  <si>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</si>
  <si>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</si>
  <si>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</si>
  <si>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</si>
  <si>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</si>
  <si>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</si>
  <si>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</si>
  <si>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</si>
  <si>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</si>
  <si>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</si>
  <si>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</si>
  <si>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</si>
  <si>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If the answer to the above question is "Yes", provide disclosure of this fact and the reasons therefor in the </t>
  </si>
  <si>
    <t xml:space="preserve">The amount of amortization recognized   </t>
  </si>
  <si>
    <t xml:space="preserve">attached  Package Narratives.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</si>
  <si>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</si>
  <si>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</si>
  <si>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</si>
  <si>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</si>
  <si>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</si>
  <si>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</si>
  <si>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</si>
  <si>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</si>
  <si>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</si>
  <si>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</si>
  <si>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</si>
  <si>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</si>
  <si>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</si>
  <si>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Disclosures:</t>
  </si>
  <si>
    <t>GASB Statement 83 requires the following note disclosures for certain asset retirement obligations (AROs):</t>
  </si>
  <si>
    <t>A general description of the AROs and associated tangible assets, as well as the source of the obligations.</t>
  </si>
  <si>
    <t>The methods and assumptions used to measure the liabilities.</t>
  </si>
  <si>
    <t>The estimated remaining useful life of the associated tangible capital assets.</t>
  </si>
  <si>
    <t>How any legally required funding and assurance provisions associated with AROs are being met.</t>
  </si>
  <si>
    <t>e.</t>
  </si>
  <si>
    <t xml:space="preserve">The amount of assets restricted for payment of the liabilities, if not separately displayed in the financial </t>
  </si>
  <si>
    <t xml:space="preserve">statements.  </t>
  </si>
  <si>
    <t xml:space="preserve">If an ARO or portions thereof has been incurred but is not yet recognized because it is not reasonably estimable, </t>
  </si>
  <si>
    <t xml:space="preserve">the government should disclose that fact and the reasons therefor. </t>
  </si>
  <si>
    <t>b</t>
  </si>
  <si>
    <t>c</t>
  </si>
  <si>
    <t>d</t>
  </si>
  <si>
    <t>e</t>
  </si>
  <si>
    <t>f</t>
  </si>
  <si>
    <t>g</t>
  </si>
  <si>
    <t>h</t>
  </si>
  <si>
    <t>i</t>
  </si>
  <si>
    <t>j</t>
  </si>
  <si>
    <t>CONTINGENCIES (345)</t>
  </si>
  <si>
    <t>GASB Fund:</t>
  </si>
  <si>
    <t>The Certification Letter should indicate material contingent liabilities are disclosed on Worksheet 345.</t>
  </si>
  <si>
    <t>Material contingent liabilities disclosed on the worksheet should be indicated in the Certification Letter.</t>
  </si>
  <si>
    <r>
      <t>Disclosures are required under the following conditions</t>
    </r>
    <r>
      <rPr>
        <sz val="10"/>
        <rFont val="Arial"/>
        <family val="2"/>
      </rPr>
      <t>:</t>
    </r>
  </si>
  <si>
    <t>1.  The chance that the State entity will actually incur the liability is better than a REMOTE (either POSSIBLE or</t>
  </si>
  <si>
    <t xml:space="preserve">     PROBABLE) likelihood; and,</t>
  </si>
  <si>
    <t xml:space="preserve">2.  The amount of the possible liability is known or can be reasonably estimated, or the amount of the </t>
  </si>
  <si>
    <t>probable/possible liability cannot be reasonably estimated.</t>
  </si>
  <si>
    <t>FEDERAL GRANTS AND PROGRAMS</t>
  </si>
  <si>
    <t>Contingent liabilities of the State can arise from lawsuits and other legal action, or contingent</t>
  </si>
  <si>
    <t>liabilities may be inherent with the acceptance of the conditions of certain Federal programs.</t>
  </si>
  <si>
    <t>Acceptance by the State of Federal grants and programs carry the possibility of reimbursement</t>
  </si>
  <si>
    <r>
      <t xml:space="preserve">to the 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</si>
  <si>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</si>
  <si>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</si>
  <si>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t>
    </r>
  </si>
  <si>
    <t>identified as "questioned"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</si>
  <si>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</si>
  <si>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</si>
  <si>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</si>
  <si>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</si>
  <si>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t>
    </r>
  </si>
  <si>
    <t>certain items (i.e., Food Stamp coupons, USDA-donated commodities, etc.) for which the State</t>
  </si>
  <si>
    <t>would be liable in the event of loss.</t>
  </si>
  <si>
    <t>Description:</t>
  </si>
  <si>
    <t xml:space="preserve">  Amount:  </t>
  </si>
  <si>
    <t>OTHER CONTINGENT LIABILITIES</t>
  </si>
  <si>
    <t>List any other material contingent liabilities of your agency that require possible disclosure in</t>
  </si>
  <si>
    <r>
      <t xml:space="preserve">accordance with the guidelines listed above on the </t>
    </r>
    <r>
      <rPr>
        <b/>
        <sz val="10"/>
        <rFont val="Arial"/>
        <family val="2"/>
      </rPr>
      <t>Explanations Tab.</t>
    </r>
  </si>
  <si>
    <t>Answer the following (check one):</t>
  </si>
  <si>
    <t>All material contingent liabilities of this agency, if any exist, have been disclosed above.</t>
  </si>
  <si>
    <r>
      <t xml:space="preserve">    This agency has </t>
    </r>
    <r>
      <rPr>
        <b/>
        <sz val="12"/>
        <rFont val="Arial"/>
        <family val="2"/>
      </rPr>
      <t>NO</t>
    </r>
    <r>
      <rPr>
        <sz val="10"/>
        <rFont val="Arial"/>
        <family val="2"/>
      </rPr>
      <t xml:space="preserve"> material contingent liabilities requiring disclosure</t>
    </r>
  </si>
  <si>
    <r>
      <t xml:space="preserve">    </t>
    </r>
    <r>
      <rPr>
        <b/>
        <sz val="12"/>
        <rFont val="Arial"/>
        <family val="2"/>
      </rPr>
      <t>ALL</t>
    </r>
    <r>
      <rPr>
        <sz val="10"/>
        <rFont val="Arial"/>
        <family val="2"/>
      </rPr>
      <t xml:space="preserve"> material contingent liabilities disclosures have been made on this worksheet</t>
    </r>
  </si>
  <si>
    <r>
      <t xml:space="preserve">      or on the </t>
    </r>
    <r>
      <rPr>
        <b/>
        <sz val="10"/>
        <rFont val="Arial"/>
        <family val="2"/>
      </rPr>
      <t>Explanations Tab</t>
    </r>
    <r>
      <rPr>
        <sz val="10"/>
        <rFont val="Arial"/>
        <family val="2"/>
      </rPr>
      <t>.</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</si>
  <si>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</si>
  <si>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</si>
  <si>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 is the most common example of a commitment.  Other examples of commitments are</t>
  </si>
  <si>
    <r>
      <t xml:space="preserve">software in development contracts and supply contracts.  A supply contract is a </t>
    </r>
    <r>
      <rPr>
        <b/>
        <u/>
        <sz val="10"/>
        <rFont val="Arial"/>
        <family val="2"/>
      </rPr>
      <t>long-term</t>
    </r>
    <r>
      <rPr>
        <sz val="10"/>
        <rFont val="Arial"/>
        <family val="2"/>
      </rPr>
      <t xml:space="preserve"> contractual</t>
    </r>
  </si>
  <si>
    <t>obligation with suppliers for future purchases at specified prices and sometimes at specified quantities.</t>
  </si>
  <si>
    <t>A common supply contract is an utility fuel purchase contract.</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</si>
  <si>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</si>
  <si>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</si>
  <si>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</si>
  <si>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with</t>
    </r>
  </si>
  <si>
    <t xml:space="preserve">state or non-state funds (i.e., highway construction, major construction of buildings, improvements of </t>
  </si>
  <si>
    <t>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</si>
  <si>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</si>
  <si>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</si>
  <si>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</si>
  <si>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</si>
  <si>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</si>
  <si>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</si>
  <si>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</si>
  <si>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</si>
  <si>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</si>
  <si>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</si>
  <si>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</si>
  <si>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</si>
  <si>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</si>
  <si>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</si>
  <si>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r>
      <t xml:space="preserve">on the </t>
    </r>
    <r>
      <rPr>
        <b/>
        <sz val="10"/>
        <rFont val="Arial"/>
        <family val="2"/>
      </rPr>
      <t>Explanations tab</t>
    </r>
    <r>
      <rPr>
        <sz val="10"/>
        <rFont val="Arial"/>
        <family val="2"/>
      </rPr>
      <t xml:space="preserve">.  </t>
    </r>
  </si>
  <si>
    <t>SUBSEQUENT EVENTS / OTHER ITEMS (355)</t>
  </si>
  <si>
    <t>All GASB Funds</t>
  </si>
  <si>
    <t>SUBSEQUENT EVENTS:</t>
  </si>
  <si>
    <r>
      <t xml:space="preserve">Disclosure is required to be made of </t>
    </r>
    <r>
      <rPr>
        <b/>
        <sz val="10"/>
        <rFont val="Arial"/>
        <family val="2"/>
      </rPr>
      <t>MAJOR</t>
    </r>
    <r>
      <rPr>
        <sz val="10"/>
        <rFont val="Arial"/>
        <family val="2"/>
      </rPr>
      <t xml:space="preserve"> transactions ($25 million or greater) and events </t>
    </r>
  </si>
  <si>
    <t>which occur subsequent to June 30 and up to the date of ACFR package preparation.</t>
  </si>
  <si>
    <r>
      <t xml:space="preserve">If you become aware of any </t>
    </r>
    <r>
      <rPr>
        <b/>
        <i/>
        <sz val="10"/>
        <rFont val="Arial"/>
        <family val="2"/>
      </rPr>
      <t>MAJOR</t>
    </r>
    <r>
      <rPr>
        <i/>
        <sz val="10"/>
        <rFont val="Arial"/>
        <family val="2"/>
      </rPr>
      <t xml:space="preserve"> transactions ($25 million or greater) and events occurring </t>
    </r>
  </si>
  <si>
    <t>after the submission of your ACFR package but prior to November 30, please contact OSC 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</si>
  <si>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</si>
  <si>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t>
    </r>
  </si>
  <si>
    <t>disclosed.</t>
  </si>
  <si>
    <t>A major casualty loss is a prime example of a subsequent event.</t>
  </si>
  <si>
    <t xml:space="preserve">Have any material events ($25 million or greater) occurred subsequent to June 30 and up to the date </t>
  </si>
  <si>
    <t>of this agency's preparation of its ACFR statements which require disclosure as described above?</t>
  </si>
  <si>
    <t xml:space="preserve">NO   </t>
  </si>
  <si>
    <t>Explain YES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</si>
  <si>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</si>
  <si>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</si>
  <si>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t>
    </r>
  </si>
  <si>
    <r>
      <t>the control of management</t>
    </r>
    <r>
      <rPr>
        <sz val="10"/>
        <rFont val="Arial"/>
        <family val="2"/>
      </rPr>
      <t xml:space="preserve"> that do not meet the definition of special items per paragraph 56</t>
    </r>
  </si>
  <si>
    <t>of GASB 34.  Such items would already be recorded as a revenue or expenditure on the</t>
  </si>
  <si>
    <t>Statement of Revenues, Expenditures, and Changes in Fund Balances (governmental funds) or</t>
  </si>
  <si>
    <t>the Statement of Revenues, Expenses, and Changes in Fund Net Position (proprietary funds).</t>
  </si>
  <si>
    <t>This agency has such items that exceed $10 million.</t>
  </si>
  <si>
    <t>Explain YES:</t>
  </si>
  <si>
    <t>RELATED PARTY TRANSACTIONS (360)</t>
  </si>
  <si>
    <r>
      <t xml:space="preserve">Complete this worksheet if the college engaged in </t>
    </r>
    <r>
      <rPr>
        <b/>
        <u/>
        <sz val="10"/>
        <rFont val="Arial"/>
        <family val="2"/>
      </rPr>
      <t>material transactions</t>
    </r>
    <r>
      <rPr>
        <sz val="10"/>
        <rFont val="Arial"/>
        <family val="2"/>
      </rPr>
      <t xml:space="preserve"> with related parties, </t>
    </r>
  </si>
  <si>
    <t xml:space="preserve">other than transactions reported on worksheet 610.  For the ACFR, material transactions </t>
  </si>
  <si>
    <r>
      <t xml:space="preserve">with related parties are defined as </t>
    </r>
    <r>
      <rPr>
        <b/>
        <u/>
        <sz val="10"/>
        <rFont val="Arial"/>
        <family val="2"/>
      </rPr>
      <t>$10 million</t>
    </r>
    <r>
      <rPr>
        <sz val="10"/>
        <rFont val="Arial"/>
        <family val="2"/>
      </rPr>
      <t xml:space="preserve"> or greater, with the </t>
    </r>
    <r>
      <rPr>
        <u/>
        <sz val="10"/>
        <rFont val="Arial"/>
        <family val="2"/>
      </rPr>
      <t xml:space="preserve">following exception.  For college </t>
    </r>
  </si>
  <si>
    <t>fundraising foundations that are not part of the financial reporting entity (e.g., GASB 39 foundations</t>
  </si>
  <si>
    <r>
      <t>that did not meet the 5% test), all financial support should be reported without threshold.</t>
    </r>
    <r>
      <rPr>
        <u/>
        <sz val="10"/>
        <color indexed="62"/>
        <rFont val="Arial"/>
        <family val="2"/>
      </rPr>
      <t xml:space="preserve"> </t>
    </r>
    <r>
      <rPr>
        <b/>
        <u/>
        <sz val="10"/>
        <color indexed="62"/>
        <rFont val="Arial"/>
        <family val="2"/>
      </rPr>
      <t>**</t>
    </r>
  </si>
  <si>
    <t>If applicable, prepare a note disclosure that includes the following information:</t>
  </si>
  <si>
    <t>The nature of the relationship(s) involved.</t>
  </si>
  <si>
    <t>A description of the transactions, including transactions to which no amount or nominal amounts were</t>
  </si>
  <si>
    <t>ascribed, and such other information deemed necessary to understand the effects of the transactions</t>
  </si>
  <si>
    <t>on the financial statements.</t>
  </si>
  <si>
    <t>The dollar amounts of transactions for each of the periods for which results of operations are presented</t>
  </si>
  <si>
    <t xml:space="preserve">and the effects of any change in the method of establishing the terms from that used in the preceding </t>
  </si>
  <si>
    <t>period.</t>
  </si>
  <si>
    <t>Amounts due from or to related parties as of the date of each financial position statement presented</t>
  </si>
  <si>
    <t>and, if not otherwise apparent, the terms and manner of settlement.</t>
  </si>
  <si>
    <r>
      <t>Definition of a Related Party Transaction</t>
    </r>
    <r>
      <rPr>
        <sz val="10"/>
        <rFont val="Arial"/>
        <family val="2"/>
      </rPr>
      <t xml:space="preserve"> - A transaction that an informed observer might reasonably</t>
    </r>
  </si>
  <si>
    <t>believe reflects considerations other than economic self-interest based upon the relationship that exists</t>
  </si>
  <si>
    <t>between the parties to the transaction.  The term is used in contrast to an arm's-length transaction</t>
  </si>
  <si>
    <t xml:space="preserve">(Source: GFOA's Governmental Accounting, Auditing, and Financial Reporting).  </t>
  </si>
  <si>
    <r>
      <t>Examples of Related Parties</t>
    </r>
    <r>
      <rPr>
        <sz val="10"/>
        <rFont val="Arial"/>
        <family val="2"/>
      </rPr>
      <t xml:space="preserve"> - Members of the governing board, administrative boards or commissions, </t>
    </r>
  </si>
  <si>
    <t>administrative officials and their immediate families, component units and joint ventures, and affiliated</t>
  </si>
  <si>
    <t>or related organizations that are not included as part of the financial reporting entity (Source: GASB</t>
  </si>
  <si>
    <t>Codification 2250.504).</t>
  </si>
  <si>
    <r>
      <t xml:space="preserve">** Please note, this worksheet does not apply to </t>
    </r>
    <r>
      <rPr>
        <u/>
        <sz val="8"/>
        <color indexed="62"/>
        <rFont val="Arial"/>
        <family val="2"/>
      </rPr>
      <t xml:space="preserve">blended </t>
    </r>
    <r>
      <rPr>
        <sz val="8"/>
        <color indexed="62"/>
        <rFont val="Arial"/>
        <family val="2"/>
      </rPr>
      <t>foundations. Also, this worksheet does not apply to a foundation</t>
    </r>
  </si>
  <si>
    <t xml:space="preserve">that meets the GASB 39 criteria and will be discretely presented in the college's financial statements and reported to OSC in the </t>
  </si>
  <si>
    <t>Foundation conversion template due Sept 11. This worksheet would apply for a foundation that is reported</t>
  </si>
  <si>
    <t>as a related party in the college's formal notes to the financial statements.</t>
  </si>
  <si>
    <t>Stewardship, Compliance, and Accountability (425)</t>
  </si>
  <si>
    <t>Material Violations</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</si>
  <si>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t>
  </si>
  <si>
    <t>(If yes, explain below.)</t>
  </si>
  <si>
    <t>A.  Description of the material violation of finance-related legal and contractual provisions</t>
  </si>
  <si>
    <t xml:space="preserve">B.  Actions taken by agency to correct the material violation   </t>
  </si>
  <si>
    <t>RESTATEMENTS (PRIOR PERIOD ADJUSTMENTS) (430)</t>
  </si>
  <si>
    <r>
      <t xml:space="preserve">Complete the following schedule for any amount of restated fund equity. Any prior year adjustment amounts on the </t>
    </r>
    <r>
      <rPr>
        <b/>
        <sz val="10"/>
        <rFont val="Arial"/>
        <family val="2"/>
      </rPr>
      <t>Capital Assets</t>
    </r>
    <r>
      <rPr>
        <sz val="10"/>
        <rFont val="Arial"/>
        <family val="2"/>
      </rPr>
      <t xml:space="preserve"> and</t>
    </r>
  </si>
  <si>
    <r>
      <rPr>
        <b/>
        <sz val="9.5"/>
        <rFont val="Arial"/>
        <family val="2"/>
      </rPr>
      <t>Long-term Liabilities</t>
    </r>
    <r>
      <rPr>
        <sz val="9.5"/>
        <rFont val="Arial"/>
        <family val="2"/>
      </rPr>
      <t xml:space="preserve"> worksheets must be included below.  The total of all restatements should agree to the amount shown on the </t>
    </r>
  </si>
  <si>
    <r>
      <rPr>
        <sz val="9.5"/>
        <rFont val="Arial"/>
        <family val="2"/>
      </rPr>
      <t>operating statement</t>
    </r>
    <r>
      <rPr>
        <sz val="8"/>
        <rFont val="Arial"/>
        <family val="2"/>
      </rPr>
      <t>(Exhibit B)</t>
    </r>
    <r>
      <rPr>
        <sz val="10"/>
        <rFont val="Arial"/>
        <family val="2"/>
      </rPr>
      <t>.</t>
    </r>
  </si>
  <si>
    <t>Capital Transactions</t>
  </si>
  <si>
    <t>Long Term/Short Term Liability Transactions</t>
  </si>
  <si>
    <t>Other</t>
  </si>
  <si>
    <t>Change</t>
  </si>
  <si>
    <t>Fund Equity</t>
  </si>
  <si>
    <t>Explanation</t>
  </si>
  <si>
    <t>GASB 96 - Restated Right to Use Subscription (SBITA) Assets</t>
  </si>
  <si>
    <t>GASB 96 - Restated Subscription (SBITA) Liability</t>
  </si>
  <si>
    <t>Grand Total</t>
  </si>
  <si>
    <t xml:space="preserve">Grand Total must agree to Exhibit A&amp;B Restatements caption. </t>
  </si>
  <si>
    <t>SCHEDULE  OF  DUE  TO  PRIMARY  GOVERNMENT  (520)</t>
  </si>
  <si>
    <r>
      <t xml:space="preserve">(THRESHOLD APPLICABLE </t>
    </r>
    <r>
      <rPr>
        <b/>
        <sz val="12"/>
        <color rgb="FFFF0000"/>
        <rFont val="Book Antiqua"/>
        <family val="1"/>
      </rPr>
      <t>EXCEPT</t>
    </r>
    <r>
      <rPr>
        <b/>
        <sz val="12"/>
        <rFont val="Book Antiqua"/>
        <family val="1"/>
      </rPr>
      <t xml:space="preserve"> Coronavirus Funds - SEE INSTRUCTIONS)</t>
    </r>
  </si>
  <si>
    <t>Note: Balances below the threshold excluding exceptions should be reclassified as Accounts Payable.</t>
  </si>
  <si>
    <t>DUE TO PRIMARY GOVERNMENT</t>
  </si>
  <si>
    <t>Payee Contact</t>
  </si>
  <si>
    <t>Payee</t>
  </si>
  <si>
    <t>Phone Number/</t>
  </si>
  <si>
    <t xml:space="preserve">Confirmation </t>
  </si>
  <si>
    <t>Agency No.</t>
  </si>
  <si>
    <t>GASB No.</t>
  </si>
  <si>
    <t>Amount</t>
  </si>
  <si>
    <t>Name</t>
  </si>
  <si>
    <t xml:space="preserve">Email </t>
  </si>
  <si>
    <t>Date</t>
  </si>
  <si>
    <t>Description/Comments</t>
  </si>
  <si>
    <t xml:space="preserve">TOTAL </t>
  </si>
  <si>
    <t>Must agree to Exhibit A Due to Primary Government</t>
  </si>
  <si>
    <t>SCHEDULE OF DUE FROM / RESTRICTED DUE FROM  STATE OF NC COMPONENT UNITS (525)</t>
  </si>
  <si>
    <t>Note: Balances below the threshold excluding exceptions should be reclassified as Accounts Receivable.</t>
  </si>
  <si>
    <t>DUE FROM STATE OF NC COMPONENT UNITS</t>
  </si>
  <si>
    <t>Payor Contact</t>
  </si>
  <si>
    <t>Payor</t>
  </si>
  <si>
    <t xml:space="preserve">Must Agree to Exhibit A Due from State of NC Component Units </t>
  </si>
  <si>
    <t>RESTRICTED DUE FROM STATE OF NC COMP UNITS</t>
  </si>
  <si>
    <t xml:space="preserve">Must Agree to Exhibit A Restricted Due from State of NC Component Units </t>
  </si>
  <si>
    <t>SCHEDULE  OF  DUE  TO STATE OF NC  COMPONENT UNITS (530)</t>
  </si>
  <si>
    <t>DUE TO STATE OF NC COMPONENT UNITS</t>
  </si>
  <si>
    <t>Must Agree to Exhibit A Due to State of NC Component Units</t>
  </si>
  <si>
    <t>EMPLOYER CONTRIBUTION AMOUNTS FOR TSERS AND OPEB (602)</t>
  </si>
  <si>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</si>
  <si>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t xml:space="preserve">contribution amounts subsequent to the measurement date for component units.  </t>
  </si>
  <si>
    <t>Please provide the following information regarding your TSERS' employer contributions.</t>
  </si>
  <si>
    <t>Total 2023 TSERS' employer contributions</t>
  </si>
  <si>
    <t>This should be the same amount that you keyed into the GASB 68 template for FY2023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</si>
  <si>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</si>
  <si>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</si>
  <si>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t>Please provide the following information regarding your RHBF employer contributions.</t>
  </si>
  <si>
    <t>Total 2023 RHBF employer contributions</t>
  </si>
  <si>
    <t>This should be the same amount that you keyed into the GASB 75 template for FY2023 employer</t>
  </si>
  <si>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</si>
  <si>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Please provide the following information regarding your DIPNC employer contributions.</t>
  </si>
  <si>
    <t>Total 2023 DIPNC employer contributions</t>
  </si>
  <si>
    <t>SIGNIFICANT TRANSACTIONS BETWEEN COMPONENT UNITS (610)</t>
  </si>
  <si>
    <t>Preparer/ Phone:</t>
  </si>
  <si>
    <t>All colleges must complete this worksheet; it cannot be marked NA or omitted.</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</si>
  <si>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</si>
  <si>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</si>
  <si>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colleges, this corresponds with the expense account 518300 for medical</t>
  </si>
  <si>
    <t xml:space="preserve">insurance for employees paid by the college to the State Health Plan. </t>
  </si>
  <si>
    <t>Threshold: There is no threshold applicable to this section and a dollar amount is required even</t>
  </si>
  <si>
    <t>if the amount is $0.</t>
  </si>
  <si>
    <t>(2) Transactions with other component units of the State of NC:</t>
  </si>
  <si>
    <t>Describe the nature and amount of any other significant transactions with other component units of the State</t>
  </si>
  <si>
    <t>of NC.  For a list of component units, please see the 'Agencies' tab of this workbook or the Instructions file.</t>
  </si>
  <si>
    <t>Threshold: For purposes of this section, 'significant' is defined as $10 million or greater on an</t>
  </si>
  <si>
    <t>accrual basis.</t>
  </si>
  <si>
    <t xml:space="preserve">Do NOT include activity with primary government state agencies or the System Office. </t>
  </si>
  <si>
    <t>(The System Office is part of the primary government and not a component unit.)</t>
  </si>
  <si>
    <t>For a list of primary government state agencies, see the 'Agencies' tab within this Annual Report workbook.</t>
  </si>
  <si>
    <t>DESCRIPTION</t>
  </si>
  <si>
    <t>AMOUNT</t>
  </si>
  <si>
    <t>(1) Employer's share of medical insurance premiums paid to State Health Plan</t>
  </si>
  <si>
    <t>(2) Other significant transactions ($10 million threshold) with other component units:</t>
  </si>
  <si>
    <t>SCHEDULE  OF  DUE  FROM COLLEGE COMPONENT UNITS  (616)</t>
  </si>
  <si>
    <t>(Complete this worksheet only if college has a discretely presented component unit that will be reported on the Foundation Conversion Template)</t>
  </si>
  <si>
    <t>DUE FROM COLLEGE  COMPONENT UNITS</t>
  </si>
  <si>
    <t>PAYOR CONTACT</t>
  </si>
  <si>
    <t>Phone</t>
  </si>
  <si>
    <t>Foundation Name</t>
  </si>
  <si>
    <t>Number</t>
  </si>
  <si>
    <t>Must Agree to Exhibit A Due from College Component Units</t>
  </si>
  <si>
    <t>Analytical Review (625)</t>
  </si>
  <si>
    <t>Statement Caption</t>
  </si>
  <si>
    <t>Current Year $</t>
  </si>
  <si>
    <t>Prior Year $</t>
  </si>
  <si>
    <t>Change $</t>
  </si>
  <si>
    <t>Change %</t>
  </si>
  <si>
    <t>Description — Reason for Significant Change</t>
  </si>
  <si>
    <t>Wksht</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</si>
  <si>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</si>
  <si>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</si>
  <si>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</si>
  <si>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</si>
  <si>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COMMUNITY COLLEGE</t>
  </si>
  <si>
    <t>FILENAME</t>
  </si>
  <si>
    <t>FileExtName</t>
  </si>
  <si>
    <t>C0</t>
  </si>
  <si>
    <t>CC1</t>
  </si>
  <si>
    <t>C2</t>
  </si>
  <si>
    <t>Asheville-Buncombe Technical Community College</t>
  </si>
  <si>
    <t>CC3</t>
  </si>
  <si>
    <t>C3</t>
  </si>
  <si>
    <t>Beaufort County Community College</t>
  </si>
  <si>
    <t>CC4</t>
  </si>
  <si>
    <t>C4</t>
  </si>
  <si>
    <t>Bladen Community College</t>
  </si>
  <si>
    <t>CC5</t>
  </si>
  <si>
    <t>C5</t>
  </si>
  <si>
    <t>Blue Ridge Community College</t>
  </si>
  <si>
    <t>CC6</t>
  </si>
  <si>
    <t>C6</t>
  </si>
  <si>
    <t>Brunswick Community College</t>
  </si>
  <si>
    <t>CC7</t>
  </si>
  <si>
    <t>C7</t>
  </si>
  <si>
    <t>Caldwell Community College and Technical Institute</t>
  </si>
  <si>
    <t>CC8</t>
  </si>
  <si>
    <t>C8</t>
  </si>
  <si>
    <t>Cape Fear Community College</t>
  </si>
  <si>
    <t>CC9</t>
  </si>
  <si>
    <t>C9</t>
  </si>
  <si>
    <t>Carteret Community College</t>
  </si>
  <si>
    <t>CC10</t>
  </si>
  <si>
    <t>CA</t>
  </si>
  <si>
    <t>Catawba Valley Community College</t>
  </si>
  <si>
    <t>CC11</t>
  </si>
  <si>
    <t>CB</t>
  </si>
  <si>
    <t>Central Carolina Community College</t>
  </si>
  <si>
    <t>CC12</t>
  </si>
  <si>
    <t>CC</t>
  </si>
  <si>
    <t>Central Piedmont Community College</t>
  </si>
  <si>
    <t>CC13</t>
  </si>
  <si>
    <t>CD</t>
  </si>
  <si>
    <t>Cleveland Community College</t>
  </si>
  <si>
    <t>CC14</t>
  </si>
  <si>
    <t>CE</t>
  </si>
  <si>
    <t>Coastal Carolina Community College</t>
  </si>
  <si>
    <t>CC15</t>
  </si>
  <si>
    <t>CF</t>
  </si>
  <si>
    <t>College of the Albemarle</t>
  </si>
  <si>
    <t>CC16</t>
  </si>
  <si>
    <t>CG</t>
  </si>
  <si>
    <t>Craven Community College</t>
  </si>
  <si>
    <t>CC17</t>
  </si>
  <si>
    <t>CH</t>
  </si>
  <si>
    <t>Davidson-Davie Community College</t>
  </si>
  <si>
    <t>CC18</t>
  </si>
  <si>
    <t>CJ</t>
  </si>
  <si>
    <t>Durham Technical Community College</t>
  </si>
  <si>
    <t>CC19</t>
  </si>
  <si>
    <t>CK</t>
  </si>
  <si>
    <t>Edgecombe Community College</t>
  </si>
  <si>
    <t>CC20</t>
  </si>
  <si>
    <t>CL</t>
  </si>
  <si>
    <t>Fayetteville Technical Community College</t>
  </si>
  <si>
    <t>CC21</t>
  </si>
  <si>
    <t>CM</t>
  </si>
  <si>
    <t>Forsyth Technical Community College</t>
  </si>
  <si>
    <t>CC22</t>
  </si>
  <si>
    <t>CN</t>
  </si>
  <si>
    <t>Gaston College</t>
  </si>
  <si>
    <t>CC23</t>
  </si>
  <si>
    <t>CP</t>
  </si>
  <si>
    <t>Guilford Technical Community College</t>
  </si>
  <si>
    <t>CC24</t>
  </si>
  <si>
    <t>CQ</t>
  </si>
  <si>
    <t>Halifax Community College</t>
  </si>
  <si>
    <t>CC25</t>
  </si>
  <si>
    <t>CR</t>
  </si>
  <si>
    <t>Haywood Community College</t>
  </si>
  <si>
    <t>CC26</t>
  </si>
  <si>
    <t>CS</t>
  </si>
  <si>
    <t>Isothermal Community College</t>
  </si>
  <si>
    <t>CC27</t>
  </si>
  <si>
    <t>CT</t>
  </si>
  <si>
    <t>James Sprunt Community College</t>
  </si>
  <si>
    <t>CC28</t>
  </si>
  <si>
    <t>CU</t>
  </si>
  <si>
    <t>Johnston Community College</t>
  </si>
  <si>
    <t>CC29</t>
  </si>
  <si>
    <t>CV</t>
  </si>
  <si>
    <t>Lenoir Community College</t>
  </si>
  <si>
    <t>CC30</t>
  </si>
  <si>
    <t>CW</t>
  </si>
  <si>
    <t>Martin Community College</t>
  </si>
  <si>
    <t>CC31</t>
  </si>
  <si>
    <t>CX</t>
  </si>
  <si>
    <t>Mayland Community College</t>
  </si>
  <si>
    <t>CC32</t>
  </si>
  <si>
    <t>CY</t>
  </si>
  <si>
    <t>McDowell Technical Community College</t>
  </si>
  <si>
    <t>CC33</t>
  </si>
  <si>
    <t>CZ</t>
  </si>
  <si>
    <t>Mitchell Community College</t>
  </si>
  <si>
    <t>CC34</t>
  </si>
  <si>
    <t>D0</t>
  </si>
  <si>
    <t>Montgomery Community College</t>
  </si>
  <si>
    <t>CC35</t>
  </si>
  <si>
    <t>D1</t>
  </si>
  <si>
    <t>Nash Community College</t>
  </si>
  <si>
    <t>CC36</t>
  </si>
  <si>
    <t>D2</t>
  </si>
  <si>
    <t>Pamlico Community College</t>
  </si>
  <si>
    <t>CC37</t>
  </si>
  <si>
    <t>D3</t>
  </si>
  <si>
    <t>Piedmont Community College</t>
  </si>
  <si>
    <t>CC38</t>
  </si>
  <si>
    <t>D4</t>
  </si>
  <si>
    <t>Pitt Community College</t>
  </si>
  <si>
    <t>CC39</t>
  </si>
  <si>
    <t>D5</t>
  </si>
  <si>
    <t>Randolph Community College</t>
  </si>
  <si>
    <t>CC40</t>
  </si>
  <si>
    <t>D6</t>
  </si>
  <si>
    <t>Richmond Community College</t>
  </si>
  <si>
    <t>CC41</t>
  </si>
  <si>
    <t>D7</t>
  </si>
  <si>
    <t>Roanoke-Chowan Community College</t>
  </si>
  <si>
    <t>CC42</t>
  </si>
  <si>
    <t>D8</t>
  </si>
  <si>
    <t>Robeson Community College</t>
  </si>
  <si>
    <t>CC43</t>
  </si>
  <si>
    <t>D9</t>
  </si>
  <si>
    <t>Rockingham Community College</t>
  </si>
  <si>
    <t>CC44</t>
  </si>
  <si>
    <t>DA</t>
  </si>
  <si>
    <t>Rowan-Cabarrus Community College</t>
  </si>
  <si>
    <t>CC45</t>
  </si>
  <si>
    <t>DB</t>
  </si>
  <si>
    <t>Sampson Community College</t>
  </si>
  <si>
    <t>CC46</t>
  </si>
  <si>
    <t>DC</t>
  </si>
  <si>
    <t>Sandhills Community College</t>
  </si>
  <si>
    <t>CC47</t>
  </si>
  <si>
    <t>C1</t>
  </si>
  <si>
    <t>South Piedmont Community College</t>
  </si>
  <si>
    <t>CC2</t>
  </si>
  <si>
    <t>DD</t>
  </si>
  <si>
    <t>Southeastern Community College</t>
  </si>
  <si>
    <t>CC48</t>
  </si>
  <si>
    <t>DE</t>
  </si>
  <si>
    <t>Southwestern Community College</t>
  </si>
  <si>
    <t>CC49</t>
  </si>
  <si>
    <t>DF</t>
  </si>
  <si>
    <t>Stanly Community College</t>
  </si>
  <si>
    <t>CC50</t>
  </si>
  <si>
    <t>DG</t>
  </si>
  <si>
    <t>Surry Community College</t>
  </si>
  <si>
    <t>CC51</t>
  </si>
  <si>
    <t>DH</t>
  </si>
  <si>
    <t>Tri-County Community College</t>
  </si>
  <si>
    <t>CC52</t>
  </si>
  <si>
    <t>DJ</t>
  </si>
  <si>
    <t>Vance-Granville Community College</t>
  </si>
  <si>
    <t>CC53</t>
  </si>
  <si>
    <t>DK</t>
  </si>
  <si>
    <t>Wake Technical Community College</t>
  </si>
  <si>
    <t>CC54</t>
  </si>
  <si>
    <t>DL</t>
  </si>
  <si>
    <t>Wayne Community College</t>
  </si>
  <si>
    <t>CC55</t>
  </si>
  <si>
    <t>DM</t>
  </si>
  <si>
    <t>Western Piedmont Community College</t>
  </si>
  <si>
    <t>CC56</t>
  </si>
  <si>
    <t>DN</t>
  </si>
  <si>
    <t>Wilkes Community College</t>
  </si>
  <si>
    <t>CC57</t>
  </si>
  <si>
    <t>DP</t>
  </si>
  <si>
    <t>Wilson Community College</t>
  </si>
  <si>
    <t>CC58</t>
  </si>
  <si>
    <t>ACFR</t>
  </si>
  <si>
    <t>For ACFR:</t>
  </si>
  <si>
    <t>GASB Fund Number</t>
  </si>
  <si>
    <t>Conc</t>
  </si>
  <si>
    <t>Co</t>
  </si>
  <si>
    <t>Agency 
Number</t>
  </si>
  <si>
    <t>2022 ACFR  Agency  Name</t>
  </si>
  <si>
    <t>Type of Agency**</t>
  </si>
  <si>
    <t>NCAS or Offline</t>
  </si>
  <si>
    <t>ACFR contact name</t>
  </si>
  <si>
    <t>contact telephone</t>
  </si>
  <si>
    <t>For Comp Unit ACFR Package</t>
  </si>
  <si>
    <t>Changes for 2022/Comments</t>
  </si>
  <si>
    <t>North Carolina General Assembly</t>
  </si>
  <si>
    <t>PG</t>
  </si>
  <si>
    <t>NCAS</t>
  </si>
  <si>
    <t>Malinda Peters</t>
  </si>
  <si>
    <t>(919) 733-7500</t>
  </si>
  <si>
    <t>Administrative Office of the Courts</t>
  </si>
  <si>
    <t>Angela Johnston</t>
  </si>
  <si>
    <t>(919) 890-1022</t>
  </si>
  <si>
    <t>Office of the Governor</t>
  </si>
  <si>
    <t>Providence Hakizimana</t>
  </si>
  <si>
    <t>(919) 807-4748</t>
  </si>
  <si>
    <t>Office of Lieutenant Governor</t>
  </si>
  <si>
    <t>Elizabeth Moreno</t>
  </si>
  <si>
    <t>(984) 236-0082</t>
  </si>
  <si>
    <t>Office of the Secretary of State</t>
  </si>
  <si>
    <t>Tommy Clark</t>
  </si>
  <si>
    <t>(919) 807-2011</t>
  </si>
  <si>
    <t>Office of the State Auditor</t>
  </si>
  <si>
    <t>Rachel McDonald</t>
  </si>
  <si>
    <t>(919) 807-7633</t>
  </si>
  <si>
    <t xml:space="preserve">Department of the State Treasurer </t>
  </si>
  <si>
    <t>Joan Fontes</t>
  </si>
  <si>
    <t>(919) 814-3898</t>
  </si>
  <si>
    <t>State Health Plan</t>
  </si>
  <si>
    <t>CU-Major</t>
  </si>
  <si>
    <t xml:space="preserve">Department of Public Instruction </t>
  </si>
  <si>
    <t>Sue Kearney</t>
  </si>
  <si>
    <t>(919) 807-3741</t>
  </si>
  <si>
    <t xml:space="preserve">Department of Justice </t>
  </si>
  <si>
    <t>Matthew Longobardi</t>
  </si>
  <si>
    <t>(919) 716-6077</t>
  </si>
  <si>
    <t>Department of Agriculture</t>
  </si>
  <si>
    <t>Nancy Gemma</t>
  </si>
  <si>
    <t>(919) 707-3036</t>
  </si>
  <si>
    <t>Department of Labor</t>
  </si>
  <si>
    <t>Lisa Culbreth</t>
  </si>
  <si>
    <t>(919) 707-7743</t>
  </si>
  <si>
    <t xml:space="preserve">Department of Insurance </t>
  </si>
  <si>
    <t>Darlene Langston</t>
  </si>
  <si>
    <t>(919) 807-6036</t>
  </si>
  <si>
    <t xml:space="preserve">Department of Administration </t>
  </si>
  <si>
    <t xml:space="preserve">Office of the State Controller </t>
  </si>
  <si>
    <t>Ann Anderson</t>
  </si>
  <si>
    <t>(919) 707-0768</t>
  </si>
  <si>
    <t>Department of Transportation</t>
  </si>
  <si>
    <t>Bryan Matthews</t>
  </si>
  <si>
    <t>(919) 707-4219</t>
  </si>
  <si>
    <t>Department of Environmental Quality</t>
  </si>
  <si>
    <t>Shirley Trollinger</t>
  </si>
  <si>
    <t>(919) 707-8566</t>
  </si>
  <si>
    <t>Wildlife Resources Commission</t>
  </si>
  <si>
    <t>DP Singla</t>
  </si>
  <si>
    <t>(919) 707-0081</t>
  </si>
  <si>
    <t>Dept. of Public Safety</t>
  </si>
  <si>
    <t>Allis Talley-Burton</t>
  </si>
  <si>
    <t>(919) 324-1045</t>
  </si>
  <si>
    <t>2X</t>
  </si>
  <si>
    <t>Dept. of Health and Human Services</t>
  </si>
  <si>
    <t>Laketha Miller</t>
  </si>
  <si>
    <t>(919) 855-3700</t>
  </si>
  <si>
    <t>3X</t>
  </si>
  <si>
    <t>DHHS - Mental Health</t>
  </si>
  <si>
    <t>Amy Causby</t>
  </si>
  <si>
    <t>(828) 433-2384</t>
  </si>
  <si>
    <t>Department of Military &amp; Veterans Affairs</t>
  </si>
  <si>
    <t>Department of Information Technology</t>
  </si>
  <si>
    <t>Beth Lane</t>
  </si>
  <si>
    <t>(919) 609-3421</t>
  </si>
  <si>
    <t>Department of Commerce</t>
  </si>
  <si>
    <t>Cheryl Davis</t>
  </si>
  <si>
    <t>(919) 814-4633</t>
  </si>
  <si>
    <t>Department of Revenue</t>
  </si>
  <si>
    <t>Anita Bunch</t>
  </si>
  <si>
    <t>(919) 754-2518</t>
  </si>
  <si>
    <t>Department of Natural and Cultural Resources</t>
  </si>
  <si>
    <t>Lori Oldham</t>
  </si>
  <si>
    <t>(919) 807-7271</t>
  </si>
  <si>
    <t>48X</t>
  </si>
  <si>
    <t>UNC Hlth Care Rep Unit (Combined Pkg)</t>
  </si>
  <si>
    <t>CU-UNC</t>
  </si>
  <si>
    <t>Offline</t>
  </si>
  <si>
    <t>John Storment</t>
  </si>
  <si>
    <t>(984) 974-1043</t>
  </si>
  <si>
    <t>263X</t>
  </si>
  <si>
    <t>UNC Hospitals</t>
  </si>
  <si>
    <t>Janina Thomas</t>
  </si>
  <si>
    <t>(984) 215-3810</t>
  </si>
  <si>
    <t>2631 &amp; 2634</t>
  </si>
  <si>
    <t>48E</t>
  </si>
  <si>
    <t>UNC Hospitals - Enterprise Fund</t>
  </si>
  <si>
    <t>Michael Griffin</t>
  </si>
  <si>
    <t>(984) 974-1260</t>
  </si>
  <si>
    <t>48L</t>
  </si>
  <si>
    <t>UNC Hospitals - LITF</t>
  </si>
  <si>
    <t>Elizabeth Theora</t>
  </si>
  <si>
    <t>(984) 974-1002</t>
  </si>
  <si>
    <t>48R</t>
  </si>
  <si>
    <t>Rex Healthcare</t>
  </si>
  <si>
    <t>Richard Wilson</t>
  </si>
  <si>
    <t>(919) 215-3497</t>
  </si>
  <si>
    <t>48C</t>
  </si>
  <si>
    <t>Chatham Hospital</t>
  </si>
  <si>
    <t>Jean Kaseke</t>
  </si>
  <si>
    <t>(984) 784-7702</t>
  </si>
  <si>
    <t>48T</t>
  </si>
  <si>
    <t>UNC Physicians Network</t>
  </si>
  <si>
    <t>Carolyn Perkins</t>
  </si>
  <si>
    <t>(984) 784-3479</t>
  </si>
  <si>
    <t>48HP</t>
  </si>
  <si>
    <t>UNC Rockingham Health Care</t>
  </si>
  <si>
    <t>48CW</t>
  </si>
  <si>
    <t>Caldwell Memorial Hospital</t>
  </si>
  <si>
    <t>Community College System Office</t>
  </si>
  <si>
    <t>Jason Cottle</t>
  </si>
  <si>
    <t>(919) 807-7073</t>
  </si>
  <si>
    <t>State Board of Elections</t>
  </si>
  <si>
    <t>61</t>
  </si>
  <si>
    <t>NC Education Lottery</t>
  </si>
  <si>
    <t>Joe Belnak</t>
  </si>
  <si>
    <t>(919) 301-3436</t>
  </si>
  <si>
    <t>Office of Administrative Hearings</t>
  </si>
  <si>
    <t>Tonia Brown</t>
  </si>
  <si>
    <t>(984) 236-1904</t>
  </si>
  <si>
    <t>69</t>
  </si>
  <si>
    <t>USS North Carolina Battleship Comm.</t>
  </si>
  <si>
    <t>Elizabeth Haynes</t>
  </si>
  <si>
    <t>(910) 251-5797 x3005</t>
  </si>
  <si>
    <t>6BC</t>
  </si>
  <si>
    <t>Deferred Comp &amp; NC 401(k)-Combined Pkg</t>
  </si>
  <si>
    <t>NC School of Science &amp; Mathematics</t>
  </si>
  <si>
    <t>Leah Englebright</t>
  </si>
  <si>
    <t>(919) 416-2870</t>
  </si>
  <si>
    <t>Although part of UNC System, NCSSM is a primary NCAS agency that will continue using DSS.</t>
  </si>
  <si>
    <t>90</t>
  </si>
  <si>
    <t>General Fund - OSC</t>
  </si>
  <si>
    <t>Ashley Price</t>
  </si>
  <si>
    <t>(919) 707-0523</t>
  </si>
  <si>
    <t>99</t>
  </si>
  <si>
    <t>General Fund - DOR</t>
  </si>
  <si>
    <t>Jackie McKoy</t>
  </si>
  <si>
    <t>(919) 754-2524</t>
  </si>
  <si>
    <t>RX</t>
  </si>
  <si>
    <t>OSC-Central Accounts</t>
  </si>
  <si>
    <t>Natasha Farrington</t>
  </si>
  <si>
    <t>(919) 707-0657</t>
  </si>
  <si>
    <t>U10</t>
  </si>
  <si>
    <t>UNC-System Office</t>
  </si>
  <si>
    <r>
      <t xml:space="preserve">Offline </t>
    </r>
    <r>
      <rPr>
        <b/>
        <sz val="14"/>
        <rFont val="Calibri"/>
        <family val="2"/>
      </rPr>
      <t>²</t>
    </r>
  </si>
  <si>
    <t>Debbie Dryer</t>
  </si>
  <si>
    <t>(919) 962-3992</t>
  </si>
  <si>
    <r>
      <rPr>
        <b/>
        <sz val="8"/>
        <rFont val="Calibri"/>
        <family val="2"/>
      </rPr>
      <t>²</t>
    </r>
    <r>
      <rPr>
        <sz val="8"/>
        <rFont val="Times New Roman"/>
        <family val="1"/>
      </rPr>
      <t xml:space="preserve"> Offline Annual Report reporting for all universities starting FY 2012. Still use NCAS for monthly reporting.</t>
    </r>
  </si>
  <si>
    <t>U20</t>
  </si>
  <si>
    <t>UNC at Chapel Hill</t>
  </si>
  <si>
    <t>Beth McAndrew</t>
  </si>
  <si>
    <t>(919) 843-2694</t>
  </si>
  <si>
    <t>U30</t>
  </si>
  <si>
    <t>North Carolina State University</t>
  </si>
  <si>
    <t>Jennifer Brady</t>
  </si>
  <si>
    <t>(919) 515-3823</t>
  </si>
  <si>
    <t>U40</t>
  </si>
  <si>
    <t>UNC at Greensboro</t>
  </si>
  <si>
    <t>Amanda Nash</t>
  </si>
  <si>
    <t>(336) 334-5180</t>
  </si>
  <si>
    <t>U50</t>
  </si>
  <si>
    <t>UNC at Charlotte</t>
  </si>
  <si>
    <t>Melissa Roberts</t>
  </si>
  <si>
    <t>(704) 687-5755</t>
  </si>
  <si>
    <t>U55</t>
  </si>
  <si>
    <t>UNC at Asheville</t>
  </si>
  <si>
    <t>Mary E. Hall</t>
  </si>
  <si>
    <t>(828) 231-5109</t>
  </si>
  <si>
    <t>U60</t>
  </si>
  <si>
    <t>UNC at Wilmington</t>
  </si>
  <si>
    <t>Heather Iannucci</t>
  </si>
  <si>
    <t>(910) 962-3144</t>
  </si>
  <si>
    <t>U65</t>
  </si>
  <si>
    <t>East Carolina University</t>
  </si>
  <si>
    <t>Vincent Falvo</t>
  </si>
  <si>
    <t>(252) 737-1140</t>
  </si>
  <si>
    <t>U70</t>
  </si>
  <si>
    <t>North Carolina A&amp;T University</t>
  </si>
  <si>
    <t>Kathy Burckley</t>
  </si>
  <si>
    <t>(336) 285-3028</t>
  </si>
  <si>
    <t>U75</t>
  </si>
  <si>
    <t>Western Carolina University</t>
  </si>
  <si>
    <t>Trisha Burnett</t>
  </si>
  <si>
    <t>(828) 227-3028</t>
  </si>
  <si>
    <t>U80</t>
  </si>
  <si>
    <t>Appalachian State University</t>
  </si>
  <si>
    <t>David Jamison</t>
  </si>
  <si>
    <t>(828) 262-6426</t>
  </si>
  <si>
    <t>U82</t>
  </si>
  <si>
    <t>UNC at Pembroke</t>
  </si>
  <si>
    <t>Michelle Donegain</t>
  </si>
  <si>
    <t>910-521-6583</t>
  </si>
  <si>
    <t>U84</t>
  </si>
  <si>
    <t>Winston-Salem State University</t>
  </si>
  <si>
    <t>Randy Bennette</t>
  </si>
  <si>
    <t>(336) 750-2733</t>
  </si>
  <si>
    <t>U86</t>
  </si>
  <si>
    <t>Elizabeth City State University</t>
  </si>
  <si>
    <t>Gina Knight</t>
  </si>
  <si>
    <t>(252) 335-4822</t>
  </si>
  <si>
    <t>U88</t>
  </si>
  <si>
    <t>Fayetteville State University</t>
  </si>
  <si>
    <t>Christine Jumalon</t>
  </si>
  <si>
    <t>(910) 672-1163</t>
  </si>
  <si>
    <t>U90</t>
  </si>
  <si>
    <t>North Carolina Central University</t>
  </si>
  <si>
    <t>Antonio McDaniel</t>
  </si>
  <si>
    <t>(919) 530-5422</t>
  </si>
  <si>
    <t>U92</t>
  </si>
  <si>
    <t>UNC School of the Arts</t>
  </si>
  <si>
    <t>Wendy Emerson</t>
  </si>
  <si>
    <t>(336) 770-3304</t>
  </si>
  <si>
    <t>0A</t>
  </si>
  <si>
    <t>North Carolina Housing Finance Ag.</t>
  </si>
  <si>
    <t>CU-Nonmajor</t>
  </si>
  <si>
    <t>Taylor Davies</t>
  </si>
  <si>
    <t>(919)875-3761</t>
  </si>
  <si>
    <t>Reclassified to nonmajor based on GASB 61; NCAS interface monthly, Offline Annual Report</t>
  </si>
  <si>
    <t>Z2</t>
  </si>
  <si>
    <t>NC Biotechnology Center</t>
  </si>
  <si>
    <t>Mark Stohlman</t>
  </si>
  <si>
    <t>(919) 549-8850</t>
  </si>
  <si>
    <t>Z3</t>
  </si>
  <si>
    <t>NC Global TransPark Authority</t>
  </si>
  <si>
    <t xml:space="preserve">NCAS </t>
  </si>
  <si>
    <t>Mary Jane Westphal</t>
  </si>
  <si>
    <t>(252)523-1351x303</t>
  </si>
  <si>
    <t>Z3F</t>
  </si>
  <si>
    <t>NC Global TransPark Authority Foundation</t>
  </si>
  <si>
    <t>Trina Warren</t>
  </si>
  <si>
    <t>(252)523-1351x316</t>
  </si>
  <si>
    <t>The Global TransPark Foundation is a component unit of Global TransPark; it is remaining offline.</t>
  </si>
  <si>
    <t>Z7</t>
  </si>
  <si>
    <t>NC Partnership for Children</t>
  </si>
  <si>
    <t>Lisa Rash</t>
  </si>
  <si>
    <t>919-821-9530</t>
  </si>
  <si>
    <t>ZA</t>
  </si>
  <si>
    <t>NC State Ports Authority</t>
  </si>
  <si>
    <t>Terry Dail</t>
  </si>
  <si>
    <t>(910) 343-6414</t>
  </si>
  <si>
    <t>ZB</t>
  </si>
  <si>
    <t>State Education Assistance Authority</t>
  </si>
  <si>
    <t>Larna Griffin</t>
  </si>
  <si>
    <t>919-248-4698</t>
  </si>
  <si>
    <t>Reclassified to nonmajor based on GASB 61</t>
  </si>
  <si>
    <t>ZG</t>
  </si>
  <si>
    <t>Centennial Authority</t>
  </si>
  <si>
    <t>John House</t>
  </si>
  <si>
    <t>919-829-8132</t>
  </si>
  <si>
    <t>Resumed as component unit for FY 2013(last time in Annual Report was 1999)</t>
  </si>
  <si>
    <t>ZH</t>
  </si>
  <si>
    <t>NC Railroad Company</t>
  </si>
  <si>
    <t>Michelle Jeng</t>
  </si>
  <si>
    <t>919-954-7601</t>
  </si>
  <si>
    <t>ZI</t>
  </si>
  <si>
    <t>The Golden LEAF, Inc.</t>
  </si>
  <si>
    <t>Erica Smith</t>
  </si>
  <si>
    <t>(252) 442-7474</t>
  </si>
  <si>
    <t>ZL</t>
  </si>
  <si>
    <t>Gateway University Research Park, Inc.</t>
  </si>
  <si>
    <t>Joy Klenke</t>
  </si>
  <si>
    <t>336-417-5511</t>
  </si>
  <si>
    <t>Gateway University Reaearch Park is a component unit of the UNC System.</t>
  </si>
  <si>
    <t>ZM</t>
  </si>
  <si>
    <t>Economic Development Partnership of NC</t>
  </si>
  <si>
    <t>Larry Price</t>
  </si>
  <si>
    <t>(919) 447-7807</t>
  </si>
  <si>
    <t>New in 2015</t>
  </si>
  <si>
    <t>CU-CC</t>
  </si>
  <si>
    <t>Christopher Crepps</t>
  </si>
  <si>
    <t>336-506-4410</t>
  </si>
  <si>
    <t>Kristabell Certain</t>
  </si>
  <si>
    <t>828-398-7358</t>
  </si>
  <si>
    <t>Edie Barbour</t>
  </si>
  <si>
    <t>252-940-6266</t>
  </si>
  <si>
    <t>Lacie Jacobs</t>
  </si>
  <si>
    <t>910-879-5500</t>
  </si>
  <si>
    <t>Carolyn Alley</t>
  </si>
  <si>
    <t>828-697-1730</t>
  </si>
  <si>
    <t>Santresa Culpepper</t>
  </si>
  <si>
    <t>910-755-7314</t>
  </si>
  <si>
    <t>David Holman</t>
  </si>
  <si>
    <t>828-726-2222</t>
  </si>
  <si>
    <t>Christina Greene</t>
  </si>
  <si>
    <t>910-362-7551</t>
  </si>
  <si>
    <t>Donna Cumbie</t>
  </si>
  <si>
    <t>252-222-6161</t>
  </si>
  <si>
    <t>Shirley Swanson</t>
  </si>
  <si>
    <t>828-327-7000 x4508</t>
  </si>
  <si>
    <t>Brian Bridgers</t>
  </si>
  <si>
    <t>919-718-7498</t>
  </si>
  <si>
    <t>Lauren Gates</t>
  </si>
  <si>
    <t>704-330-6709</t>
  </si>
  <si>
    <t>Pam Boling</t>
  </si>
  <si>
    <t>704-669-4109</t>
  </si>
  <si>
    <t>Michelle Stiles</t>
  </si>
  <si>
    <t>910-938-6218</t>
  </si>
  <si>
    <t>Susan Gentry</t>
  </si>
  <si>
    <t>252-335-0821 x2214</t>
  </si>
  <si>
    <t>Jennifer Erlitz</t>
  </si>
  <si>
    <t>252-672-7592</t>
  </si>
  <si>
    <t>Jennifer Starsick</t>
  </si>
  <si>
    <t>336-224-4661</t>
  </si>
  <si>
    <t>Andrew Kleitsch</t>
  </si>
  <si>
    <t>919-536-7201 x1001</t>
  </si>
  <si>
    <t>Pamela Twitty</t>
  </si>
  <si>
    <t>252-618-6506</t>
  </si>
  <si>
    <t>Robin Deaver</t>
  </si>
  <si>
    <t>910-678-8250</t>
  </si>
  <si>
    <t>Kathryn Alexander</t>
  </si>
  <si>
    <t>336-734-7367</t>
  </si>
  <si>
    <t>Shelly Alman</t>
  </si>
  <si>
    <t>(704) 922-6405</t>
  </si>
  <si>
    <t>Kathi Riffe</t>
  </si>
  <si>
    <t>336-334-4822 x50457</t>
  </si>
  <si>
    <t>Sanethia Smith</t>
  </si>
  <si>
    <t>252-538-4304</t>
  </si>
  <si>
    <t>Christie Medford</t>
  </si>
  <si>
    <t>828-565-4168</t>
  </si>
  <si>
    <t>Amy Penson</t>
  </si>
  <si>
    <t>828-395-1296</t>
  </si>
  <si>
    <t>LaTasha Moore</t>
  </si>
  <si>
    <t>910-275-6127</t>
  </si>
  <si>
    <t>David Webb</t>
  </si>
  <si>
    <t>919-209-2070</t>
  </si>
  <si>
    <t>JD Gibbs</t>
  </si>
  <si>
    <t>252-527-6223 x358</t>
  </si>
  <si>
    <t>Tammy Bailey</t>
  </si>
  <si>
    <t>252-789-0225</t>
  </si>
  <si>
    <t>Cynthia Renfro</t>
  </si>
  <si>
    <t>828-766-1228</t>
  </si>
  <si>
    <t>Richard Mauney</t>
  </si>
  <si>
    <t>828-652-0600</t>
  </si>
  <si>
    <t>Jonathan Harris</t>
  </si>
  <si>
    <t>704-978-1307</t>
  </si>
  <si>
    <t>Tonya Luck</t>
  </si>
  <si>
    <t>910-898-9631</t>
  </si>
  <si>
    <t>Carol Dornseif</t>
  </si>
  <si>
    <t>252-451-8365</t>
  </si>
  <si>
    <t>Sherry Raby</t>
  </si>
  <si>
    <t>252-249-1851 x3003</t>
  </si>
  <si>
    <t>Beverly Murphy</t>
  </si>
  <si>
    <t>336-322-2117</t>
  </si>
  <si>
    <t>Angela Peaden</t>
  </si>
  <si>
    <t>252-493-7257</t>
  </si>
  <si>
    <t>Cathy Biby</t>
  </si>
  <si>
    <t>336-625-5607</t>
  </si>
  <si>
    <t>Debbie Cashwell</t>
  </si>
  <si>
    <t>910-410-1803</t>
  </si>
  <si>
    <t>LaToya Wiley</t>
  </si>
  <si>
    <t>252-862-1226</t>
  </si>
  <si>
    <t>Lettie Navarrete</t>
  </si>
  <si>
    <t>910-272-3552</t>
  </si>
  <si>
    <t>Gloria Moore</t>
  </si>
  <si>
    <t>336-342-4261 x2186</t>
  </si>
  <si>
    <t>Kelly Kluttz</t>
  </si>
  <si>
    <t>704-216-3779</t>
  </si>
  <si>
    <t>Kelly Jackson</t>
  </si>
  <si>
    <t>910-900-4060 x2012</t>
  </si>
  <si>
    <t>Katie du Pont</t>
  </si>
  <si>
    <t>910-246-4950</t>
  </si>
  <si>
    <t>Jennifer Ricketts</t>
  </si>
  <si>
    <t>704-272-5356</t>
  </si>
  <si>
    <t>Donna Turbeville</t>
  </si>
  <si>
    <t>910-788-6203</t>
  </si>
  <si>
    <t>Carol Martin</t>
  </si>
  <si>
    <t>828-339-4473</t>
  </si>
  <si>
    <t>Kimberly Bradshaw</t>
  </si>
  <si>
    <t>704-991-0206</t>
  </si>
  <si>
    <t>Tony Martin</t>
  </si>
  <si>
    <t>336-386-3222</t>
  </si>
  <si>
    <t>Bill Vespasian</t>
  </si>
  <si>
    <t>828-835-4211</t>
  </si>
  <si>
    <t>Joshua Lagunas</t>
  </si>
  <si>
    <t>252-738-3472</t>
  </si>
  <si>
    <t>David McNally</t>
  </si>
  <si>
    <t>919-866-5288</t>
  </si>
  <si>
    <t>Annette Woodard</t>
  </si>
  <si>
    <t>919-739-7098</t>
  </si>
  <si>
    <t>Monica Arney</t>
  </si>
  <si>
    <t>828-448-3129</t>
  </si>
  <si>
    <t>Crystal Huffman</t>
  </si>
  <si>
    <t>336-838-6109</t>
  </si>
  <si>
    <t>Debbie White</t>
  </si>
  <si>
    <t>252-246-1216</t>
  </si>
  <si>
    <t>none</t>
  </si>
  <si>
    <t>**    Type of Agency:</t>
  </si>
  <si>
    <t>Component Unit</t>
  </si>
  <si>
    <t>UNC</t>
  </si>
  <si>
    <t>UNC System, major component unit</t>
  </si>
  <si>
    <t>Community College, major component unit</t>
  </si>
  <si>
    <t>Nonmajor</t>
  </si>
  <si>
    <t xml:space="preserve">Nonmajor component unit - see note below </t>
  </si>
  <si>
    <t>Accounting data included in the North Carolina Accounting System, and Annual Report reporting from NCAS</t>
  </si>
  <si>
    <t>Full accounting data not in NCAS, so paper reporting for Annual Report; agency uses another accounting system</t>
  </si>
  <si>
    <t xml:space="preserve">Note:  All entities complete the NCASexcl Annual Report package, except the Community Colleges </t>
  </si>
  <si>
    <r>
      <t xml:space="preserve">and the </t>
    </r>
    <r>
      <rPr>
        <u/>
        <sz val="12"/>
        <rFont val="Times New Roman"/>
        <family val="1"/>
      </rPr>
      <t>nonmajor</t>
    </r>
    <r>
      <rPr>
        <sz val="12"/>
        <rFont val="Times New Roman"/>
        <family val="1"/>
      </rPr>
      <t xml:space="preserve"> component units which have separate Annual Report packages.</t>
    </r>
  </si>
  <si>
    <t>Example showing all error messages, definitions and sources for pre-populated cells.</t>
  </si>
  <si>
    <t xml:space="preserve">Due from State of NC component units </t>
  </si>
  <si>
    <t xml:space="preserve">Due from college component units </t>
  </si>
  <si>
    <t>cell populated by amounts provided by System Office; College must confirm w/ System Office</t>
  </si>
  <si>
    <t>Restricted due from State of NC component unit</t>
  </si>
  <si>
    <t>cell populated by  cap assets worksheet which has edit/error checks built in</t>
  </si>
  <si>
    <t>Contact OSC if there is an amount</t>
  </si>
  <si>
    <t>cell populated by  LT Liab worksheet which has edit/error checks built in</t>
  </si>
  <si>
    <t>Serv concess arrangmt revenue applicable to future yrs</t>
  </si>
  <si>
    <t>Note:  FY15 Personal Svcs includes new acct for GASB68 Pension Expense for first time (NCAS acct 531595 Pension expense)</t>
  </si>
  <si>
    <t>For Capital Assets Worksheet</t>
  </si>
  <si>
    <t>Capital Assets, Ending Balances per 2022 ACFR = Beginning balances for 2023 ACFR</t>
  </si>
  <si>
    <t>Total Capital Assets, Net</t>
  </si>
  <si>
    <t>AGENCY</t>
  </si>
  <si>
    <t>Updated for 6/30/21 numbers - jrk 02/14/23</t>
  </si>
  <si>
    <t>Art, lit, &amp; artifacts</t>
  </si>
  <si>
    <t>Construction</t>
  </si>
  <si>
    <t xml:space="preserve">Patents </t>
  </si>
  <si>
    <t xml:space="preserve">Other </t>
  </si>
  <si>
    <t xml:space="preserve">General </t>
  </si>
  <si>
    <t>Machinery and</t>
  </si>
  <si>
    <t>Art, literature</t>
  </si>
  <si>
    <t>Computer</t>
  </si>
  <si>
    <t>Other Intangible</t>
  </si>
  <si>
    <t>Right to Use Lease Asset-Land</t>
  </si>
  <si>
    <t>Right to Use Lease Asset-Buildings</t>
  </si>
  <si>
    <t>Right to Use Lease Asset-M&amp;E</t>
  </si>
  <si>
    <t>Right to Use Lease Asset-Gen Infra</t>
  </si>
  <si>
    <t>Accum. Depr.</t>
  </si>
  <si>
    <t>Accum. Depr. Right to Use Lease Asset-Land</t>
  </si>
  <si>
    <t>Accum. Depr.Right to Use Lease Asset-Buildings</t>
  </si>
  <si>
    <t>Accum. Depr. Right to Use Lease Asset-M&amp;E</t>
  </si>
  <si>
    <t>Accum. Depr. Right to Use Lease Asset-Gen Infra</t>
  </si>
  <si>
    <t>Cap Assets Less Accum Depr</t>
  </si>
  <si>
    <t>NUMBER</t>
  </si>
  <si>
    <t>Nondepreciable</t>
  </si>
  <si>
    <t>In progress</t>
  </si>
  <si>
    <t>in development</t>
  </si>
  <si>
    <t>intangibles - nondepr</t>
  </si>
  <si>
    <t>Infrastructure</t>
  </si>
  <si>
    <t>Equipment</t>
  </si>
  <si>
    <t>&amp; Artifacts, Depr.</t>
  </si>
  <si>
    <t>Software</t>
  </si>
  <si>
    <t>Assets</t>
  </si>
  <si>
    <t>Gen Infrastructure</t>
  </si>
  <si>
    <t>Mach &amp; Equip</t>
  </si>
  <si>
    <t>Art, Lit &amp; Artifacts</t>
  </si>
  <si>
    <t>Computer Software</t>
  </si>
  <si>
    <t>Asheville-Buncombe Tech Community College</t>
  </si>
  <si>
    <t>Caldwell Community College and Tech Institute</t>
  </si>
  <si>
    <t>Davidson County Community College</t>
  </si>
  <si>
    <t xml:space="preserve">NOTE for OSC :  </t>
  </si>
  <si>
    <t>Source:  22_Fixed Assets Database.xlsx from 22CC subdirectory in SASD/22CAFR/Statements/Components folder</t>
  </si>
  <si>
    <t>Before copying, make sure source file has cell format showing 2 dec places/pennies,not formatted to whole dollar; if not, adjust source file cell format to two dec places</t>
  </si>
  <si>
    <t>For LT Liabilities Worksheet</t>
  </si>
  <si>
    <t>LT Liabilities Ending Balances per 2022 ACFR = Beginning balances for 2023 ACFR</t>
  </si>
  <si>
    <t>Updated for 6/30/22 numbers - jrk 02/15/23</t>
  </si>
  <si>
    <t>Per 2022 AFR</t>
  </si>
  <si>
    <t>Subscription (SBITA) Liability</t>
  </si>
  <si>
    <t>Notes Payable</t>
  </si>
  <si>
    <t>Notes from Direct Borrowings</t>
  </si>
  <si>
    <t>Notes from Direct Placements</t>
  </si>
  <si>
    <t>Annuity &amp; Life Income Payable</t>
  </si>
  <si>
    <t>Pollution Remed iation</t>
  </si>
  <si>
    <t>In FY 2020, add 3 new captions (Notes from direct borrowings, notes from direct placements, and asset retirement obligations). Formulas on the LT Liab tab will need to be added. These are hard coded to 0 in FY 2019.</t>
  </si>
  <si>
    <t>Source:  22CC_LT_OBLIG.xls from SASD/22CAFR/Statements/Component/22cc</t>
  </si>
  <si>
    <t>Before copying make sure source file has cell format showing 2 dec places/pennies,not formatted to whole dollar.</t>
  </si>
  <si>
    <r>
      <t xml:space="preserve">To update for next year, </t>
    </r>
    <r>
      <rPr>
        <b/>
        <sz val="10"/>
        <rFont val="Arial"/>
        <family val="2"/>
      </rPr>
      <t>copy</t>
    </r>
    <r>
      <rPr>
        <sz val="10"/>
        <rFont val="Arial"/>
        <family val="2"/>
      </rPr>
      <t xml:space="preserve"> ending balances,  </t>
    </r>
    <r>
      <rPr>
        <b/>
        <sz val="10"/>
        <rFont val="Arial"/>
        <family val="2"/>
      </rPr>
      <t>paste special</t>
    </r>
    <r>
      <rPr>
        <sz val="10"/>
        <rFont val="Arial"/>
        <family val="2"/>
      </rPr>
      <t xml:space="preserve"> using </t>
    </r>
    <r>
      <rPr>
        <b/>
        <sz val="10"/>
        <rFont val="Arial"/>
        <family val="2"/>
      </rPr>
      <t>values</t>
    </r>
    <r>
      <rPr>
        <sz val="10"/>
        <rFont val="Arial"/>
        <family val="2"/>
      </rPr>
      <t xml:space="preserve"> and </t>
    </r>
    <r>
      <rPr>
        <b/>
        <sz val="10"/>
        <rFont val="Arial"/>
        <family val="2"/>
      </rPr>
      <t xml:space="preserve">transpose, </t>
    </r>
    <r>
      <rPr>
        <sz val="10"/>
        <rFont val="Arial"/>
        <family val="2"/>
      </rPr>
      <t xml:space="preserve">separately.  </t>
    </r>
  </si>
  <si>
    <t>Total Deferred Inflows for Pensions</t>
  </si>
  <si>
    <t>Net OPEB Liability RHBF</t>
  </si>
  <si>
    <t>Deferred Inflows RHBF</t>
  </si>
  <si>
    <t>Net OPEB Asset - DIPNC</t>
  </si>
  <si>
    <t>Deferred Inflows DIPNC</t>
  </si>
  <si>
    <t>Total Deferred Inflows OPEB</t>
  </si>
  <si>
    <t>Source: Data provided in July from OSC Finanicial Analyst Virginia Sisson.</t>
  </si>
  <si>
    <t>To repost CC Package to the SIG after update in July.</t>
  </si>
  <si>
    <t>The Excel spreadsheets to complete this are located in SASD/22CAFR/22 ACFR Review</t>
  </si>
  <si>
    <t>Restricted Due From</t>
  </si>
  <si>
    <t xml:space="preserve"> Primary Gov't</t>
  </si>
  <si>
    <t>ALAMANCE CC</t>
  </si>
  <si>
    <t>SOUTH PIEDMONT CC</t>
  </si>
  <si>
    <t>ASHEVILLE-BUNCOMBE TCC</t>
  </si>
  <si>
    <t>BEAUFORT COUNTY CC</t>
  </si>
  <si>
    <t>BLADEN CC</t>
  </si>
  <si>
    <t>BLUE RIDGE CC</t>
  </si>
  <si>
    <t>BRUNSWICK CC</t>
  </si>
  <si>
    <t>CALDWELL CC &amp; TI</t>
  </si>
  <si>
    <t>CAPE FEAR CC</t>
  </si>
  <si>
    <t>CARTERET CC</t>
  </si>
  <si>
    <t>CATAWBA VALLEY CC</t>
  </si>
  <si>
    <t>CENTRAL CAROLINA CC</t>
  </si>
  <si>
    <t>CENTRAL PIEDMONT CC</t>
  </si>
  <si>
    <t>CLEVELAND CC</t>
  </si>
  <si>
    <t>COASTAL CAROLINA CC</t>
  </si>
  <si>
    <t>COLLEGE OF ALBEMARLE</t>
  </si>
  <si>
    <t>CRAVEN CC</t>
  </si>
  <si>
    <t>DAVIDSON-DAVIE CC</t>
  </si>
  <si>
    <t>DURHAM TCC</t>
  </si>
  <si>
    <t>EDGECOMBE CC</t>
  </si>
  <si>
    <t>FAYETTEVILLE TCC</t>
  </si>
  <si>
    <t>FORSYTH TCC</t>
  </si>
  <si>
    <t>GASTON COLLEGE</t>
  </si>
  <si>
    <t>GUILFORD TCC</t>
  </si>
  <si>
    <t>HALIFAX CC</t>
  </si>
  <si>
    <t>HAYWOOD CC</t>
  </si>
  <si>
    <t>ISOTHERMAL CC</t>
  </si>
  <si>
    <t>JAMES SPRUNT CC</t>
  </si>
  <si>
    <t>JOHNSTON CC</t>
  </si>
  <si>
    <t>LENOIR CC</t>
  </si>
  <si>
    <t>MARTIN CC</t>
  </si>
  <si>
    <t>MAYLAND CC</t>
  </si>
  <si>
    <t>MCDOWELL TCC</t>
  </si>
  <si>
    <t>MITCHELL CC</t>
  </si>
  <si>
    <t>MONTGOMERY CC</t>
  </si>
  <si>
    <t>NASH CC</t>
  </si>
  <si>
    <t>PAMLICO CC</t>
  </si>
  <si>
    <t>PIEDMONT CC</t>
  </si>
  <si>
    <t>PITT CC</t>
  </si>
  <si>
    <t>RANDOLPH CC</t>
  </si>
  <si>
    <t>RICHMOND CC</t>
  </si>
  <si>
    <t>ROANOKE CHOWAN CC</t>
  </si>
  <si>
    <t>ROBESON CC</t>
  </si>
  <si>
    <t>ROCKINGHAM CC</t>
  </si>
  <si>
    <t>ROWAN-CABARRUS CC</t>
  </si>
  <si>
    <t>SAMPSON CC</t>
  </si>
  <si>
    <t>SANDHILLS CC</t>
  </si>
  <si>
    <t>SOUTHEASTERN CC</t>
  </si>
  <si>
    <t>SOUTHWESTERN CC</t>
  </si>
  <si>
    <t>STANLY CC</t>
  </si>
  <si>
    <t>SURRY CC</t>
  </si>
  <si>
    <t>TRI-COUNTY CC</t>
  </si>
  <si>
    <t>VANCE-GRANVILLE CC</t>
  </si>
  <si>
    <t>WAKE TCC</t>
  </si>
  <si>
    <t>WAYNE CC</t>
  </si>
  <si>
    <t>WESTERN PIEDMONT CC</t>
  </si>
  <si>
    <t>WILKES CC</t>
  </si>
  <si>
    <t>WILSON CC</t>
  </si>
  <si>
    <t xml:space="preserve">Note for OSC </t>
  </si>
  <si>
    <t>Source:  From spreadsheets provided by NC Comm Coll System Office at end of June each year.</t>
  </si>
  <si>
    <t>Represents amounts booked by the System Office as due to the colleges for construction projects.</t>
  </si>
  <si>
    <t>Updated for 6/30/22 totals on 2/15/23-jrk</t>
  </si>
  <si>
    <t>Ending Net Position</t>
  </si>
  <si>
    <t>Per ACFR</t>
  </si>
  <si>
    <t>.</t>
  </si>
  <si>
    <t>Source:  20CollWtb.xls from 20CC subdirectory under 20 Annual Report Folder</t>
  </si>
  <si>
    <t>N.C. Community Colleges</t>
  </si>
  <si>
    <t>CC-Component Unit</t>
  </si>
  <si>
    <t>updated with 2022 CC Pkg figures</t>
  </si>
  <si>
    <t>on 02/02/23 - jrk</t>
  </si>
  <si>
    <t xml:space="preserve">Central </t>
  </si>
  <si>
    <t>College of</t>
  </si>
  <si>
    <t>Davidson-</t>
  </si>
  <si>
    <t>Roanoke-</t>
  </si>
  <si>
    <t>Rowan-</t>
  </si>
  <si>
    <t>Vance-</t>
  </si>
  <si>
    <t>GRAND</t>
  </si>
  <si>
    <t>COMMUNITY COLL</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</si>
  <si>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</si>
  <si>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</si>
  <si>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</si>
  <si>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</si>
  <si>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</si>
  <si>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</si>
  <si>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</si>
  <si>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</si>
  <si>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</si>
  <si>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</si>
  <si>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</si>
  <si>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</si>
  <si>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</si>
  <si>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</si>
  <si>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</si>
  <si>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</si>
  <si>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</si>
  <si>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</si>
  <si>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</si>
  <si>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</si>
  <si>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</si>
  <si>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</si>
  <si>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</si>
  <si>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</si>
  <si>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</si>
  <si>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</si>
  <si>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</si>
  <si>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</si>
  <si>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</si>
  <si>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</si>
  <si>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</si>
  <si>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</si>
  <si>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</si>
  <si>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</si>
  <si>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</si>
  <si>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</si>
  <si>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</si>
  <si>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</si>
  <si>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</si>
  <si>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</si>
  <si>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</si>
  <si>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</si>
  <si>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</si>
  <si>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</si>
  <si>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</si>
  <si>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</si>
  <si>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</si>
  <si>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</si>
  <si>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</si>
  <si>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</si>
  <si>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</si>
  <si>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</si>
  <si>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</si>
  <si>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</si>
  <si>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</si>
  <si>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</si>
  <si>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</si>
  <si>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</si>
  <si>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Journal Input</t>
  </si>
  <si>
    <t>BS-AJE01</t>
  </si>
  <si>
    <t>BS-AJE02</t>
  </si>
  <si>
    <t>BS-AJE03</t>
  </si>
  <si>
    <t>BS-AJE04</t>
  </si>
  <si>
    <t>BS-AJE05</t>
  </si>
  <si>
    <t>BS-AJE06</t>
  </si>
  <si>
    <t>BS-AJE07</t>
  </si>
  <si>
    <t>BS-AJE08</t>
  </si>
  <si>
    <t>BS-AJE09</t>
  </si>
  <si>
    <t>BS-AJE10</t>
  </si>
  <si>
    <t>BS-AJE11</t>
  </si>
  <si>
    <t>TOTAL AJEs</t>
  </si>
  <si>
    <t>AFCR TOTAL</t>
  </si>
  <si>
    <t>Diff</t>
  </si>
  <si>
    <t>Restricted/designated cash and cash equivalents</t>
  </si>
  <si>
    <t>Securities lending collateral</t>
  </si>
  <si>
    <t>Prepaid Items</t>
  </si>
  <si>
    <t>Beneficial interest in assets held by oher</t>
  </si>
  <si>
    <t>Deferred outflows - other</t>
  </si>
  <si>
    <t>Total Current liabilities</t>
  </si>
  <si>
    <t>Total Noncurrent liabilities</t>
  </si>
  <si>
    <t>Deferred infows for irrevocabel split-interest agreeements</t>
  </si>
  <si>
    <t>Deferred infows for lease agreements</t>
  </si>
  <si>
    <t>Deferred inflows - other</t>
  </si>
  <si>
    <t>NET POSITION:</t>
  </si>
  <si>
    <t xml:space="preserve">  Nonexpendable:</t>
  </si>
  <si>
    <t xml:space="preserve">    Scholarships and fellowships</t>
  </si>
  <si>
    <t xml:space="preserve">    Loans</t>
  </si>
  <si>
    <t xml:space="preserve">    Other</t>
  </si>
  <si>
    <t xml:space="preserve">  Expendable:</t>
  </si>
  <si>
    <t xml:space="preserve">    Capital projects</t>
  </si>
  <si>
    <t>Total Net Position</t>
  </si>
  <si>
    <t xml:space="preserve">    Operating loss</t>
  </si>
  <si>
    <t>Federal aid - CARES Act</t>
  </si>
  <si>
    <t>Interest and fees on capital-asset related debt</t>
  </si>
  <si>
    <t xml:space="preserve">    Net nonoperating revenues (expenses)</t>
  </si>
  <si>
    <t xml:space="preserve">       Income/(loss) before other rev,exp,gain,losses</t>
  </si>
  <si>
    <t>County capital appropriations</t>
  </si>
  <si>
    <t>Package located in: K\SASD\22CAFR\Statements\Component\22cc\CommCollegeComboFY22</t>
  </si>
  <si>
    <t>DATA FOR AFR 5XX WORKSHEETS</t>
  </si>
  <si>
    <t>01</t>
  </si>
  <si>
    <t>USED FOR AFR W/S 520</t>
  </si>
  <si>
    <t>02</t>
  </si>
  <si>
    <t>ONLY INCLUDES AGENCIES</t>
  </si>
  <si>
    <t>03</t>
  </si>
  <si>
    <t>04</t>
  </si>
  <si>
    <t>05</t>
  </si>
  <si>
    <t>06</t>
  </si>
  <si>
    <t>07</t>
  </si>
  <si>
    <t>08</t>
  </si>
  <si>
    <t>09</t>
  </si>
  <si>
    <t>10</t>
  </si>
  <si>
    <t>11</t>
  </si>
  <si>
    <t>12</t>
  </si>
  <si>
    <t>13</t>
  </si>
  <si>
    <t>14</t>
  </si>
  <si>
    <t>15</t>
  </si>
  <si>
    <t>16</t>
  </si>
  <si>
    <t>17</t>
  </si>
  <si>
    <t>19</t>
  </si>
  <si>
    <t>40</t>
  </si>
  <si>
    <t>41</t>
  </si>
  <si>
    <t>43</t>
  </si>
  <si>
    <t>45</t>
  </si>
  <si>
    <t>46</t>
  </si>
  <si>
    <t>50</t>
  </si>
  <si>
    <t>60</t>
  </si>
  <si>
    <t>67</t>
  </si>
  <si>
    <t>USED FOR AFR W/S 525 AND 530</t>
  </si>
  <si>
    <t>48</t>
  </si>
  <si>
    <t>ONLY COMPONENT UNITS</t>
  </si>
  <si>
    <t>High Point Regional Health</t>
  </si>
  <si>
    <t>87</t>
  </si>
  <si>
    <t>UNC-General Administration</t>
  </si>
  <si>
    <t>Davidson-Davie County Community College</t>
  </si>
  <si>
    <t>Subscripton (SBITA) Asset</t>
  </si>
  <si>
    <t xml:space="preserve">Subscripton (SBITA) Asset </t>
  </si>
  <si>
    <t xml:space="preserve">Subscription (SBITA) Asset </t>
  </si>
  <si>
    <t>Combined 2 SBITA accounts into one</t>
  </si>
  <si>
    <t>303</t>
  </si>
  <si>
    <t>CapAsset Beg Bal</t>
  </si>
  <si>
    <t>Eliminated one of the SBITA accounts for both Assets and Accum Depreciation</t>
  </si>
  <si>
    <t xml:space="preserve">SBITA Lessee </t>
  </si>
  <si>
    <t>Pension_OPEB End Balance</t>
  </si>
  <si>
    <t xml:space="preserve">Load 2023 data </t>
  </si>
  <si>
    <t>updated 6/26/2023 - jrk</t>
  </si>
  <si>
    <t xml:space="preserve">       File revision date: 7/05/2023</t>
  </si>
  <si>
    <t>RestrDuefromPG</t>
  </si>
  <si>
    <t>Add data to Restricted Due From Primary Gov't tab</t>
  </si>
  <si>
    <t>updated 7/05/2023 - jrk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</si>
</sst>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numFmt numFmtId="168" formatCode="* #,###\ ;* \(#,###\);\ \ @*."/>
    <numFmt numFmtId="169" formatCode="* #,###\ ;* \(#,###\);@*."/>
    <numFmt numFmtId="170" formatCode="#,###\ ;\(#,###\);@*."/>
    <numFmt numFmtId="171" formatCode="mmmm\ d\,\ yyyy"/>
    <numFmt numFmtId="172" formatCode="0.00%\ ;\(0.00\)%"/>
    <numFmt numFmtId="173" formatCode="#,##0.00_);\(#,##0.00\);\—\ \ \ \ \ \ "/>
    <numFmt numFmtId="174" formatCode="&quot;$&quot;* #,##0.00_);&quot;$&quot;* \(#,##0.00\);&quot;$&quot;* \—\ \ \ \ \ \ "/>
    <numFmt numFmtId="175" formatCode="[&lt;=9999999]###\-####;\(###\)\ ###\-####"/>
    <numFmt numFmtId="176" formatCode="#,##0_);\(#,##0\);&quot;-       &quot;"/>
    <numFmt numFmtId="177" formatCode="00"/>
    <numFmt numFmtId="178" formatCode="#,##0.00_);\(#,##0.00\);;"/>
    <numFmt numFmtId="179" formatCode="&quot;$&quot;#,##0\ ;\(&quot;$&quot;#,##0\);@*."/>
    <numFmt numFmtId="180" formatCode="#,##0.00_);\(#,##0.00\);"/>
    <numFmt numFmtId="181" formatCode="[$-409]mmmm\ d\,\ yyyy;@"/>
    <numFmt numFmtId="182" formatCode="#,###\ ;\(#,###\)"/>
    <numFmt numFmtId="183" formatCode="mm/dd/yy;@"/>
    <numFmt numFmtId="184" formatCode="#,##0.00_);\(#,##0.00\);\—\ \ \ "/>
    <numFmt numFmtId="185" formatCode="0_);\(0\)"/>
    <numFmt numFmtId="186" formatCode="* #,###.00\ ;* \(#,###.00\);* \-\ \ \ \ \ \ "/>
    <numFmt numFmtId="187" formatCode="_(* #,##0_);_(* \(#,##0\);_(* &quot;-&quot;??_);_(@_)"/>
    <numFmt numFmtId="188" formatCode="m/d/yy;@"/>
  </numFmts>
  <fonts count="220">
    <font>
      <sz val="8"/>
      <name val="Arial"/>
    </font>
    <font>
      <b/>
      <sz val="10"/>
      <name val="MS Sans Serif"/>
    </font>
    <font>
      <sz val="10"/>
      <name val="MS Sans Serif"/>
      <family val="2"/>
    </font>
    <font>
      <sz val="8"/>
      <name val="Arial"/>
      <family val="2"/>
    </font>
    <font>
      <b/>
      <sz val="8"/>
      <name val="Arial"/>
      <family val="2"/>
    </font>
    <font>
      <sz val="10"/>
      <name val="Helv"/>
    </font>
    <font>
      <sz val="12"/>
      <name val="Book Antiqua"/>
      <family val="1"/>
    </font>
    <font>
      <b/>
      <sz val="12"/>
      <name val="Book Antiqua"/>
      <family val="1"/>
    </font>
    <font>
      <sz val="10"/>
      <name val="Book Antiqua"/>
      <family val="1"/>
    </font>
    <font>
      <sz val="8"/>
      <name val="Arial Narrow"/>
      <family val="2"/>
    </font>
    <font>
      <b/>
      <sz val="8"/>
      <name val="Arial Narrow"/>
      <family val="2"/>
    </font>
    <font>
      <b/>
      <sz val="8"/>
      <name val="Arial Narrow"/>
      <family val="2"/>
    </font>
    <font>
      <b/>
      <sz val="8"/>
      <color indexed="9"/>
      <name val="Arial Narrow"/>
      <family val="2"/>
    </font>
    <font>
      <b/>
      <sz val="10"/>
      <color indexed="9"/>
      <name val="Arial Narrow"/>
      <family val="2"/>
    </font>
    <font>
      <sz val="10"/>
      <name val="Arial Narrow"/>
      <family val="2"/>
    </font>
    <font>
      <sz val="8"/>
      <color indexed="18"/>
      <name val="Arial Narrow"/>
      <family val="2"/>
    </font>
    <font>
      <b/>
      <sz val="8"/>
      <color indexed="18"/>
      <name val="Arial Narrow"/>
      <family val="2"/>
    </font>
    <font>
      <b/>
      <i/>
      <sz val="10"/>
      <name val="Arial"/>
      <family val="2"/>
    </font>
    <font>
      <b/>
      <i/>
      <u/>
      <sz val="10"/>
      <name val="Arial"/>
      <family val="2"/>
    </font>
    <font>
      <u/>
      <sz val="10"/>
      <name val="Arial"/>
      <family val="2"/>
    </font>
    <font>
      <b/>
      <sz val="10"/>
      <name val="Arial"/>
      <family val="2"/>
    </font>
    <font>
      <b/>
      <sz val="9"/>
      <name val="Arial Narrow"/>
      <family val="2"/>
    </font>
    <font>
      <b/>
      <sz val="9"/>
      <name val="Arial"/>
      <family val="2"/>
    </font>
    <font>
      <b/>
      <sz val="8"/>
      <color indexed="9"/>
      <name val="Arial"/>
      <family val="2"/>
    </font>
    <font>
      <sz val="10"/>
      <name val="Arial"/>
      <family val="2"/>
    </font>
    <font>
      <sz val="10"/>
      <name val="Arial Narrow"/>
      <family val="2"/>
    </font>
    <font>
      <b/>
      <sz val="10"/>
      <name val="Arial"/>
      <family val="2"/>
    </font>
    <font>
      <b/>
      <sz val="10"/>
      <color indexed="8"/>
      <name val="Arial Narrow"/>
      <family val="2"/>
    </font>
    <font>
      <b/>
      <sz val="10"/>
      <name val="Arial Narrow"/>
      <family val="2"/>
    </font>
    <font>
      <b/>
      <sz val="10"/>
      <color indexed="62"/>
      <name val="Arial Narrow"/>
      <family val="2"/>
    </font>
    <font>
      <sz val="10"/>
      <name val="Times New Roman"/>
      <family val="1"/>
    </font>
    <font>
      <b/>
      <sz val="10"/>
      <color indexed="9"/>
      <name val="Arial"/>
      <family val="2"/>
    </font>
    <font>
      <b/>
      <sz val="10"/>
      <color indexed="8"/>
      <name val="Comic Sans MS"/>
      <family val="4"/>
    </font>
    <font>
      <b/>
      <sz val="10"/>
      <color indexed="18"/>
      <name val="Arial Narrow"/>
      <family val="2"/>
    </font>
    <font>
      <b/>
      <u/>
      <sz val="8"/>
      <name val="Arial Narrow"/>
      <family val="2"/>
    </font>
    <font>
      <b/>
      <sz val="9"/>
      <color indexed="9"/>
      <name val="Arial Narrow"/>
      <family val="2"/>
    </font>
    <font>
      <sz val="9"/>
      <name val="Arial Narrow"/>
      <family val="2"/>
    </font>
    <font>
      <i/>
      <sz val="10"/>
      <name val="Arial"/>
      <family val="2"/>
    </font>
    <font>
      <b/>
      <sz val="9.5"/>
      <color indexed="9"/>
      <name val="Arial"/>
      <family val="2"/>
    </font>
    <font>
      <b/>
      <i/>
      <sz val="9.5"/>
      <name val="Arial"/>
      <family val="2"/>
    </font>
    <font>
      <sz val="9.5"/>
      <name val="Arial"/>
      <family val="2"/>
    </font>
    <font>
      <b/>
      <i/>
      <u/>
      <sz val="9.5"/>
      <name val="Arial"/>
      <family val="2"/>
    </font>
    <font>
      <b/>
      <i/>
      <sz val="12"/>
      <name val="Arial"/>
      <family val="2"/>
    </font>
    <font>
      <sz val="8"/>
      <name val="Arial"/>
      <family val="2"/>
    </font>
    <font>
      <i/>
      <sz val="10"/>
      <name val="Arial"/>
      <family val="2"/>
    </font>
    <font>
      <sz val="9"/>
      <name val="Arial"/>
      <family val="2"/>
    </font>
    <font>
      <u/>
      <sz val="10"/>
      <color indexed="12"/>
      <name val="Arial"/>
      <family val="2"/>
    </font>
    <font>
      <sz val="9.75"/>
      <name val="Helv"/>
    </font>
    <font>
      <sz val="9"/>
      <name val="Arial"/>
      <family val="2"/>
    </font>
    <font>
      <b/>
      <sz val="12"/>
      <name val="Arial"/>
      <family val="2"/>
    </font>
    <font>
      <b/>
      <sz val="18"/>
      <name val="MS Sans Serif"/>
      <family val="2"/>
    </font>
    <font>
      <sz val="10"/>
      <name val="Arial"/>
      <family val="2"/>
    </font>
    <font>
      <sz val="12"/>
      <name val="Arial"/>
      <family val="2"/>
    </font>
    <font>
      <b/>
      <u/>
      <sz val="9"/>
      <name val="Arial"/>
      <family val="2"/>
    </font>
    <font>
      <sz val="12"/>
      <name val="Helv"/>
    </font>
    <font>
      <b/>
      <sz val="12"/>
      <name val="Helv"/>
    </font>
    <font>
      <b/>
      <sz val="10"/>
      <name val="Helv"/>
    </font>
    <font>
      <sz val="8"/>
      <name val="Helv"/>
    </font>
    <font>
      <b/>
      <i/>
      <sz val="10"/>
      <name val="Helv"/>
    </font>
    <font>
      <b/>
      <sz val="8"/>
      <name val="Helv"/>
    </font>
    <font>
      <sz val="14"/>
      <name val="Book Antiqua"/>
      <family val="1"/>
    </font>
    <font>
      <b/>
      <sz val="16"/>
      <name val="Arial"/>
      <family val="2"/>
    </font>
    <font>
      <b/>
      <u/>
      <sz val="12"/>
      <name val="Arial"/>
      <family val="2"/>
    </font>
    <font>
      <b/>
      <u/>
      <sz val="10"/>
      <name val="Arial"/>
      <family val="2"/>
    </font>
    <font>
      <sz val="9.75"/>
      <name val="Arial"/>
      <family val="2"/>
    </font>
    <font>
      <sz val="12"/>
      <name val="Arial"/>
      <family val="2"/>
    </font>
    <font>
      <b/>
      <sz val="18"/>
      <name val="Times New Roman"/>
      <family val="1"/>
    </font>
    <font>
      <sz val="12"/>
      <name val="MS Sans Serif"/>
      <family val="2"/>
    </font>
    <font>
      <b/>
      <sz val="10"/>
      <name val="MS Sans Serif"/>
      <family val="2"/>
    </font>
    <font>
      <b/>
      <sz val="9"/>
      <name val="MS Sans Serif"/>
      <family val="2"/>
    </font>
    <font>
      <b/>
      <sz val="12"/>
      <name val="MS Sans Serif"/>
      <family val="2"/>
    </font>
    <font>
      <b/>
      <sz val="8.5"/>
      <name val="MS Sans Serif"/>
      <family val="2"/>
    </font>
    <font>
      <b/>
      <sz val="14"/>
      <name val="Times New Roman"/>
      <family val="1"/>
    </font>
    <font>
      <sz val="12"/>
      <name val="Times New Roman"/>
      <family val="1"/>
    </font>
    <font>
      <b/>
      <u/>
      <sz val="12"/>
      <name val="Times New Roman"/>
      <family val="1"/>
    </font>
    <font>
      <sz val="12"/>
      <color indexed="12"/>
      <name val="Times New Roman"/>
      <family val="1"/>
    </font>
    <font>
      <u/>
      <sz val="12"/>
      <name val="Times New Roman"/>
      <family val="1"/>
    </font>
    <font>
      <b/>
      <sz val="12"/>
      <name val="Times New Roman"/>
      <family val="1"/>
    </font>
    <font>
      <b/>
      <sz val="9.75"/>
      <name val="Arial"/>
      <family val="2"/>
    </font>
    <font>
      <sz val="10"/>
      <color indexed="12"/>
      <name val="Arial Narrow"/>
      <family val="2"/>
    </font>
    <font>
      <b/>
      <u/>
      <sz val="10"/>
      <color indexed="10"/>
      <name val="Arial"/>
      <family val="2"/>
    </font>
    <font>
      <sz val="10"/>
      <color indexed="14"/>
      <name val="Arial Narrow"/>
      <family val="2"/>
    </font>
    <font>
      <sz val="10"/>
      <color indexed="14"/>
      <name val="Arial"/>
      <family val="2"/>
    </font>
    <font>
      <sz val="8"/>
      <color indexed="81"/>
      <name val="Tahoma"/>
      <family val="2"/>
    </font>
    <font>
      <u/>
      <sz val="8"/>
      <color indexed="81"/>
      <name val="Tahoma"/>
      <family val="2"/>
    </font>
    <font>
      <b/>
      <sz val="7"/>
      <name val="Arial Narrow"/>
      <family val="2"/>
    </font>
    <font>
      <b/>
      <sz val="7"/>
      <color indexed="10"/>
      <name val="Arial Narrow"/>
      <family val="2"/>
    </font>
    <font>
      <b/>
      <sz val="7"/>
      <color indexed="10"/>
      <name val="Arial"/>
      <family val="2"/>
    </font>
    <font>
      <b/>
      <sz val="10"/>
      <name val="Book Antiqua"/>
      <family val="1"/>
    </font>
    <font>
      <sz val="12"/>
      <name val="Times New Roman"/>
      <family val="1"/>
    </font>
    <font>
      <b/>
      <sz val="8"/>
      <color indexed="14"/>
      <name val="Arial"/>
      <family val="2"/>
    </font>
    <font>
      <b/>
      <sz val="9"/>
      <color indexed="14"/>
      <name val="Arial"/>
      <family val="2"/>
    </font>
    <font>
      <sz val="8"/>
      <color indexed="14"/>
      <name val="Arial Narrow"/>
      <family val="2"/>
    </font>
    <font>
      <b/>
      <sz val="12"/>
      <color indexed="12"/>
      <name val="Arial"/>
      <family val="2"/>
    </font>
    <font>
      <b/>
      <i/>
      <sz val="10"/>
      <color indexed="10"/>
      <name val="Arial"/>
      <family val="2"/>
    </font>
    <font>
      <b/>
      <sz val="7"/>
      <color indexed="12"/>
      <name val="Arial Narrow"/>
      <family val="2"/>
    </font>
    <font>
      <sz val="7"/>
      <color indexed="14"/>
      <name val="Arial"/>
      <family val="2"/>
    </font>
    <font>
      <b/>
      <sz val="10"/>
      <color indexed="12"/>
      <name val="Arial"/>
      <family val="2"/>
    </font>
    <font>
      <sz val="8"/>
      <color indexed="14"/>
      <name val="Arial"/>
      <family val="2"/>
    </font>
    <font>
      <b/>
      <sz val="12"/>
      <color indexed="12"/>
      <name val="Book Antiqua"/>
      <family val="1"/>
    </font>
    <font>
      <b/>
      <sz val="10"/>
      <color indexed="12"/>
      <name val="Arial Narrow"/>
      <family val="2"/>
    </font>
    <font>
      <sz val="9"/>
      <name val="Book Antiqua"/>
      <family val="1"/>
    </font>
    <font>
      <sz val="8"/>
      <color indexed="12"/>
      <name val="Arial"/>
      <family val="2"/>
    </font>
    <font>
      <sz val="12"/>
      <color indexed="10"/>
      <name val="Times New Roman"/>
      <family val="1"/>
    </font>
    <font>
      <b/>
      <sz val="9.75"/>
      <color indexed="10"/>
      <name val="Arial"/>
      <family val="2"/>
    </font>
    <font>
      <sz val="10"/>
      <color indexed="10"/>
      <name val="Arial"/>
      <family val="2"/>
    </font>
    <font>
      <b/>
      <sz val="8"/>
      <color indexed="81"/>
      <name val="Tahoma"/>
      <family val="2"/>
    </font>
    <font>
      <b/>
      <sz val="8"/>
      <name val="MS Sans Serif"/>
      <family val="2"/>
    </font>
    <font>
      <sz val="11"/>
      <name val="Times New Roman"/>
      <family val="1"/>
    </font>
    <font>
      <sz val="8"/>
      <name val="Times New Roman"/>
      <family val="1"/>
    </font>
    <font>
      <sz val="10"/>
      <name val="Arial"/>
      <family val="2"/>
    </font>
    <font>
      <sz val="12"/>
      <color indexed="10"/>
      <name val="Arial"/>
      <family val="2"/>
    </font>
    <font>
      <sz val="9"/>
      <color indexed="12"/>
      <name val="Times New Roman"/>
      <family val="1"/>
    </font>
    <font>
      <u/>
      <sz val="10"/>
      <color indexed="62"/>
      <name val="Arial"/>
      <family val="2"/>
    </font>
    <font>
      <b/>
      <u/>
      <sz val="10"/>
      <color indexed="62"/>
      <name val="Arial"/>
      <family val="2"/>
    </font>
    <font>
      <sz val="8"/>
      <color indexed="62"/>
      <name val="Arial"/>
      <family val="2"/>
    </font>
    <font>
      <u/>
      <sz val="8"/>
      <color indexed="62"/>
      <name val="Arial"/>
      <family val="2"/>
    </font>
    <font>
      <b/>
      <sz val="9.5"/>
      <name val="Arial"/>
      <family val="2"/>
    </font>
    <font>
      <sz val="10"/>
      <name val="Arial Unicode MS"/>
      <family val="2"/>
    </font>
    <font>
      <b/>
      <sz val="10"/>
      <name val="Times New Roman"/>
      <family val="1"/>
    </font>
    <font>
      <u val="singleAccounting"/>
      <sz val="8"/>
      <name val="Arial"/>
      <family val="2"/>
    </font>
    <font>
      <sz val="9"/>
      <color indexed="81"/>
      <name val="Tahoma"/>
      <family val="2"/>
    </font>
    <font>
      <b/>
      <sz val="9"/>
      <color indexed="81"/>
      <name val="Tahoma"/>
      <family val="2"/>
    </font>
    <font>
      <sz val="10"/>
      <name val="Calibri"/>
      <family val="2"/>
    </font>
    <font>
      <sz val="11"/>
      <name val="Calibri"/>
      <family val="2"/>
    </font>
    <font>
      <sz val="12"/>
      <name val="Calibri"/>
      <family val="2"/>
    </font>
    <font>
      <b/>
      <sz val="7"/>
      <color indexed="9"/>
      <name val="Arial"/>
      <family val="2"/>
    </font>
    <font>
      <b/>
      <sz val="8"/>
      <name val="Consolas"/>
      <family val="3"/>
    </font>
    <font>
      <b/>
      <sz val="8.5"/>
      <name val="Arial"/>
      <family val="2"/>
    </font>
    <font>
      <sz val="10"/>
      <name val="Arial"/>
      <family val="2"/>
    </font>
    <font>
      <sz val="7"/>
      <name val="Arial Narrow"/>
      <family val="2"/>
    </font>
    <font>
      <sz val="9"/>
      <name val="Times New Roman"/>
      <family val="1"/>
    </font>
    <font>
      <b/>
      <sz val="14"/>
      <name val="Calibri"/>
      <family val="2"/>
    </font>
    <font>
      <b/>
      <sz val="8"/>
      <name val="Calibri"/>
      <family val="2"/>
    </font>
    <font>
      <sz val="8.25"/>
      <name val="Helv"/>
    </font>
    <font>
      <b/>
      <sz val="9"/>
      <color indexed="9"/>
      <name val="Arial"/>
      <family val="2"/>
    </font>
    <font>
      <sz val="10"/>
      <name val="Arial"/>
      <family val="2"/>
    </font>
    <font>
      <b/>
      <sz val="11"/>
      <name val="Arial"/>
      <family val="2"/>
    </font>
    <font>
      <sz val="11"/>
      <color indexed="8"/>
      <name val="Calibri"/>
      <family val="2"/>
    </font>
    <font>
      <sz val="14"/>
      <color indexed="20"/>
      <name val="Arial"/>
      <family val="2"/>
    </font>
    <font>
      <b/>
      <sz val="14"/>
      <color indexed="20"/>
      <name val="Arial"/>
      <family val="2"/>
    </font>
    <font>
      <sz val="9"/>
      <color indexed="14"/>
      <name val="Arial"/>
      <family val="2"/>
    </font>
    <font>
      <sz val="8"/>
      <color indexed="62"/>
      <name val="Helv"/>
    </font>
    <font>
      <sz val="9"/>
      <color indexed="62"/>
      <name val="Times New Roman"/>
      <family val="1"/>
    </font>
    <font>
      <b/>
      <sz val="6"/>
      <color indexed="10"/>
      <name val="Arial Narrow"/>
      <family val="2"/>
    </font>
    <font>
      <b/>
      <sz val="8"/>
      <color indexed="10"/>
      <name val="Arial Narrow"/>
      <family val="2"/>
    </font>
    <font>
      <sz val="8"/>
      <color indexed="8"/>
      <name val="Arial"/>
      <family val="2"/>
    </font>
    <font>
      <sz val="10"/>
      <name val="Arial"/>
      <family val="2"/>
    </font>
    <font>
      <sz val="10"/>
      <name val="Arial"/>
      <family val="2"/>
    </font>
    <font>
      <sz val="10"/>
      <color indexed="12"/>
      <name val="Arial"/>
      <family val="2"/>
    </font>
    <font>
      <sz val="9"/>
      <name val="Calibri"/>
      <family val="2"/>
    </font>
    <font>
      <i/>
      <sz val="9"/>
      <name val="Arial"/>
      <family val="2"/>
    </font>
    <font>
      <sz val="9"/>
      <name val="MS Sans Serif"/>
      <family val="2"/>
    </font>
    <font>
      <b/>
      <i/>
      <sz val="9"/>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8"/>
      <color theme="3"/>
      <name val="Cambria"/>
      <family val="2"/>
      <scheme val="major"/>
    </font>
    <font>
      <b/>
      <sz val="11"/>
      <color theme="1"/>
      <name val="Calibri"/>
      <family val="2"/>
      <scheme val="minor"/>
    </font>
    <font>
      <sz val="11"/>
      <color rgb="FFFF0000"/>
      <name val="Calibri"/>
      <family val="2"/>
      <scheme val="minor"/>
    </font>
    <font>
      <sz val="10"/>
      <color rgb="FF7030A0"/>
      <name val="Arial"/>
      <family val="2"/>
    </font>
    <font>
      <sz val="10"/>
      <color rgb="FF00B050"/>
      <name val="Arial"/>
      <family val="2"/>
    </font>
    <font>
      <sz val="10"/>
      <color rgb="FFFF0000"/>
      <name val="Arial"/>
      <family val="2"/>
    </font>
    <font>
      <b/>
      <sz val="8.5"/>
      <color rgb="FFFF0000"/>
      <name val="Arial"/>
      <family val="2"/>
    </font>
    <font>
      <sz val="12"/>
      <color rgb="FF000000"/>
      <name val="Times New Roman"/>
      <family val="1"/>
    </font>
    <font>
      <b/>
      <sz val="12"/>
      <color theme="1"/>
      <name val="Book Antiqua"/>
      <family val="1"/>
    </font>
    <font>
      <sz val="10"/>
      <color theme="1"/>
      <name val="Arial"/>
      <family val="2"/>
    </font>
    <font>
      <b/>
      <sz val="10"/>
      <color theme="1"/>
      <name val="Arial"/>
      <family val="2"/>
    </font>
    <font>
      <sz val="8"/>
      <color theme="1"/>
      <name val="Arial"/>
      <family val="2"/>
    </font>
    <font>
      <b/>
      <sz val="10"/>
      <color theme="0"/>
      <name val="Arial"/>
      <family val="2"/>
    </font>
    <font>
      <b/>
      <sz val="9.5"/>
      <color theme="1"/>
      <name val="Times New Roman"/>
      <family val="1"/>
    </font>
    <font>
      <sz val="9.5"/>
      <color theme="1"/>
      <name val="Times New Roman"/>
      <family val="1"/>
    </font>
    <font>
      <sz val="10"/>
      <name val="MS Sans Serif"/>
    </font>
    <font>
      <b/>
      <i/>
      <u/>
      <sz val="12"/>
      <name val="Arial"/>
      <family val="2"/>
    </font>
    <font>
      <b/>
      <sz val="8"/>
      <color rgb="FFFF0000"/>
      <name val="Arial"/>
      <family val="2"/>
    </font>
    <font>
      <b/>
      <sz val="11"/>
      <name val="Calibri"/>
      <family val="2"/>
    </font>
    <font>
      <sz val="10"/>
      <color rgb="FFFF0000"/>
      <name val="Arial Narrow"/>
      <family val="2"/>
    </font>
    <font>
      <b/>
      <sz val="11"/>
      <color indexed="10"/>
      <name val="Arial"/>
      <family val="2"/>
    </font>
    <font>
      <b/>
      <sz val="12"/>
      <color rgb="FFFF0000"/>
      <name val="Book Antiqua"/>
      <family val="1"/>
    </font>
    <font>
      <i/>
      <sz val="8"/>
      <name val="Arial"/>
      <family val="2"/>
    </font>
    <font>
      <sz val="8"/>
      <name val="Times New Roman"/>
      <family val="2"/>
    </font>
    <font>
      <sz val="10"/>
      <color rgb="FF0000FF"/>
      <name val="Arial"/>
      <family val="2"/>
    </font>
    <font>
      <b/>
      <sz val="10"/>
      <color rgb="FF0066FF"/>
      <name val="Arial"/>
      <family val="2"/>
    </font>
    <font>
      <sz val="8"/>
      <color rgb="FF0000FF"/>
      <name val="Arial"/>
      <family val="2"/>
    </font>
    <font>
      <sz val="10"/>
      <color rgb="FF3366FF"/>
      <name val="Arial"/>
      <family val="2"/>
    </font>
    <font>
      <b/>
      <sz val="10"/>
      <color rgb="FF3366FF"/>
      <name val="Arial Narrow"/>
      <family val="2"/>
    </font>
    <font>
      <sz val="10"/>
      <name val="Tahoma"/>
      <family val="2"/>
    </font>
    <font>
      <b/>
      <sz val="10"/>
      <name val="Tahoma"/>
      <family val="2"/>
    </font>
    <font>
      <b/>
      <sz val="10"/>
      <color rgb="FFFF0000"/>
      <name val="Arial"/>
      <family val="2"/>
    </font>
    <font>
      <b/>
      <sz val="10"/>
      <color rgb="FFFF0000"/>
      <name val="Tahoma"/>
      <family val="2"/>
    </font>
    <font>
      <sz val="8"/>
      <color rgb="FFFF0000"/>
      <name val="Arial"/>
      <family val="2"/>
    </font>
    <font>
      <b/>
      <sz val="7"/>
      <color rgb="FFFF0000"/>
      <name val="Arial Narrow"/>
      <family val="2"/>
    </font>
    <font>
      <b/>
      <i/>
      <sz val="10"/>
      <color rgb="FFFF0000"/>
      <name val="Arial"/>
      <family val="2"/>
    </font>
    <font>
      <sz val="10"/>
      <color rgb="FF0000FF"/>
      <name val="Arial Narrow"/>
      <family val="2"/>
    </font>
    <font>
      <u val="singleAccounting"/>
      <sz val="11"/>
      <name val="Calibri"/>
      <family val="2"/>
    </font>
    <font>
      <u/>
      <sz val="12"/>
      <name val="Arial"/>
      <family val="2"/>
    </font>
    <font>
      <sz val="12"/>
      <color rgb="FFFF0000"/>
      <name val="Times New Roman"/>
      <family val="1"/>
    </font>
    <font>
      <u val="singleAccounting"/>
      <sz val="10"/>
      <color theme="1"/>
      <name val="Arial"/>
      <family val="2"/>
    </font>
    <font>
      <b/>
      <sz val="9"/>
      <color rgb="FFFF0000"/>
      <name val="Arial"/>
      <family val="2"/>
    </font>
    <font>
      <b/>
      <sz val="11"/>
      <color rgb="FF000000"/>
      <name val="Arial"/>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0"/>
        <bgColor indexed="64"/>
      </patternFill>
    </fill>
    <fill>
      <patternFill patternType="solid">
        <fgColor indexed="24"/>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6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rgb="FF000000"/>
      </patternFill>
    </fill>
  </fills>
  <borders count="53">
    <border>
      <left/>
      <right/>
      <top/>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indexed="64"/>
      </top>
      <bottom style="thin">
        <color indexed="64"/>
      </bottom>
      <diagonal/>
    </border>
  </borders>
  <cellStyleXfs count="192">
    <xf numFmtId="165" fontId="0" fillId="0" borderId="0">
      <protection locked="0"/>
    </xf>
    <xf numFmtId="0" fontId="155" fillId="2" borderId="0" applyNumberFormat="0" applyBorder="0" applyAlignment="0" applyProtection="0"/>
    <xf numFmtId="0" fontId="155" fillId="26" borderId="0" applyNumberFormat="0" applyBorder="0" applyAlignment="0" applyProtection="0"/>
    <xf numFmtId="0" fontId="155" fillId="3" borderId="0" applyNumberFormat="0" applyBorder="0" applyAlignment="0" applyProtection="0"/>
    <xf numFmtId="0" fontId="155" fillId="27" borderId="0" applyNumberFormat="0" applyBorder="0" applyAlignment="0" applyProtection="0"/>
    <xf numFmtId="0" fontId="155" fillId="4" borderId="0" applyNumberFormat="0" applyBorder="0" applyAlignment="0" applyProtection="0"/>
    <xf numFmtId="0" fontId="155" fillId="28" borderId="0" applyNumberFormat="0" applyBorder="0" applyAlignment="0" applyProtection="0"/>
    <xf numFmtId="0" fontId="155" fillId="5"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4" borderId="0" applyNumberFormat="0" applyBorder="0" applyAlignment="0" applyProtection="0"/>
    <xf numFmtId="0" fontId="155" fillId="31" borderId="0" applyNumberFormat="0" applyBorder="0" applyAlignment="0" applyProtection="0"/>
    <xf numFmtId="0" fontId="155" fillId="6"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7" borderId="0" applyNumberFormat="0" applyBorder="0" applyAlignment="0" applyProtection="0"/>
    <xf numFmtId="0" fontId="155" fillId="34" borderId="0" applyNumberFormat="0" applyBorder="0" applyAlignment="0" applyProtection="0"/>
    <xf numFmtId="0" fontId="155" fillId="8" borderId="0" applyNumberFormat="0" applyBorder="0" applyAlignment="0" applyProtection="0"/>
    <xf numFmtId="0" fontId="155" fillId="35" borderId="0" applyNumberFormat="0" applyBorder="0" applyAlignment="0" applyProtection="0"/>
    <xf numFmtId="0" fontId="155" fillId="6" borderId="0" applyNumberFormat="0" applyBorder="0" applyAlignment="0" applyProtection="0"/>
    <xf numFmtId="0" fontId="155" fillId="36" borderId="0" applyNumberFormat="0" applyBorder="0" applyAlignment="0" applyProtection="0"/>
    <xf numFmtId="0" fontId="155" fillId="4" borderId="0" applyNumberFormat="0" applyBorder="0" applyAlignment="0" applyProtection="0"/>
    <xf numFmtId="0" fontId="155" fillId="37" borderId="0" applyNumberFormat="0" applyBorder="0" applyAlignment="0" applyProtection="0"/>
    <xf numFmtId="0" fontId="156" fillId="6" borderId="0" applyNumberFormat="0" applyBorder="0" applyAlignment="0" applyProtection="0"/>
    <xf numFmtId="0" fontId="156" fillId="38" borderId="0" applyNumberFormat="0" applyBorder="0" applyAlignment="0" applyProtection="0"/>
    <xf numFmtId="0" fontId="156" fillId="9" borderId="0" applyNumberFormat="0" applyBorder="0" applyAlignment="0" applyProtection="0"/>
    <xf numFmtId="0" fontId="156" fillId="39" borderId="0" applyNumberFormat="0" applyBorder="0" applyAlignment="0" applyProtection="0"/>
    <xf numFmtId="0" fontId="156" fillId="10" borderId="0" applyNumberFormat="0" applyBorder="0" applyAlignment="0" applyProtection="0"/>
    <xf numFmtId="0" fontId="156" fillId="40" borderId="0" applyNumberFormat="0" applyBorder="0" applyAlignment="0" applyProtection="0"/>
    <xf numFmtId="0" fontId="156" fillId="8" borderId="0" applyNumberFormat="0" applyBorder="0" applyAlignment="0" applyProtection="0"/>
    <xf numFmtId="0" fontId="156" fillId="41" borderId="0" applyNumberFormat="0" applyBorder="0" applyAlignment="0" applyProtection="0"/>
    <xf numFmtId="0" fontId="156" fillId="6" borderId="0" applyNumberFormat="0" applyBorder="0" applyAlignment="0" applyProtection="0"/>
    <xf numFmtId="0" fontId="156" fillId="42" borderId="0" applyNumberFormat="0" applyBorder="0" applyAlignment="0" applyProtection="0"/>
    <xf numFmtId="0" fontId="156" fillId="3" borderId="0" applyNumberFormat="0" applyBorder="0" applyAlignment="0" applyProtection="0"/>
    <xf numFmtId="0" fontId="156" fillId="43" borderId="0" applyNumberFormat="0" applyBorder="0" applyAlignment="0" applyProtection="0"/>
    <xf numFmtId="0" fontId="156" fillId="11" borderId="0" applyNumberFormat="0" applyBorder="0" applyAlignment="0" applyProtection="0"/>
    <xf numFmtId="0" fontId="156" fillId="44" borderId="0" applyNumberFormat="0" applyBorder="0" applyAlignment="0" applyProtection="0"/>
    <xf numFmtId="0" fontId="156" fillId="9" borderId="0" applyNumberFormat="0" applyBorder="0" applyAlignment="0" applyProtection="0"/>
    <xf numFmtId="0" fontId="156" fillId="45" borderId="0" applyNumberFormat="0" applyBorder="0" applyAlignment="0" applyProtection="0"/>
    <xf numFmtId="0" fontId="156" fillId="10" borderId="0" applyNumberFormat="0" applyBorder="0" applyAlignment="0" applyProtection="0"/>
    <xf numFmtId="0" fontId="156" fillId="46" borderId="0" applyNumberFormat="0" applyBorder="0" applyAlignment="0" applyProtection="0"/>
    <xf numFmtId="0" fontId="156" fillId="12" borderId="0" applyNumberFormat="0" applyBorder="0" applyAlignment="0" applyProtection="0"/>
    <xf numFmtId="0" fontId="156" fillId="47" borderId="0" applyNumberFormat="0" applyBorder="0" applyAlignment="0" applyProtection="0"/>
    <xf numFmtId="0" fontId="156" fillId="48" borderId="0" applyNumberFormat="0" applyBorder="0" applyAlignment="0" applyProtection="0"/>
    <xf numFmtId="0" fontId="156" fillId="13" borderId="0" applyNumberFormat="0" applyBorder="0" applyAlignment="0" applyProtection="0"/>
    <xf numFmtId="0" fontId="156" fillId="49" borderId="0" applyNumberFormat="0" applyBorder="0" applyAlignment="0" applyProtection="0"/>
    <xf numFmtId="0" fontId="157" fillId="14" borderId="0" applyNumberFormat="0" applyBorder="0" applyAlignment="0" applyProtection="0"/>
    <xf numFmtId="0" fontId="157" fillId="50" borderId="0" applyNumberFormat="0" applyBorder="0" applyAlignment="0" applyProtection="0"/>
    <xf numFmtId="0" fontId="158" fillId="15" borderId="39" applyNumberFormat="0" applyAlignment="0" applyProtection="0"/>
    <xf numFmtId="0" fontId="159" fillId="51" borderId="39" applyNumberFormat="0" applyAlignment="0" applyProtection="0"/>
    <xf numFmtId="179" fontId="45" fillId="0" borderId="0"/>
    <xf numFmtId="0" fontId="160" fillId="52" borderId="40" applyNumberFormat="0" applyAlignment="0" applyProtection="0"/>
    <xf numFmtId="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8" fillId="0" borderId="0" applyFont="0" applyFill="0" applyBorder="0" applyAlignment="0" applyProtection="0"/>
    <xf numFmtId="43" fontId="155" fillId="0" borderId="0" applyFont="0" applyFill="0" applyBorder="0" applyAlignment="0" applyProtection="0"/>
    <xf numFmtId="43" fontId="24" fillId="0" borderId="0" applyFont="0" applyFill="0" applyBorder="0" applyAlignment="0" applyProtection="0"/>
    <xf numFmtId="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5" fillId="0" borderId="0" applyFont="0" applyFill="0" applyBorder="0" applyAlignment="0" applyProtection="0"/>
    <xf numFmtId="43" fontId="24" fillId="0" borderId="0" applyFont="0" applyFill="0" applyBorder="0" applyAlignment="0" applyProtection="0"/>
    <xf numFmtId="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5" fillId="0" borderId="0" applyFont="0" applyFill="0" applyBorder="0" applyAlignment="0" applyProtection="0"/>
    <xf numFmtId="8"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44" fontId="2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0" fontId="44" fillId="0" borderId="1">
      <alignment horizontal="right"/>
      <protection locked="0"/>
    </xf>
    <xf numFmtId="0" fontId="37" fillId="0" borderId="1">
      <alignment horizontal="right"/>
      <protection locked="0"/>
    </xf>
    <xf numFmtId="0" fontId="37" fillId="0" borderId="1">
      <alignment horizontal="right"/>
      <protection locked="0"/>
    </xf>
    <xf numFmtId="0" fontId="37" fillId="0" borderId="1">
      <alignment horizontal="right"/>
      <protection locked="0"/>
    </xf>
    <xf numFmtId="0" fontId="161" fillId="0" borderId="0" applyNumberFormat="0" applyFill="0" applyBorder="0" applyAlignment="0" applyProtection="0"/>
    <xf numFmtId="0" fontId="162" fillId="6" borderId="0" applyNumberFormat="0" applyBorder="0" applyAlignment="0" applyProtection="0"/>
    <xf numFmtId="0" fontId="162" fillId="53" borderId="0" applyNumberFormat="0" applyBorder="0" applyAlignment="0" applyProtection="0"/>
    <xf numFmtId="0" fontId="163" fillId="0" borderId="2" applyNumberFormat="0" applyFill="0" applyAlignment="0" applyProtection="0"/>
    <xf numFmtId="0" fontId="164" fillId="0" borderId="41" applyNumberFormat="0" applyFill="0" applyAlignment="0" applyProtection="0"/>
    <xf numFmtId="0" fontId="165" fillId="0" borderId="3" applyNumberFormat="0" applyFill="0" applyAlignment="0" applyProtection="0"/>
    <xf numFmtId="0" fontId="166" fillId="0" borderId="42" applyNumberFormat="0" applyFill="0" applyAlignment="0" applyProtection="0"/>
    <xf numFmtId="0" fontId="167" fillId="0" borderId="4" applyNumberFormat="0" applyFill="0" applyAlignment="0" applyProtection="0"/>
    <xf numFmtId="0" fontId="168" fillId="0" borderId="43" applyNumberFormat="0" applyFill="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6" fillId="0" borderId="5" applyBorder="0">
      <protection locked="0"/>
    </xf>
    <xf numFmtId="0" fontId="6" fillId="0" borderId="5" applyBorder="0">
      <protection locked="0"/>
    </xf>
    <xf numFmtId="0" fontId="73" fillId="0" borderId="5">
      <protection locked="0"/>
    </xf>
    <xf numFmtId="0" fontId="7" fillId="0" borderId="0">
      <protection locked="0"/>
    </xf>
    <xf numFmtId="0" fontId="7" fillId="0" borderId="0">
      <protection locked="0"/>
    </xf>
    <xf numFmtId="0" fontId="77" fillId="0" borderId="0">
      <protection locked="0"/>
    </xf>
    <xf numFmtId="15" fontId="8" fillId="0" borderId="1" applyNumberFormat="0" applyBorder="0">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7" borderId="39" applyNumberFormat="0" applyAlignment="0" applyProtection="0"/>
    <xf numFmtId="0" fontId="170" fillId="54" borderId="39" applyNumberFormat="0" applyAlignment="0" applyProtection="0"/>
    <xf numFmtId="0" fontId="171" fillId="0" borderId="6" applyNumberFormat="0" applyFill="0" applyAlignment="0" applyProtection="0"/>
    <xf numFmtId="0" fontId="172" fillId="0" borderId="44" applyNumberFormat="0" applyFill="0" applyAlignment="0" applyProtection="0"/>
    <xf numFmtId="0" fontId="173" fillId="55" borderId="0" applyNumberFormat="0" applyBorder="0" applyAlignment="0" applyProtection="0"/>
    <xf numFmtId="0" fontId="174" fillId="55" borderId="0" applyNumberFormat="0" applyBorder="0" applyAlignment="0" applyProtection="0"/>
    <xf numFmtId="0" fontId="147" fillId="0" borderId="0"/>
    <xf numFmtId="0" fontId="148" fillId="0" borderId="0"/>
    <xf numFmtId="0" fontId="2" fillId="0" borderId="0"/>
    <xf numFmtId="0" fontId="2" fillId="0" borderId="0"/>
    <xf numFmtId="182" fontId="3" fillId="0" borderId="0">
      <protection locked="0"/>
    </xf>
    <xf numFmtId="182" fontId="3" fillId="0" borderId="0">
      <protection locked="0"/>
    </xf>
    <xf numFmtId="182" fontId="3" fillId="0" borderId="0">
      <protection locked="0"/>
    </xf>
    <xf numFmtId="165" fontId="3" fillId="0" borderId="0">
      <protection locked="0"/>
    </xf>
    <xf numFmtId="0" fontId="24" fillId="0" borderId="0"/>
    <xf numFmtId="0" fontId="155" fillId="0" borderId="0"/>
    <xf numFmtId="0" fontId="2" fillId="0" borderId="0"/>
    <xf numFmtId="0" fontId="24" fillId="0" borderId="0"/>
    <xf numFmtId="0" fontId="24" fillId="0" borderId="0"/>
    <xf numFmtId="165" fontId="3" fillId="0" borderId="0">
      <protection locked="0"/>
    </xf>
    <xf numFmtId="0" fontId="24" fillId="0" borderId="0"/>
    <xf numFmtId="0" fontId="24" fillId="0" borderId="0"/>
    <xf numFmtId="165" fontId="3" fillId="0" borderId="0">
      <protection locked="0"/>
    </xf>
    <xf numFmtId="0" fontId="24" fillId="0" borderId="0"/>
    <xf numFmtId="165" fontId="3" fillId="0" borderId="0">
      <protection locked="0"/>
    </xf>
    <xf numFmtId="165" fontId="3" fillId="0" borderId="0">
      <protection locked="0"/>
    </xf>
    <xf numFmtId="0" fontId="129" fillId="0" borderId="0"/>
    <xf numFmtId="0" fontId="24" fillId="0" borderId="0"/>
    <xf numFmtId="0" fontId="134" fillId="0" borderId="0"/>
    <xf numFmtId="0" fontId="136" fillId="0" borderId="0"/>
    <xf numFmtId="0" fontId="24" fillId="0" borderId="0"/>
    <xf numFmtId="0" fontId="24" fillId="0" borderId="0"/>
    <xf numFmtId="0" fontId="47" fillId="0" borderId="0"/>
    <xf numFmtId="0" fontId="89" fillId="0" borderId="0"/>
    <xf numFmtId="165" fontId="3" fillId="0" borderId="0">
      <protection locked="0"/>
    </xf>
    <xf numFmtId="0" fontId="45" fillId="0" borderId="0"/>
    <xf numFmtId="0" fontId="45" fillId="0" borderId="0"/>
    <xf numFmtId="0" fontId="48" fillId="0" borderId="0"/>
    <xf numFmtId="0" fontId="45" fillId="0" borderId="0"/>
    <xf numFmtId="0" fontId="24" fillId="0" borderId="0"/>
    <xf numFmtId="0" fontId="24" fillId="0" borderId="0"/>
    <xf numFmtId="0" fontId="24" fillId="0" borderId="0"/>
    <xf numFmtId="0" fontId="24" fillId="0" borderId="0"/>
    <xf numFmtId="0" fontId="47" fillId="0" borderId="0"/>
    <xf numFmtId="0" fontId="45" fillId="0" borderId="0"/>
    <xf numFmtId="0" fontId="47" fillId="0" borderId="0"/>
    <xf numFmtId="0" fontId="24" fillId="0" borderId="0"/>
    <xf numFmtId="0" fontId="45" fillId="0" borderId="0"/>
    <xf numFmtId="0" fontId="2" fillId="0" borderId="0"/>
    <xf numFmtId="0" fontId="2" fillId="0" borderId="0"/>
    <xf numFmtId="0" fontId="45" fillId="0" borderId="0"/>
    <xf numFmtId="0" fontId="24" fillId="0" borderId="0"/>
    <xf numFmtId="0" fontId="2" fillId="0" borderId="0"/>
    <xf numFmtId="0" fontId="24" fillId="0" borderId="0"/>
    <xf numFmtId="0" fontId="24" fillId="0" borderId="0"/>
    <xf numFmtId="0" fontId="24" fillId="0" borderId="0"/>
    <xf numFmtId="0" fontId="24" fillId="0" borderId="0"/>
    <xf numFmtId="0" fontId="138" fillId="56" borderId="45" applyNumberFormat="0" applyFont="0" applyAlignment="0" applyProtection="0"/>
    <xf numFmtId="0" fontId="155" fillId="56" borderId="45" applyNumberFormat="0" applyFont="0" applyAlignment="0" applyProtection="0"/>
    <xf numFmtId="166" fontId="3" fillId="0" borderId="0">
      <protection locked="0"/>
    </xf>
    <xf numFmtId="166" fontId="3" fillId="0" borderId="0">
      <protection locked="0"/>
    </xf>
    <xf numFmtId="165" fontId="3" fillId="0" borderId="0">
      <protection locked="0"/>
    </xf>
    <xf numFmtId="165" fontId="3" fillId="0" borderId="0">
      <protection locked="0"/>
    </xf>
    <xf numFmtId="0" fontId="3" fillId="0" borderId="0">
      <protection locked="0"/>
    </xf>
    <xf numFmtId="166" fontId="3" fillId="0" borderId="7">
      <protection locked="0"/>
    </xf>
    <xf numFmtId="166" fontId="3" fillId="0" borderId="7">
      <protection locked="0"/>
    </xf>
    <xf numFmtId="165" fontId="3" fillId="0" borderId="8">
      <protection locked="0"/>
    </xf>
    <xf numFmtId="165" fontId="3" fillId="0" borderId="8">
      <protection locked="0"/>
    </xf>
    <xf numFmtId="164" fontId="3" fillId="0" borderId="0"/>
    <xf numFmtId="164" fontId="3" fillId="0" borderId="0"/>
    <xf numFmtId="164" fontId="3" fillId="0" borderId="7"/>
    <xf numFmtId="164" fontId="3" fillId="0" borderId="7"/>
    <xf numFmtId="164" fontId="3" fillId="0" borderId="8"/>
    <xf numFmtId="164" fontId="3" fillId="0" borderId="8"/>
    <xf numFmtId="0" fontId="175" fillId="15" borderId="46" applyNumberFormat="0" applyAlignment="0" applyProtection="0"/>
    <xf numFmtId="0" fontId="175" fillId="51" borderId="46" applyNumberFormat="0" applyAlignment="0" applyProtection="0"/>
    <xf numFmtId="9" fontId="11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78" fillId="0" borderId="9" applyNumberFormat="0" applyFill="0" applyAlignment="0" applyProtection="0"/>
    <xf numFmtId="0" fontId="178" fillId="0" borderId="47" applyNumberFormat="0" applyFill="0" applyAlignment="0" applyProtection="0"/>
    <xf numFmtId="0" fontId="179" fillId="0" borderId="0" applyNumberFormat="0" applyFill="0" applyBorder="0" applyAlignment="0" applyProtection="0"/>
    <xf numFmtId="0" fontId="192" fillId="0" borderId="0"/>
    <xf numFmtId="40" fontId="2" fillId="0" borderId="0" applyFont="0" applyFill="0" applyBorder="0" applyAlignment="0" applyProtection="0"/>
    <xf numFmtId="8" fontId="2" fillId="0" borderId="0" applyFont="0" applyFill="0" applyBorder="0" applyAlignment="0" applyProtection="0"/>
    <xf numFmtId="165" fontId="3" fillId="0" borderId="0">
      <protection locked="0"/>
    </xf>
    <xf numFmtId="0" fontId="45" fillId="0" borderId="0"/>
    <xf numFmtId="0" fontId="2" fillId="0" borderId="0"/>
  </cellStyleXfs>
  <cellXfs count="1244">
    <xf numFmtId="165" fontId="0" fillId="0" borderId="0" xfId="0">
      <protection locked="0"/>
    </xf>
    <xf numFmtId="165" fontId="9" fillId="0" borderId="0" xfId="0" applyFont="1" applyProtection="1"/>
    <xf numFmtId="165" fontId="4" fillId="0" borderId="0" xfId="0" applyFont="1" applyAlignment="1" applyProtection="1">
      <alignment horizontal="center"/>
    </xf>
    <xf numFmtId="165" fontId="4" fillId="0" borderId="0" xfId="170" applyNumberFormat="1" applyFont="1" applyAlignment="1">
      <alignment horizontal="center"/>
    </xf>
    <xf numFmtId="165" fontId="4" fillId="0" borderId="1" xfId="0" applyFont="1" applyBorder="1" applyAlignment="1" applyProtection="1">
      <alignment horizontal="center"/>
    </xf>
    <xf numFmtId="169" fontId="9" fillId="0" borderId="0" xfId="0" applyNumberFormat="1" applyFont="1" applyProtection="1"/>
    <xf numFmtId="169" fontId="9" fillId="0" borderId="0" xfId="0" applyNumberFormat="1" applyFont="1" applyAlignment="1" applyProtection="1">
      <alignment horizontal="left"/>
    </xf>
    <xf numFmtId="165" fontId="10" fillId="0" borderId="0" xfId="0" applyFont="1" applyProtection="1"/>
    <xf numFmtId="164" fontId="12" fillId="16" borderId="0" xfId="170" applyFont="1" applyFill="1" applyAlignment="1">
      <alignment horizontal="center"/>
    </xf>
    <xf numFmtId="164" fontId="13" fillId="16" borderId="1" xfId="170" applyFont="1" applyFill="1" applyBorder="1" applyAlignment="1">
      <alignment horizontal="center"/>
    </xf>
    <xf numFmtId="165" fontId="11" fillId="0" borderId="0" xfId="0" applyFont="1" applyAlignment="1" applyProtection="1">
      <alignment horizontal="center"/>
    </xf>
    <xf numFmtId="173" fontId="9" fillId="0" borderId="0" xfId="0" applyNumberFormat="1" applyFont="1" applyProtection="1"/>
    <xf numFmtId="173" fontId="9" fillId="0" borderId="0" xfId="170" applyNumberFormat="1" applyFont="1"/>
    <xf numFmtId="173" fontId="9" fillId="0" borderId="0" xfId="0" applyNumberFormat="1" applyFont="1" applyAlignment="1" applyProtection="1">
      <alignment horizontal="left"/>
    </xf>
    <xf numFmtId="173" fontId="9" fillId="0" borderId="0" xfId="172" applyNumberFormat="1" applyFont="1" applyBorder="1"/>
    <xf numFmtId="173" fontId="10" fillId="0" borderId="0" xfId="0" applyNumberFormat="1" applyFont="1" applyProtection="1"/>
    <xf numFmtId="173" fontId="10" fillId="0" borderId="0" xfId="0" applyNumberFormat="1" applyFont="1" applyAlignment="1" applyProtection="1">
      <alignment horizontal="center"/>
    </xf>
    <xf numFmtId="172" fontId="15" fillId="0" borderId="0" xfId="0" applyNumberFormat="1" applyFont="1" applyProtection="1"/>
    <xf numFmtId="165" fontId="16" fillId="0" borderId="1" xfId="0" applyFont="1" applyBorder="1" applyAlignment="1" applyProtection="1">
      <alignment horizontal="center"/>
    </xf>
    <xf numFmtId="173" fontId="16" fillId="0" borderId="0" xfId="172" applyNumberFormat="1" applyFont="1" applyBorder="1" applyAlignment="1">
      <alignment horizontal="center"/>
    </xf>
    <xf numFmtId="165" fontId="10" fillId="0" borderId="0" xfId="0" applyFont="1" applyAlignment="1" applyProtection="1">
      <alignment horizontal="center"/>
    </xf>
    <xf numFmtId="165" fontId="21" fillId="0" borderId="0" xfId="0" applyFont="1" applyAlignment="1" applyProtection="1">
      <alignment horizontal="right"/>
    </xf>
    <xf numFmtId="10" fontId="22" fillId="0" borderId="0" xfId="0" applyNumberFormat="1" applyFont="1" applyProtection="1"/>
    <xf numFmtId="165" fontId="21" fillId="0" borderId="0" xfId="0" applyFont="1" applyAlignment="1" applyProtection="1">
      <alignment horizontal="center"/>
    </xf>
    <xf numFmtId="0" fontId="23" fillId="16" borderId="0" xfId="170" applyNumberFormat="1" applyFont="1" applyFill="1" applyAlignment="1">
      <alignment horizontal="center"/>
    </xf>
    <xf numFmtId="0" fontId="22" fillId="0" borderId="0" xfId="0" applyNumberFormat="1" applyFont="1" applyAlignment="1" applyProtection="1">
      <alignment horizontal="center"/>
    </xf>
    <xf numFmtId="165" fontId="0" fillId="0" borderId="0" xfId="0" applyProtection="1"/>
    <xf numFmtId="165" fontId="17" fillId="0" borderId="0" xfId="0" applyFont="1" applyProtection="1"/>
    <xf numFmtId="165" fontId="17" fillId="0" borderId="5" xfId="0" applyFont="1" applyBorder="1" applyProtection="1"/>
    <xf numFmtId="165" fontId="17" fillId="0" borderId="1" xfId="0" applyFont="1" applyBorder="1" applyAlignment="1" applyProtection="1">
      <alignment horizontal="center"/>
    </xf>
    <xf numFmtId="165" fontId="18" fillId="0" borderId="0" xfId="0" applyFont="1" applyAlignment="1" applyProtection="1">
      <alignment horizontal="center"/>
    </xf>
    <xf numFmtId="165" fontId="19" fillId="0" borderId="0" xfId="0" applyFont="1" applyAlignment="1" applyProtection="1">
      <alignment horizontal="center"/>
    </xf>
    <xf numFmtId="165" fontId="20" fillId="0" borderId="0" xfId="0" applyFont="1" applyProtection="1"/>
    <xf numFmtId="171" fontId="10" fillId="0" borderId="10" xfId="0" applyNumberFormat="1" applyFont="1" applyBorder="1" applyAlignment="1" applyProtection="1">
      <alignment horizontal="center"/>
    </xf>
    <xf numFmtId="165" fontId="25" fillId="0" borderId="0" xfId="0" applyFont="1" applyProtection="1"/>
    <xf numFmtId="165" fontId="26" fillId="0" borderId="0" xfId="0" applyFont="1" applyAlignment="1" applyProtection="1">
      <alignment horizontal="center"/>
    </xf>
    <xf numFmtId="165" fontId="24" fillId="0" borderId="0" xfId="0" applyFont="1" applyProtection="1"/>
    <xf numFmtId="165" fontId="28" fillId="0" borderId="0" xfId="0" applyFont="1" applyAlignment="1" applyProtection="1">
      <alignment horizontal="center"/>
    </xf>
    <xf numFmtId="164" fontId="13" fillId="16" borderId="0" xfId="170" applyFont="1" applyFill="1" applyAlignment="1">
      <alignment horizontal="center"/>
    </xf>
    <xf numFmtId="165" fontId="28" fillId="0" borderId="0" xfId="0" applyFont="1" applyAlignment="1" applyProtection="1">
      <alignment horizontal="left"/>
    </xf>
    <xf numFmtId="165" fontId="24" fillId="0" borderId="0" xfId="0" applyFont="1" applyAlignment="1" applyProtection="1">
      <alignment horizontal="left"/>
    </xf>
    <xf numFmtId="165" fontId="28" fillId="0" borderId="0" xfId="0" applyFont="1" applyProtection="1"/>
    <xf numFmtId="173" fontId="29" fillId="0" borderId="0" xfId="172" applyNumberFormat="1" applyFont="1" applyBorder="1" applyAlignment="1">
      <alignment horizontal="center"/>
    </xf>
    <xf numFmtId="169" fontId="14" fillId="0" borderId="0" xfId="0" applyNumberFormat="1" applyFont="1" applyProtection="1"/>
    <xf numFmtId="170" fontId="30" fillId="0" borderId="0" xfId="0" applyNumberFormat="1" applyFont="1" applyProtection="1"/>
    <xf numFmtId="0" fontId="31" fillId="17" borderId="0" xfId="0" applyNumberFormat="1" applyFont="1" applyFill="1" applyAlignment="1" applyProtection="1">
      <alignment horizontal="center"/>
    </xf>
    <xf numFmtId="0" fontId="31" fillId="0" borderId="0" xfId="0" applyNumberFormat="1" applyFont="1" applyAlignment="1" applyProtection="1">
      <alignment horizontal="center"/>
    </xf>
    <xf numFmtId="0" fontId="31" fillId="0" borderId="0" xfId="0" applyNumberFormat="1" applyFont="1" applyAlignment="1" applyProtection="1">
      <alignment horizontal="right"/>
    </xf>
    <xf numFmtId="0" fontId="31" fillId="0" borderId="0" xfId="0" applyNumberFormat="1" applyFont="1" applyProtection="1"/>
    <xf numFmtId="165" fontId="17" fillId="0" borderId="0" xfId="0" quotePrefix="1" applyFont="1" applyAlignment="1" applyProtection="1">
      <alignment horizontal="center"/>
    </xf>
    <xf numFmtId="165" fontId="31" fillId="17" borderId="0" xfId="0" applyFont="1" applyFill="1" applyAlignment="1" applyProtection="1">
      <alignment horizontal="center"/>
    </xf>
    <xf numFmtId="165" fontId="24" fillId="0" borderId="0" xfId="0" applyFont="1" applyAlignment="1" applyProtection="1">
      <alignment horizontal="center"/>
    </xf>
    <xf numFmtId="165" fontId="24" fillId="0" borderId="5" xfId="0" applyFont="1" applyBorder="1" applyProtection="1"/>
    <xf numFmtId="173" fontId="24" fillId="0" borderId="0" xfId="0" applyNumberFormat="1" applyFont="1">
      <protection locked="0"/>
    </xf>
    <xf numFmtId="174" fontId="24" fillId="0" borderId="0" xfId="0" applyNumberFormat="1" applyFont="1" applyProtection="1"/>
    <xf numFmtId="173" fontId="24" fillId="0" borderId="0" xfId="0" applyNumberFormat="1" applyFont="1" applyProtection="1"/>
    <xf numFmtId="173" fontId="24" fillId="0" borderId="1" xfId="0" applyNumberFormat="1" applyFont="1" applyBorder="1">
      <protection locked="0"/>
    </xf>
    <xf numFmtId="173" fontId="24" fillId="0" borderId="1" xfId="0" applyNumberFormat="1" applyFont="1" applyBorder="1" applyProtection="1"/>
    <xf numFmtId="173" fontId="33" fillId="0" borderId="0" xfId="172" applyNumberFormat="1" applyFont="1" applyBorder="1" applyAlignment="1">
      <alignment horizontal="center"/>
    </xf>
    <xf numFmtId="0" fontId="24" fillId="0" borderId="0" xfId="0" applyNumberFormat="1" applyFont="1" applyAlignment="1" applyProtection="1">
      <alignment horizontal="center"/>
    </xf>
    <xf numFmtId="174" fontId="24" fillId="0" borderId="11" xfId="0" applyNumberFormat="1" applyFont="1" applyBorder="1" applyProtection="1"/>
    <xf numFmtId="165" fontId="16" fillId="0" borderId="0" xfId="0" applyFont="1" applyAlignment="1" applyProtection="1">
      <alignment horizontal="center"/>
    </xf>
    <xf numFmtId="171" fontId="28" fillId="0" borderId="0" xfId="0" applyNumberFormat="1" applyFont="1" applyAlignment="1" applyProtection="1">
      <alignment horizontal="center"/>
    </xf>
    <xf numFmtId="165" fontId="10" fillId="0" borderId="11" xfId="0" applyFont="1" applyBorder="1" applyAlignment="1" applyProtection="1">
      <alignment horizontal="left"/>
    </xf>
    <xf numFmtId="0" fontId="34" fillId="0" borderId="0" xfId="0" applyNumberFormat="1" applyFont="1" applyAlignment="1" applyProtection="1">
      <alignment horizontal="right"/>
    </xf>
    <xf numFmtId="173" fontId="35" fillId="16" borderId="1" xfId="170" applyNumberFormat="1" applyFont="1" applyFill="1" applyBorder="1" applyAlignment="1">
      <alignment horizontal="center"/>
    </xf>
    <xf numFmtId="173" fontId="36" fillId="0" borderId="0" xfId="0" applyNumberFormat="1" applyFont="1" applyProtection="1"/>
    <xf numFmtId="165" fontId="36" fillId="0" borderId="0" xfId="0" applyFont="1" applyProtection="1"/>
    <xf numFmtId="164" fontId="35" fillId="16" borderId="1" xfId="170" applyFont="1" applyFill="1" applyBorder="1" applyAlignment="1">
      <alignment horizontal="center"/>
    </xf>
    <xf numFmtId="0" fontId="38" fillId="17" borderId="0" xfId="0" applyNumberFormat="1" applyFont="1" applyFill="1" applyAlignment="1" applyProtection="1">
      <alignment horizontal="center"/>
    </xf>
    <xf numFmtId="165" fontId="39" fillId="0" borderId="0" xfId="0" applyFont="1" applyProtection="1"/>
    <xf numFmtId="165" fontId="40" fillId="0" borderId="0" xfId="0" applyFont="1" applyProtection="1"/>
    <xf numFmtId="165" fontId="39" fillId="0" borderId="0" xfId="0" applyFont="1" applyAlignment="1" applyProtection="1">
      <alignment horizontal="center"/>
    </xf>
    <xf numFmtId="165" fontId="39" fillId="0" borderId="0" xfId="0" quotePrefix="1" applyFont="1" applyAlignment="1" applyProtection="1">
      <alignment horizontal="center"/>
    </xf>
    <xf numFmtId="165" fontId="39" fillId="0" borderId="1" xfId="0" quotePrefix="1" applyFont="1" applyBorder="1" applyAlignment="1" applyProtection="1">
      <alignment horizontal="center"/>
    </xf>
    <xf numFmtId="165" fontId="41" fillId="0" borderId="0" xfId="0" applyFont="1" applyAlignment="1" applyProtection="1">
      <alignment horizontal="center"/>
    </xf>
    <xf numFmtId="165" fontId="39" fillId="0" borderId="1" xfId="0" applyFont="1" applyBorder="1" applyAlignment="1" applyProtection="1">
      <alignment horizontal="center"/>
    </xf>
    <xf numFmtId="174" fontId="24" fillId="0" borderId="0" xfId="0" applyNumberFormat="1" applyFont="1">
      <protection locked="0"/>
    </xf>
    <xf numFmtId="174" fontId="9" fillId="0" borderId="0" xfId="0" applyNumberFormat="1" applyFont="1" applyProtection="1"/>
    <xf numFmtId="173" fontId="14" fillId="0" borderId="1" xfId="170" applyNumberFormat="1" applyFont="1" applyBorder="1"/>
    <xf numFmtId="173" fontId="14" fillId="0" borderId="8" xfId="170" applyNumberFormat="1" applyFont="1" applyBorder="1"/>
    <xf numFmtId="165" fontId="14" fillId="0" borderId="0" xfId="0" applyFont="1" applyProtection="1"/>
    <xf numFmtId="165" fontId="14" fillId="0" borderId="0" xfId="0" applyFont="1" applyAlignment="1" applyProtection="1">
      <alignment horizontal="left"/>
    </xf>
    <xf numFmtId="174" fontId="14" fillId="0" borderId="0" xfId="170" applyNumberFormat="1" applyFont="1" applyProtection="1">
      <protection locked="0"/>
    </xf>
    <xf numFmtId="173" fontId="14" fillId="0" borderId="0" xfId="170" applyNumberFormat="1" applyFont="1" applyProtection="1">
      <protection locked="0"/>
    </xf>
    <xf numFmtId="173" fontId="14" fillId="0" borderId="8" xfId="172" applyNumberFormat="1" applyFont="1" applyBorder="1"/>
    <xf numFmtId="173" fontId="14" fillId="0" borderId="0" xfId="170" applyNumberFormat="1" applyFont="1"/>
    <xf numFmtId="173" fontId="14" fillId="0" borderId="8" xfId="174" applyNumberFormat="1" applyFont="1"/>
    <xf numFmtId="173" fontId="14" fillId="0" borderId="0" xfId="174" applyNumberFormat="1" applyFont="1" applyBorder="1" applyProtection="1">
      <protection locked="0"/>
    </xf>
    <xf numFmtId="173" fontId="14" fillId="0" borderId="0" xfId="174" applyNumberFormat="1" applyFont="1" applyBorder="1"/>
    <xf numFmtId="174" fontId="14" fillId="0" borderId="7" xfId="174" applyNumberFormat="1" applyFont="1" applyBorder="1"/>
    <xf numFmtId="173" fontId="14" fillId="0" borderId="0" xfId="172" applyNumberFormat="1" applyFont="1" applyBorder="1"/>
    <xf numFmtId="173" fontId="14" fillId="0" borderId="1" xfId="170" applyNumberFormat="1" applyFont="1" applyBorder="1" applyProtection="1">
      <protection locked="0"/>
    </xf>
    <xf numFmtId="174" fontId="14" fillId="0" borderId="7" xfId="170" applyNumberFormat="1" applyFont="1" applyBorder="1"/>
    <xf numFmtId="165" fontId="9" fillId="0" borderId="12" xfId="0" applyFont="1" applyBorder="1" applyProtection="1"/>
    <xf numFmtId="4" fontId="0" fillId="0" borderId="0" xfId="0" applyNumberFormat="1" applyProtection="1"/>
    <xf numFmtId="4" fontId="0" fillId="0" borderId="7" xfId="0" applyNumberFormat="1" applyBorder="1" applyProtection="1"/>
    <xf numFmtId="174" fontId="14" fillId="0" borderId="0" xfId="174" applyNumberFormat="1" applyFont="1" applyBorder="1"/>
    <xf numFmtId="174" fontId="14" fillId="0" borderId="0" xfId="170" applyNumberFormat="1" applyFont="1"/>
    <xf numFmtId="173" fontId="24" fillId="0" borderId="8" xfId="0" applyNumberFormat="1" applyFont="1" applyBorder="1" applyProtection="1"/>
    <xf numFmtId="176" fontId="7" fillId="0" borderId="0" xfId="145" applyNumberFormat="1" applyFont="1" applyAlignment="1">
      <alignment horizontal="centerContinuous"/>
    </xf>
    <xf numFmtId="0" fontId="54" fillId="0" borderId="0" xfId="145" applyFont="1" applyAlignment="1">
      <alignment horizontal="centerContinuous"/>
    </xf>
    <xf numFmtId="0" fontId="55" fillId="0" borderId="0" xfId="145" applyFont="1" applyAlignment="1">
      <alignment horizontal="centerContinuous"/>
    </xf>
    <xf numFmtId="0" fontId="54" fillId="0" borderId="0" xfId="145" applyFont="1"/>
    <xf numFmtId="0" fontId="5" fillId="0" borderId="0" xfId="145" applyFont="1"/>
    <xf numFmtId="0" fontId="5" fillId="0" borderId="0" xfId="145" applyFont="1" applyAlignment="1">
      <alignment horizontal="center"/>
    </xf>
    <xf numFmtId="0" fontId="5" fillId="0" borderId="0" xfId="145" applyFont="1" applyAlignment="1">
      <alignment horizontal="right"/>
    </xf>
    <xf numFmtId="0" fontId="47" fillId="0" borderId="0" xfId="145"/>
    <xf numFmtId="0" fontId="56" fillId="0" borderId="0" xfId="145" applyFont="1"/>
    <xf numFmtId="0" fontId="57" fillId="0" borderId="5" xfId="145" applyFont="1" applyBorder="1"/>
    <xf numFmtId="0" fontId="57" fillId="0" borderId="0" xfId="145" applyFont="1"/>
    <xf numFmtId="16" fontId="56" fillId="0" borderId="0" xfId="145" applyNumberFormat="1" applyFont="1" applyAlignment="1">
      <alignment horizontal="center"/>
    </xf>
    <xf numFmtId="0" fontId="59" fillId="0" borderId="0" xfId="145" applyFont="1"/>
    <xf numFmtId="0" fontId="24" fillId="0" borderId="0" xfId="132"/>
    <xf numFmtId="0" fontId="61" fillId="0" borderId="0" xfId="132" applyFont="1"/>
    <xf numFmtId="176" fontId="49" fillId="0" borderId="0" xfId="132" applyNumberFormat="1" applyFont="1" applyAlignment="1">
      <alignment horizontal="center"/>
    </xf>
    <xf numFmtId="176" fontId="52" fillId="0" borderId="1" xfId="132" applyNumberFormat="1" applyFont="1" applyBorder="1"/>
    <xf numFmtId="176" fontId="49" fillId="0" borderId="5" xfId="132" applyNumberFormat="1" applyFont="1" applyBorder="1" applyAlignment="1">
      <alignment horizontal="center"/>
    </xf>
    <xf numFmtId="0" fontId="24" fillId="0" borderId="5" xfId="132" applyBorder="1"/>
    <xf numFmtId="0" fontId="62" fillId="0" borderId="0" xfId="132" applyFont="1"/>
    <xf numFmtId="0" fontId="37" fillId="0" borderId="0" xfId="132" applyFont="1"/>
    <xf numFmtId="0" fontId="20" fillId="0" borderId="0" xfId="132" applyFont="1"/>
    <xf numFmtId="0" fontId="24" fillId="0" borderId="0" xfId="132" applyAlignment="1">
      <alignment horizontal="center"/>
    </xf>
    <xf numFmtId="0" fontId="24" fillId="18" borderId="14" xfId="132" applyFill="1" applyBorder="1"/>
    <xf numFmtId="0" fontId="24" fillId="18" borderId="15" xfId="132" applyFill="1" applyBorder="1"/>
    <xf numFmtId="0" fontId="24" fillId="18" borderId="16" xfId="132" applyFill="1" applyBorder="1"/>
    <xf numFmtId="0" fontId="63" fillId="0" borderId="0" xfId="132" applyFont="1"/>
    <xf numFmtId="0" fontId="65" fillId="0" borderId="0" xfId="148" applyFont="1"/>
    <xf numFmtId="0" fontId="24" fillId="0" borderId="0" xfId="148"/>
    <xf numFmtId="0" fontId="61" fillId="0" borderId="0" xfId="148" applyFont="1"/>
    <xf numFmtId="176" fontId="49" fillId="0" borderId="0" xfId="148" applyNumberFormat="1" applyFont="1" applyAlignment="1">
      <alignment horizontal="center"/>
    </xf>
    <xf numFmtId="176" fontId="20" fillId="0" borderId="0" xfId="148" applyNumberFormat="1" applyFont="1" applyAlignment="1">
      <alignment horizontal="centerContinuous"/>
    </xf>
    <xf numFmtId="176" fontId="20" fillId="0" borderId="0" xfId="148" applyNumberFormat="1" applyFont="1"/>
    <xf numFmtId="176" fontId="52" fillId="0" borderId="0" xfId="148" applyNumberFormat="1" applyFont="1"/>
    <xf numFmtId="176" fontId="49" fillId="0" borderId="5" xfId="148" applyNumberFormat="1" applyFont="1" applyBorder="1" applyAlignment="1">
      <alignment horizontal="center"/>
    </xf>
    <xf numFmtId="0" fontId="20" fillId="0" borderId="0" xfId="148" applyFont="1"/>
    <xf numFmtId="0" fontId="24" fillId="0" borderId="5" xfId="148" applyBorder="1"/>
    <xf numFmtId="0" fontId="20" fillId="0" borderId="0" xfId="148" applyFont="1" applyAlignment="1">
      <alignment horizontal="centerContinuous"/>
    </xf>
    <xf numFmtId="0" fontId="20" fillId="0" borderId="0" xfId="148" applyFont="1" applyAlignment="1">
      <alignment horizontal="center"/>
    </xf>
    <xf numFmtId="0" fontId="17" fillId="0" borderId="0" xfId="148" applyFont="1"/>
    <xf numFmtId="165" fontId="51" fillId="0" borderId="0" xfId="0" applyFont="1" applyProtection="1"/>
    <xf numFmtId="165" fontId="20" fillId="0" borderId="1" xfId="0" applyFont="1" applyBorder="1" applyProtection="1"/>
    <xf numFmtId="165" fontId="17" fillId="0" borderId="1" xfId="0" applyFont="1" applyBorder="1" applyProtection="1"/>
    <xf numFmtId="165" fontId="24" fillId="0" borderId="1" xfId="0" applyFont="1" applyBorder="1" applyProtection="1"/>
    <xf numFmtId="0" fontId="51" fillId="0" borderId="0" xfId="0" applyNumberFormat="1" applyFont="1" applyAlignment="1" applyProtection="1">
      <alignment horizontal="center"/>
    </xf>
    <xf numFmtId="0" fontId="73" fillId="0" borderId="0" xfId="158" applyFont="1"/>
    <xf numFmtId="0" fontId="74" fillId="0" borderId="0" xfId="154" applyFont="1"/>
    <xf numFmtId="175" fontId="73" fillId="0" borderId="0" xfId="158" applyNumberFormat="1" applyFont="1"/>
    <xf numFmtId="175" fontId="73" fillId="0" borderId="0" xfId="154" applyNumberFormat="1" applyFont="1"/>
    <xf numFmtId="0" fontId="73" fillId="0" borderId="0" xfId="154" applyFont="1"/>
    <xf numFmtId="0" fontId="77" fillId="0" borderId="19" xfId="158" applyFont="1" applyBorder="1" applyAlignment="1">
      <alignment horizontal="center"/>
    </xf>
    <xf numFmtId="0" fontId="73" fillId="19" borderId="18" xfId="158" applyFont="1" applyFill="1" applyBorder="1" applyAlignment="1">
      <alignment horizontal="center"/>
    </xf>
    <xf numFmtId="165" fontId="73" fillId="0" borderId="0" xfId="0" applyFont="1" applyProtection="1"/>
    <xf numFmtId="171" fontId="17" fillId="0" borderId="1" xfId="0" quotePrefix="1" applyNumberFormat="1" applyFont="1" applyBorder="1" applyAlignment="1" applyProtection="1">
      <alignment horizontal="center"/>
    </xf>
    <xf numFmtId="174" fontId="24" fillId="0" borderId="7" xfId="0" applyNumberFormat="1" applyFont="1" applyBorder="1" applyProtection="1"/>
    <xf numFmtId="173" fontId="79" fillId="0" borderId="0" xfId="170" applyNumberFormat="1" applyFont="1"/>
    <xf numFmtId="176" fontId="20" fillId="0" borderId="0" xfId="148" applyNumberFormat="1" applyFont="1" applyAlignment="1">
      <alignment horizontal="center"/>
    </xf>
    <xf numFmtId="0" fontId="77" fillId="0" borderId="0" xfId="154" applyFont="1"/>
    <xf numFmtId="165" fontId="27" fillId="20" borderId="0" xfId="0" applyFont="1" applyFill="1" applyAlignment="1" applyProtection="1">
      <alignment horizontal="center"/>
    </xf>
    <xf numFmtId="165" fontId="14" fillId="0" borderId="1" xfId="0" applyFont="1" applyBorder="1" applyProtection="1"/>
    <xf numFmtId="175" fontId="14" fillId="0" borderId="8" xfId="0" applyNumberFormat="1" applyFont="1" applyBorder="1" applyAlignment="1" applyProtection="1">
      <alignment horizontal="left"/>
    </xf>
    <xf numFmtId="165" fontId="80" fillId="0" borderId="0" xfId="0" applyFont="1" applyProtection="1"/>
    <xf numFmtId="173" fontId="79" fillId="0" borderId="1" xfId="174" applyNumberFormat="1" applyFont="1" applyBorder="1"/>
    <xf numFmtId="173" fontId="81" fillId="0" borderId="0" xfId="170" applyNumberFormat="1" applyFont="1" applyProtection="1">
      <protection locked="0"/>
    </xf>
    <xf numFmtId="165" fontId="82" fillId="0" borderId="0" xfId="0" applyFont="1" applyProtection="1"/>
    <xf numFmtId="0" fontId="20" fillId="0" borderId="5" xfId="153" applyFont="1" applyBorder="1"/>
    <xf numFmtId="4" fontId="24" fillId="0" borderId="0" xfId="153" applyNumberFormat="1"/>
    <xf numFmtId="0" fontId="24" fillId="0" borderId="0" xfId="153"/>
    <xf numFmtId="4" fontId="85" fillId="0" borderId="0" xfId="153" applyNumberFormat="1" applyFont="1" applyAlignment="1">
      <alignment horizontal="center"/>
    </xf>
    <xf numFmtId="4" fontId="86" fillId="0" borderId="0" xfId="153" applyNumberFormat="1" applyFont="1" applyAlignment="1">
      <alignment horizontal="center"/>
    </xf>
    <xf numFmtId="4" fontId="85" fillId="0" borderId="1" xfId="153" applyNumberFormat="1" applyFont="1" applyBorder="1" applyAlignment="1">
      <alignment horizontal="center"/>
    </xf>
    <xf numFmtId="174" fontId="79" fillId="0" borderId="0" xfId="170" applyNumberFormat="1" applyFont="1"/>
    <xf numFmtId="0" fontId="63" fillId="0" borderId="0" xfId="153" applyFont="1"/>
    <xf numFmtId="171" fontId="17" fillId="0" borderId="0" xfId="0" quotePrefix="1" applyNumberFormat="1" applyFont="1" applyAlignment="1" applyProtection="1">
      <alignment horizontal="center"/>
    </xf>
    <xf numFmtId="0" fontId="90" fillId="16" borderId="0" xfId="170" applyNumberFormat="1" applyFont="1" applyFill="1" applyAlignment="1">
      <alignment horizontal="center"/>
    </xf>
    <xf numFmtId="0" fontId="91" fillId="0" borderId="0" xfId="0" applyNumberFormat="1" applyFont="1" applyAlignment="1" applyProtection="1">
      <alignment horizontal="center"/>
    </xf>
    <xf numFmtId="173" fontId="92" fillId="0" borderId="0" xfId="0" applyNumberFormat="1" applyFont="1" applyProtection="1"/>
    <xf numFmtId="165" fontId="92" fillId="0" borderId="0" xfId="0" applyFont="1" applyProtection="1"/>
    <xf numFmtId="0" fontId="75" fillId="0" borderId="18" xfId="97" applyFont="1" applyBorder="1" applyAlignment="1" applyProtection="1">
      <alignment wrapText="1"/>
    </xf>
    <xf numFmtId="165" fontId="94" fillId="0" borderId="0" xfId="0" applyFont="1" applyProtection="1"/>
    <xf numFmtId="165" fontId="14" fillId="0" borderId="0" xfId="0" applyFont="1" applyAlignment="1" applyProtection="1">
      <alignment horizontal="center"/>
    </xf>
    <xf numFmtId="4" fontId="14" fillId="0" borderId="0" xfId="0" applyNumberFormat="1" applyFont="1" applyProtection="1"/>
    <xf numFmtId="165" fontId="96" fillId="0" borderId="0" xfId="0" applyFont="1" applyProtection="1"/>
    <xf numFmtId="165" fontId="37" fillId="0" borderId="0" xfId="0" applyFont="1" applyProtection="1"/>
    <xf numFmtId="165" fontId="37" fillId="0" borderId="0" xfId="0" applyFont="1" applyAlignment="1" applyProtection="1">
      <alignment horizontal="left"/>
    </xf>
    <xf numFmtId="4" fontId="24" fillId="0" borderId="0" xfId="0" applyNumberFormat="1" applyFont="1" applyProtection="1"/>
    <xf numFmtId="0" fontId="97" fillId="0" borderId="0" xfId="153" applyFont="1"/>
    <xf numFmtId="4" fontId="21" fillId="0" borderId="0" xfId="153" applyNumberFormat="1" applyFont="1" applyAlignment="1">
      <alignment horizontal="center"/>
    </xf>
    <xf numFmtId="4" fontId="21" fillId="0" borderId="1" xfId="153" applyNumberFormat="1" applyFont="1" applyBorder="1" applyAlignment="1">
      <alignment horizontal="center"/>
    </xf>
    <xf numFmtId="165" fontId="98" fillId="0" borderId="0" xfId="0" applyFont="1" applyProtection="1"/>
    <xf numFmtId="0" fontId="77" fillId="0" borderId="0" xfId="158" applyFont="1"/>
    <xf numFmtId="0" fontId="75" fillId="0" borderId="18" xfId="97" applyFont="1" applyBorder="1" applyAlignment="1" applyProtection="1">
      <alignment horizontal="center"/>
    </xf>
    <xf numFmtId="0" fontId="75" fillId="0" borderId="18" xfId="97" applyFont="1" applyBorder="1" applyAlignment="1" applyProtection="1">
      <alignment horizontal="center" vertical="center"/>
    </xf>
    <xf numFmtId="0" fontId="73" fillId="0" borderId="0" xfId="158" applyFont="1" applyAlignment="1">
      <alignment vertical="center"/>
    </xf>
    <xf numFmtId="4" fontId="14" fillId="0" borderId="11" xfId="0" applyNumberFormat="1" applyFont="1" applyBorder="1" applyProtection="1"/>
    <xf numFmtId="165" fontId="100" fillId="0" borderId="0" xfId="0" applyFont="1" applyProtection="1"/>
    <xf numFmtId="0" fontId="6" fillId="0" borderId="0" xfId="138" applyFont="1"/>
    <xf numFmtId="0" fontId="101" fillId="0" borderId="0" xfId="138" applyFont="1"/>
    <xf numFmtId="0" fontId="51" fillId="0" borderId="0" xfId="138" applyFont="1"/>
    <xf numFmtId="49" fontId="17" fillId="0" borderId="0" xfId="156" applyNumberFormat="1" applyFont="1" applyAlignment="1">
      <alignment horizontal="left"/>
    </xf>
    <xf numFmtId="0" fontId="3" fillId="0" borderId="0" xfId="138" applyFont="1"/>
    <xf numFmtId="0" fontId="73" fillId="0" borderId="18" xfId="158" applyFont="1" applyBorder="1" applyAlignment="1" applyProtection="1">
      <alignment horizontal="center"/>
      <protection locked="0"/>
    </xf>
    <xf numFmtId="4" fontId="22" fillId="0" borderId="0" xfId="0" applyNumberFormat="1" applyFont="1" applyProtection="1"/>
    <xf numFmtId="49" fontId="63" fillId="0" borderId="0" xfId="133" applyNumberFormat="1" applyFont="1" applyAlignment="1">
      <alignment horizontal="left"/>
    </xf>
    <xf numFmtId="0" fontId="20" fillId="0" borderId="0" xfId="138" applyFont="1" applyAlignment="1">
      <alignment horizontal="center"/>
    </xf>
    <xf numFmtId="0" fontId="20" fillId="0" borderId="0" xfId="133" applyFont="1" applyAlignment="1">
      <alignment horizontal="left" indent="5"/>
    </xf>
    <xf numFmtId="49" fontId="20" fillId="0" borderId="0" xfId="133" applyNumberFormat="1" applyFont="1" applyAlignment="1">
      <alignment horizontal="left"/>
    </xf>
    <xf numFmtId="49" fontId="37" fillId="0" borderId="0" xfId="133" applyNumberFormat="1" applyFont="1" applyAlignment="1">
      <alignment horizontal="left" indent="3"/>
    </xf>
    <xf numFmtId="49" fontId="17" fillId="0" borderId="0" xfId="133" applyNumberFormat="1" applyFont="1" applyAlignment="1">
      <alignment horizontal="left"/>
    </xf>
    <xf numFmtId="0" fontId="24" fillId="0" borderId="0" xfId="155"/>
    <xf numFmtId="0" fontId="20" fillId="0" borderId="0" xfId="155" applyFont="1" applyAlignment="1">
      <alignment horizontal="center"/>
    </xf>
    <xf numFmtId="0" fontId="24" fillId="0" borderId="0" xfId="155" applyAlignment="1">
      <alignment horizontal="center"/>
    </xf>
    <xf numFmtId="0" fontId="20" fillId="0" borderId="0" xfId="155" applyFont="1"/>
    <xf numFmtId="0" fontId="73" fillId="0" borderId="0" xfId="158" applyFont="1" applyProtection="1">
      <protection hidden="1"/>
    </xf>
    <xf numFmtId="0" fontId="17" fillId="0" borderId="0" xfId="135" applyFont="1" applyAlignment="1">
      <alignment horizontal="center"/>
    </xf>
    <xf numFmtId="0" fontId="17" fillId="0" borderId="1" xfId="135" applyFont="1" applyBorder="1" applyAlignment="1">
      <alignment horizontal="center"/>
    </xf>
    <xf numFmtId="173" fontId="102" fillId="0" borderId="0" xfId="0" applyNumberFormat="1" applyFont="1" applyProtection="1"/>
    <xf numFmtId="0" fontId="64" fillId="0" borderId="0" xfId="147" applyFont="1" applyProtection="1">
      <protection locked="0"/>
    </xf>
    <xf numFmtId="178" fontId="64" fillId="0" borderId="1" xfId="67" applyNumberFormat="1" applyFont="1" applyBorder="1" applyProtection="1">
      <protection locked="0"/>
    </xf>
    <xf numFmtId="178" fontId="64" fillId="0" borderId="5" xfId="67" applyNumberFormat="1" applyFont="1" applyBorder="1" applyProtection="1">
      <protection locked="0"/>
    </xf>
    <xf numFmtId="0" fontId="64" fillId="0" borderId="0" xfId="147" applyFont="1"/>
    <xf numFmtId="0" fontId="64" fillId="0" borderId="0" xfId="154" applyFont="1"/>
    <xf numFmtId="0" fontId="22" fillId="0" borderId="0" xfId="154" applyFont="1" applyAlignment="1">
      <alignment horizontal="center"/>
    </xf>
    <xf numFmtId="0" fontId="48" fillId="0" borderId="0" xfId="147" applyFont="1"/>
    <xf numFmtId="0" fontId="24" fillId="0" borderId="0" xfId="140" applyFont="1" applyProtection="1">
      <protection locked="0"/>
    </xf>
    <xf numFmtId="0" fontId="5" fillId="0" borderId="0" xfId="145" applyFont="1" applyProtection="1">
      <protection locked="0"/>
    </xf>
    <xf numFmtId="178" fontId="5" fillId="0" borderId="1" xfId="145" applyNumberFormat="1" applyFont="1" applyBorder="1" applyProtection="1">
      <protection locked="0"/>
    </xf>
    <xf numFmtId="0" fontId="73" fillId="19" borderId="18" xfId="158" applyFont="1" applyFill="1" applyBorder="1" applyAlignment="1" applyProtection="1">
      <alignment horizontal="center"/>
      <protection locked="0"/>
    </xf>
    <xf numFmtId="0" fontId="2" fillId="0" borderId="0" xfId="154" applyProtection="1">
      <protection locked="0"/>
    </xf>
    <xf numFmtId="176" fontId="49" fillId="0" borderId="0" xfId="143" applyNumberFormat="1" applyFont="1" applyAlignment="1" applyProtection="1">
      <alignment horizontal="center"/>
      <protection locked="0"/>
    </xf>
    <xf numFmtId="176" fontId="49" fillId="0" borderId="0" xfId="143" applyNumberFormat="1" applyFont="1" applyAlignment="1" applyProtection="1">
      <alignment horizontal="centerContinuous"/>
      <protection locked="0"/>
    </xf>
    <xf numFmtId="0" fontId="24" fillId="0" borderId="0" xfId="143" applyProtection="1">
      <protection locked="0"/>
    </xf>
    <xf numFmtId="0" fontId="2" fillId="0" borderId="0" xfId="154" applyAlignment="1" applyProtection="1">
      <alignment horizontal="center"/>
      <protection locked="0"/>
    </xf>
    <xf numFmtId="176" fontId="52" fillId="0" borderId="0" xfId="143" applyNumberFormat="1" applyFont="1" applyAlignment="1" applyProtection="1">
      <alignment horizontal="center"/>
      <protection locked="0"/>
    </xf>
    <xf numFmtId="176" fontId="20" fillId="0" borderId="0" xfId="143" applyNumberFormat="1" applyFont="1" applyProtection="1">
      <protection locked="0"/>
    </xf>
    <xf numFmtId="176" fontId="52" fillId="0" borderId="0" xfId="143" applyNumberFormat="1" applyFont="1" applyProtection="1">
      <protection locked="0"/>
    </xf>
    <xf numFmtId="176" fontId="20" fillId="0" borderId="0" xfId="143" applyNumberFormat="1" applyFont="1" applyAlignment="1" applyProtection="1">
      <alignment horizontal="centerContinuous"/>
      <protection locked="0"/>
    </xf>
    <xf numFmtId="176" fontId="49" fillId="0" borderId="5" xfId="143" applyNumberFormat="1" applyFont="1" applyBorder="1" applyAlignment="1" applyProtection="1">
      <alignment horizontal="center"/>
      <protection locked="0"/>
    </xf>
    <xf numFmtId="0" fontId="60" fillId="0" borderId="0" xfId="140" applyFont="1" applyAlignment="1" applyProtection="1">
      <alignment horizontal="centerContinuous"/>
      <protection locked="0"/>
    </xf>
    <xf numFmtId="0" fontId="45" fillId="0" borderId="0" xfId="140" applyProtection="1">
      <protection locked="0"/>
    </xf>
    <xf numFmtId="0" fontId="60" fillId="0" borderId="0" xfId="140" applyFont="1" applyProtection="1">
      <protection locked="0"/>
    </xf>
    <xf numFmtId="0" fontId="7" fillId="0" borderId="0" xfId="140" applyFont="1" applyAlignment="1" applyProtection="1">
      <alignment horizontal="center"/>
      <protection locked="0"/>
    </xf>
    <xf numFmtId="0" fontId="60" fillId="0" borderId="0" xfId="140" applyFont="1" applyAlignment="1" applyProtection="1">
      <alignment horizontal="center" shrinkToFit="1"/>
      <protection locked="0"/>
    </xf>
    <xf numFmtId="0" fontId="2" fillId="0" borderId="0" xfId="154" applyAlignment="1" applyProtection="1">
      <alignment horizontal="center" shrinkToFit="1"/>
      <protection locked="0"/>
    </xf>
    <xf numFmtId="0" fontId="3" fillId="0" borderId="0" xfId="140" applyFont="1" applyAlignment="1" applyProtection="1">
      <alignment horizontal="centerContinuous"/>
      <protection locked="0"/>
    </xf>
    <xf numFmtId="0" fontId="3" fillId="0" borderId="0" xfId="140" applyFont="1" applyProtection="1">
      <protection locked="0"/>
    </xf>
    <xf numFmtId="0" fontId="14" fillId="0" borderId="0" xfId="140" applyFont="1" applyProtection="1">
      <protection locked="0"/>
    </xf>
    <xf numFmtId="0" fontId="36" fillId="0" borderId="0" xfId="140" applyFont="1" applyProtection="1">
      <protection locked="0"/>
    </xf>
    <xf numFmtId="0" fontId="4" fillId="0" borderId="0" xfId="140" applyFont="1" applyProtection="1">
      <protection locked="0"/>
    </xf>
    <xf numFmtId="0" fontId="4" fillId="0" borderId="0" xfId="140" applyFont="1" applyAlignment="1" applyProtection="1">
      <alignment horizontal="center"/>
      <protection locked="0"/>
    </xf>
    <xf numFmtId="0" fontId="14" fillId="0" borderId="0" xfId="153" applyFont="1"/>
    <xf numFmtId="0" fontId="67" fillId="0" borderId="0" xfId="154" applyFont="1" applyProtection="1">
      <protection locked="0"/>
    </xf>
    <xf numFmtId="0" fontId="1" fillId="0" borderId="0" xfId="154" applyFont="1" applyAlignment="1" applyProtection="1">
      <alignment horizontal="center"/>
      <protection locked="0"/>
    </xf>
    <xf numFmtId="0" fontId="1" fillId="0" borderId="1" xfId="154" applyFont="1" applyBorder="1" applyAlignment="1" applyProtection="1">
      <alignment horizontal="center"/>
      <protection locked="0"/>
    </xf>
    <xf numFmtId="0" fontId="2" fillId="0" borderId="1" xfId="154" applyBorder="1" applyProtection="1">
      <protection locked="0"/>
    </xf>
    <xf numFmtId="178" fontId="2" fillId="0" borderId="1" xfId="154" applyNumberFormat="1" applyBorder="1" applyProtection="1">
      <protection locked="0"/>
    </xf>
    <xf numFmtId="0" fontId="7" fillId="0" borderId="0" xfId="154" applyFont="1" applyAlignment="1" applyProtection="1">
      <alignment horizontal="centerContinuous"/>
      <protection locked="0"/>
    </xf>
    <xf numFmtId="0" fontId="70" fillId="0" borderId="0" xfId="154" applyFont="1" applyProtection="1">
      <protection locked="0"/>
    </xf>
    <xf numFmtId="0" fontId="70" fillId="0" borderId="0" xfId="154" applyFont="1" applyAlignment="1" applyProtection="1">
      <alignment horizontal="center"/>
      <protection locked="0"/>
    </xf>
    <xf numFmtId="0" fontId="2" fillId="0" borderId="0" xfId="154"/>
    <xf numFmtId="0" fontId="24" fillId="0" borderId="0" xfId="157" applyProtection="1">
      <protection locked="0"/>
    </xf>
    <xf numFmtId="0" fontId="24" fillId="0" borderId="5" xfId="157" applyBorder="1" applyProtection="1">
      <protection locked="0"/>
    </xf>
    <xf numFmtId="0" fontId="45" fillId="0" borderId="5" xfId="139" applyFont="1" applyBorder="1" applyAlignment="1" applyProtection="1">
      <alignment horizontal="right"/>
      <protection locked="0"/>
    </xf>
    <xf numFmtId="0" fontId="45" fillId="0" borderId="5" xfId="139" applyFont="1" applyBorder="1" applyAlignment="1" applyProtection="1">
      <alignment horizontal="center" shrinkToFit="1"/>
      <protection locked="0"/>
    </xf>
    <xf numFmtId="0" fontId="20" fillId="0" borderId="0" xfId="157" applyFont="1" applyProtection="1">
      <protection locked="0"/>
    </xf>
    <xf numFmtId="178" fontId="24" fillId="0" borderId="0" xfId="157" applyNumberFormat="1" applyAlignment="1" applyProtection="1">
      <alignment horizontal="center"/>
      <protection locked="0"/>
    </xf>
    <xf numFmtId="0" fontId="1" fillId="0" borderId="0" xfId="154" applyFont="1" applyProtection="1">
      <protection locked="0"/>
    </xf>
    <xf numFmtId="4" fontId="63" fillId="0" borderId="0" xfId="0" applyNumberFormat="1" applyFont="1" applyProtection="1"/>
    <xf numFmtId="0" fontId="67" fillId="0" borderId="0" xfId="154" applyFont="1"/>
    <xf numFmtId="0" fontId="24" fillId="0" borderId="0" xfId="154" applyFont="1" applyAlignment="1">
      <alignment horizontal="left"/>
    </xf>
    <xf numFmtId="0" fontId="24" fillId="0" borderId="0" xfId="154" applyFont="1"/>
    <xf numFmtId="0" fontId="24" fillId="0" borderId="0" xfId="154" applyFont="1" applyAlignment="1">
      <alignment horizontal="right"/>
    </xf>
    <xf numFmtId="0" fontId="20" fillId="0" borderId="1" xfId="148" applyFont="1" applyBorder="1" applyAlignment="1" applyProtection="1">
      <alignment horizontal="center"/>
      <protection locked="0"/>
    </xf>
    <xf numFmtId="0" fontId="24" fillId="0" borderId="1" xfId="148" applyBorder="1" applyProtection="1">
      <protection locked="0"/>
    </xf>
    <xf numFmtId="0" fontId="24" fillId="0" borderId="8" xfId="148" applyBorder="1" applyProtection="1">
      <protection locked="0"/>
    </xf>
    <xf numFmtId="0" fontId="24" fillId="0" borderId="1" xfId="148" applyBorder="1" applyAlignment="1" applyProtection="1">
      <alignment horizontal="center"/>
      <protection locked="0"/>
    </xf>
    <xf numFmtId="0" fontId="24" fillId="0" borderId="8" xfId="148" applyBorder="1" applyAlignment="1" applyProtection="1">
      <alignment horizontal="center"/>
      <protection locked="0"/>
    </xf>
    <xf numFmtId="4" fontId="24" fillId="0" borderId="7" xfId="153" applyNumberFormat="1" applyBorder="1"/>
    <xf numFmtId="164" fontId="27" fillId="0" borderId="0" xfId="170" applyFont="1" applyAlignment="1">
      <alignment horizontal="left"/>
    </xf>
    <xf numFmtId="4" fontId="0" fillId="0" borderId="8" xfId="0" applyNumberFormat="1" applyBorder="1" applyProtection="1"/>
    <xf numFmtId="4" fontId="0" fillId="0" borderId="1" xfId="0" applyNumberFormat="1" applyBorder="1" applyProtection="1"/>
    <xf numFmtId="4" fontId="22" fillId="0" borderId="1" xfId="0" applyNumberFormat="1" applyFont="1" applyBorder="1" applyAlignment="1" applyProtection="1">
      <alignment horizontal="center"/>
    </xf>
    <xf numFmtId="4" fontId="141" fillId="0" borderId="0" xfId="0" applyNumberFormat="1" applyFont="1" applyAlignment="1" applyProtection="1">
      <alignment horizontal="center"/>
    </xf>
    <xf numFmtId="0" fontId="52" fillId="0" borderId="0" xfId="152" applyFont="1"/>
    <xf numFmtId="0" fontId="24" fillId="0" borderId="0" xfId="152" applyFont="1"/>
    <xf numFmtId="0" fontId="20" fillId="0" borderId="1" xfId="152" applyFont="1" applyBorder="1" applyAlignment="1">
      <alignment horizontal="center"/>
    </xf>
    <xf numFmtId="0" fontId="20" fillId="0" borderId="0" xfId="152" applyFont="1" applyAlignment="1">
      <alignment horizontal="center"/>
    </xf>
    <xf numFmtId="178" fontId="24" fillId="0" borderId="8" xfId="152" applyNumberFormat="1" applyFont="1" applyBorder="1" applyProtection="1">
      <protection locked="0"/>
    </xf>
    <xf numFmtId="37" fontId="24" fillId="0" borderId="0" xfId="152" applyNumberFormat="1" applyFont="1"/>
    <xf numFmtId="178" fontId="24" fillId="0" borderId="8" xfId="149" applyNumberFormat="1" applyFont="1" applyBorder="1"/>
    <xf numFmtId="0" fontId="24" fillId="0" borderId="0" xfId="149" applyFont="1"/>
    <xf numFmtId="9" fontId="24" fillId="0" borderId="8" xfId="178" applyFont="1" applyBorder="1" applyAlignment="1">
      <alignment horizontal="right"/>
    </xf>
    <xf numFmtId="0" fontId="24" fillId="0" borderId="1" xfId="152" applyFont="1" applyBorder="1" applyProtection="1">
      <protection locked="0"/>
    </xf>
    <xf numFmtId="178" fontId="24" fillId="0" borderId="1" xfId="152" applyNumberFormat="1" applyFont="1" applyBorder="1" applyProtection="1">
      <protection locked="0"/>
    </xf>
    <xf numFmtId="178" fontId="24" fillId="0" borderId="1" xfId="149" applyNumberFormat="1" applyFont="1" applyBorder="1"/>
    <xf numFmtId="9" fontId="24" fillId="0" borderId="1" xfId="178" applyFont="1" applyBorder="1" applyAlignment="1">
      <alignment horizontal="right"/>
    </xf>
    <xf numFmtId="0" fontId="110" fillId="0" borderId="0" xfId="152" applyFont="1"/>
    <xf numFmtId="0" fontId="45" fillId="0" borderId="0" xfId="152"/>
    <xf numFmtId="0" fontId="52" fillId="0" borderId="0" xfId="137" applyFont="1" applyProtection="1">
      <protection hidden="1"/>
    </xf>
    <xf numFmtId="0" fontId="111" fillId="0" borderId="0" xfId="137" applyFont="1" applyProtection="1">
      <protection hidden="1"/>
    </xf>
    <xf numFmtId="0" fontId="24" fillId="0" borderId="8" xfId="152" applyFont="1" applyBorder="1" applyAlignment="1" applyProtection="1">
      <alignment wrapText="1"/>
      <protection locked="0"/>
    </xf>
    <xf numFmtId="0" fontId="3" fillId="0" borderId="0" xfId="138" applyFont="1" applyProtection="1">
      <protection locked="0"/>
    </xf>
    <xf numFmtId="0" fontId="73" fillId="19" borderId="18" xfId="158" applyFont="1" applyFill="1" applyBorder="1" applyAlignment="1" applyProtection="1">
      <alignment horizontal="center" wrapText="1"/>
      <protection locked="0"/>
    </xf>
    <xf numFmtId="0" fontId="112" fillId="0" borderId="18" xfId="97" applyFont="1" applyBorder="1" applyAlignment="1" applyProtection="1">
      <alignment horizontal="center" wrapText="1"/>
    </xf>
    <xf numFmtId="0" fontId="20" fillId="0" borderId="1" xfId="132" applyFont="1" applyBorder="1" applyAlignment="1" applyProtection="1">
      <alignment horizontal="center"/>
      <protection locked="0"/>
    </xf>
    <xf numFmtId="0" fontId="24" fillId="0" borderId="1" xfId="132" applyBorder="1" applyAlignment="1" applyProtection="1">
      <alignment horizontal="center"/>
      <protection locked="0"/>
    </xf>
    <xf numFmtId="0" fontId="20" fillId="0" borderId="1" xfId="132" applyFont="1" applyBorder="1" applyProtection="1">
      <protection locked="0"/>
    </xf>
    <xf numFmtId="0" fontId="2" fillId="0" borderId="0" xfId="154" applyAlignment="1">
      <alignment horizontal="center"/>
    </xf>
    <xf numFmtId="0" fontId="24" fillId="0" borderId="0" xfId="0" applyNumberFormat="1" applyFont="1" applyProtection="1"/>
    <xf numFmtId="0" fontId="20" fillId="0" borderId="0" xfId="0" applyNumberFormat="1" applyFont="1" applyProtection="1"/>
    <xf numFmtId="180" fontId="24" fillId="0" borderId="0" xfId="0" applyNumberFormat="1" applyFont="1" applyProtection="1"/>
    <xf numFmtId="0" fontId="63" fillId="0" borderId="0" xfId="0" applyNumberFormat="1" applyFont="1" applyProtection="1"/>
    <xf numFmtId="4" fontId="4" fillId="0" borderId="1" xfId="0" applyNumberFormat="1" applyFont="1" applyBorder="1" applyProtection="1"/>
    <xf numFmtId="4" fontId="10" fillId="0" borderId="0" xfId="153" applyNumberFormat="1" applyFont="1" applyAlignment="1">
      <alignment horizontal="center"/>
    </xf>
    <xf numFmtId="4" fontId="10" fillId="0" borderId="1" xfId="153" applyNumberFormat="1" applyFont="1" applyBorder="1" applyAlignment="1">
      <alignment horizontal="center"/>
    </xf>
    <xf numFmtId="49" fontId="19" fillId="0" borderId="0" xfId="138" applyNumberFormat="1" applyFont="1"/>
    <xf numFmtId="0" fontId="142" fillId="0" borderId="0" xfId="145" applyFont="1"/>
    <xf numFmtId="0" fontId="24" fillId="0" borderId="0" xfId="145" applyFont="1"/>
    <xf numFmtId="0" fontId="24" fillId="0" borderId="0" xfId="138" applyFont="1"/>
    <xf numFmtId="0" fontId="24" fillId="0" borderId="0" xfId="138" applyFont="1" applyAlignment="1">
      <alignment horizontal="center"/>
    </xf>
    <xf numFmtId="0" fontId="24" fillId="0" borderId="0" xfId="138" applyFont="1" applyAlignment="1">
      <alignment horizontal="right"/>
    </xf>
    <xf numFmtId="0" fontId="24" fillId="0" borderId="5" xfId="138" applyFont="1" applyBorder="1"/>
    <xf numFmtId="0" fontId="52" fillId="0" borderId="0" xfId="138" applyFont="1"/>
    <xf numFmtId="0" fontId="49" fillId="0" borderId="1" xfId="138" applyFont="1" applyBorder="1"/>
    <xf numFmtId="0" fontId="52" fillId="0" borderId="8" xfId="138" applyFont="1" applyBorder="1" applyAlignment="1" applyProtection="1">
      <alignment horizontal="center"/>
      <protection locked="0"/>
    </xf>
    <xf numFmtId="165" fontId="46" fillId="0" borderId="0" xfId="97" applyNumberFormat="1" applyAlignment="1" applyProtection="1"/>
    <xf numFmtId="0" fontId="45" fillId="0" borderId="0" xfId="154" applyFont="1"/>
    <xf numFmtId="165" fontId="20" fillId="0" borderId="0" xfId="170" applyNumberFormat="1" applyFont="1" applyAlignment="1">
      <alignment horizontal="center"/>
    </xf>
    <xf numFmtId="173" fontId="28" fillId="0" borderId="0" xfId="172" applyNumberFormat="1" applyFont="1" applyBorder="1" applyAlignment="1">
      <alignment horizontal="center"/>
    </xf>
    <xf numFmtId="0" fontId="75" fillId="0" borderId="18" xfId="97" applyFont="1" applyBorder="1" applyAlignment="1" applyProtection="1">
      <alignment horizontal="center" wrapText="1"/>
    </xf>
    <xf numFmtId="0" fontId="118" fillId="0" borderId="0" xfId="0" applyNumberFormat="1" applyFont="1" applyAlignment="1" applyProtection="1">
      <alignment horizontal="left"/>
    </xf>
    <xf numFmtId="0" fontId="118" fillId="0" borderId="0" xfId="0" applyNumberFormat="1" applyFont="1" applyProtection="1"/>
    <xf numFmtId="0" fontId="118" fillId="0" borderId="0" xfId="0" applyNumberFormat="1" applyFont="1" applyAlignment="1" applyProtection="1">
      <alignment horizontal="right"/>
    </xf>
    <xf numFmtId="39" fontId="14" fillId="0" borderId="0" xfId="0" applyNumberFormat="1" applyFont="1" applyProtection="1"/>
    <xf numFmtId="0" fontId="118" fillId="0" borderId="0" xfId="0" applyNumberFormat="1" applyFont="1" applyAlignment="1" applyProtection="1">
      <alignment horizontal="center"/>
    </xf>
    <xf numFmtId="165" fontId="20" fillId="0" borderId="0" xfId="0" applyFont="1" applyAlignment="1" applyProtection="1">
      <alignment horizontal="center"/>
    </xf>
    <xf numFmtId="165" fontId="27" fillId="0" borderId="0" xfId="0" applyFont="1" applyAlignment="1" applyProtection="1">
      <alignment horizontal="center"/>
    </xf>
    <xf numFmtId="165" fontId="10" fillId="0" borderId="0" xfId="0" applyFont="1" applyAlignment="1" applyProtection="1">
      <alignment horizontal="right"/>
    </xf>
    <xf numFmtId="165" fontId="28" fillId="0" borderId="0" xfId="0" applyFont="1" applyAlignment="1" applyProtection="1">
      <alignment horizontal="right"/>
    </xf>
    <xf numFmtId="171" fontId="100" fillId="21" borderId="0" xfId="0" applyNumberFormat="1" applyFont="1" applyFill="1" applyAlignment="1" applyProtection="1">
      <alignment horizontal="left"/>
    </xf>
    <xf numFmtId="165" fontId="20" fillId="0" borderId="0" xfId="0" applyFont="1" applyAlignment="1" applyProtection="1">
      <alignment horizontal="left"/>
    </xf>
    <xf numFmtId="4" fontId="3" fillId="0" borderId="0" xfId="0" applyNumberFormat="1" applyFont="1" applyProtection="1"/>
    <xf numFmtId="168" fontId="14" fillId="0" borderId="0" xfId="0" applyNumberFormat="1" applyFont="1" applyProtection="1"/>
    <xf numFmtId="173" fontId="14" fillId="0" borderId="0" xfId="0" applyNumberFormat="1" applyFont="1" applyProtection="1"/>
    <xf numFmtId="0" fontId="143" fillId="0" borderId="0" xfId="158" applyFont="1"/>
    <xf numFmtId="0" fontId="20" fillId="0" borderId="0" xfId="154" applyFont="1" applyAlignment="1">
      <alignment horizontal="right"/>
    </xf>
    <xf numFmtId="176" fontId="49" fillId="0" borderId="0" xfId="154" applyNumberFormat="1" applyFont="1" applyAlignment="1">
      <alignment horizontal="center"/>
    </xf>
    <xf numFmtId="0" fontId="49" fillId="0" borderId="0" xfId="154" applyFont="1" applyAlignment="1">
      <alignment horizontal="center"/>
    </xf>
    <xf numFmtId="0" fontId="49" fillId="0" borderId="0" xfId="154" applyFont="1"/>
    <xf numFmtId="0" fontId="77" fillId="22" borderId="19" xfId="158" applyFont="1" applyFill="1" applyBorder="1"/>
    <xf numFmtId="0" fontId="77" fillId="22" borderId="8" xfId="158" applyFont="1" applyFill="1" applyBorder="1"/>
    <xf numFmtId="0" fontId="77" fillId="22" borderId="24" xfId="158" applyFont="1" applyFill="1" applyBorder="1"/>
    <xf numFmtId="164" fontId="9" fillId="0" borderId="0" xfId="0" applyNumberFormat="1" applyFont="1" applyProtection="1"/>
    <xf numFmtId="165" fontId="10" fillId="0" borderId="25" xfId="0" applyFont="1" applyBorder="1" applyAlignment="1" applyProtection="1">
      <alignment horizontal="center"/>
    </xf>
    <xf numFmtId="175" fontId="14" fillId="0" borderId="0" xfId="0" applyNumberFormat="1" applyFont="1" applyAlignment="1" applyProtection="1">
      <alignment horizontal="left"/>
    </xf>
    <xf numFmtId="165" fontId="24" fillId="23" borderId="0" xfId="0" applyFont="1" applyFill="1" applyProtection="1"/>
    <xf numFmtId="165" fontId="120" fillId="23" borderId="0" xfId="0" applyFont="1" applyFill="1" applyAlignment="1" applyProtection="1">
      <alignment horizontal="center"/>
    </xf>
    <xf numFmtId="173" fontId="9" fillId="0" borderId="8" xfId="0" applyNumberFormat="1" applyFont="1" applyBorder="1" applyProtection="1"/>
    <xf numFmtId="173" fontId="79" fillId="24" borderId="0" xfId="170" applyNumberFormat="1" applyFont="1" applyFill="1"/>
    <xf numFmtId="173" fontId="81" fillId="24" borderId="0" xfId="170" applyNumberFormat="1" applyFont="1" applyFill="1"/>
    <xf numFmtId="173" fontId="79" fillId="24" borderId="1" xfId="174" applyNumberFormat="1" applyFont="1" applyFill="1" applyBorder="1"/>
    <xf numFmtId="171" fontId="144" fillId="0" borderId="0" xfId="0" applyNumberFormat="1" applyFont="1" applyAlignment="1" applyProtection="1">
      <alignment horizontal="center"/>
    </xf>
    <xf numFmtId="164" fontId="145" fillId="0" borderId="0" xfId="170" applyFont="1" applyAlignment="1">
      <alignment horizontal="center"/>
    </xf>
    <xf numFmtId="0" fontId="10" fillId="0" borderId="0" xfId="0" applyNumberFormat="1" applyFont="1" applyProtection="1"/>
    <xf numFmtId="4" fontId="4" fillId="0" borderId="0" xfId="0" applyNumberFormat="1" applyFont="1" applyAlignment="1" applyProtection="1">
      <alignment horizontal="center"/>
    </xf>
    <xf numFmtId="165" fontId="24" fillId="0" borderId="0" xfId="0" applyFont="1" applyAlignment="1" applyProtection="1">
      <alignment vertical="center"/>
    </xf>
    <xf numFmtId="165" fontId="123" fillId="0" borderId="0" xfId="0" applyFont="1" applyAlignment="1" applyProtection="1">
      <alignment vertical="center"/>
    </xf>
    <xf numFmtId="165" fontId="124" fillId="0" borderId="0" xfId="0" applyFont="1" applyAlignment="1" applyProtection="1">
      <alignment vertical="center"/>
    </xf>
    <xf numFmtId="0" fontId="20" fillId="0" borderId="0" xfId="154" applyFont="1"/>
    <xf numFmtId="165" fontId="125" fillId="0" borderId="0" xfId="0" applyFont="1" applyAlignment="1" applyProtection="1">
      <alignment horizontal="left" vertical="center" indent="4"/>
    </xf>
    <xf numFmtId="0" fontId="20" fillId="0" borderId="0" xfId="154" applyFont="1" applyAlignment="1">
      <alignment horizontal="center"/>
    </xf>
    <xf numFmtId="165" fontId="63" fillId="0" borderId="0" xfId="0" applyFont="1" applyAlignment="1" applyProtection="1">
      <alignment vertical="center"/>
    </xf>
    <xf numFmtId="165" fontId="24" fillId="0" borderId="0" xfId="0" applyFont="1" applyAlignment="1">
      <alignment vertical="center"/>
      <protection locked="0"/>
    </xf>
    <xf numFmtId="0" fontId="24" fillId="0" borderId="18" xfId="154" applyFont="1" applyBorder="1" applyAlignment="1" applyProtection="1">
      <alignment horizontal="center"/>
      <protection locked="0"/>
    </xf>
    <xf numFmtId="0" fontId="31" fillId="24" borderId="0" xfId="0" applyNumberFormat="1" applyFont="1" applyFill="1" applyAlignment="1" applyProtection="1">
      <alignment horizontal="center"/>
    </xf>
    <xf numFmtId="165" fontId="24" fillId="24" borderId="0" xfId="0" applyFont="1" applyFill="1" applyProtection="1"/>
    <xf numFmtId="165" fontId="24" fillId="24" borderId="0" xfId="0" applyFont="1" applyFill="1" applyAlignment="1" applyProtection="1">
      <alignment horizontal="left"/>
    </xf>
    <xf numFmtId="0" fontId="9" fillId="24" borderId="0" xfId="52" applyNumberFormat="1" applyFont="1" applyFill="1"/>
    <xf numFmtId="0" fontId="126" fillId="24" borderId="0" xfId="0" applyNumberFormat="1" applyFont="1" applyFill="1" applyAlignment="1" applyProtection="1">
      <alignment horizontal="center"/>
    </xf>
    <xf numFmtId="165" fontId="82" fillId="0" borderId="0" xfId="0" applyFont="1">
      <protection locked="0"/>
    </xf>
    <xf numFmtId="176" fontId="52" fillId="0" borderId="0" xfId="154" applyNumberFormat="1" applyFont="1" applyAlignment="1" applyProtection="1">
      <alignment horizontal="center"/>
      <protection locked="0"/>
    </xf>
    <xf numFmtId="0" fontId="45" fillId="0" borderId="1" xfId="143" applyFont="1" applyBorder="1" applyAlignment="1" applyProtection="1">
      <alignment horizontal="center"/>
      <protection locked="0"/>
    </xf>
    <xf numFmtId="0" fontId="45" fillId="0" borderId="1" xfId="144" applyFont="1" applyBorder="1" applyAlignment="1" applyProtection="1">
      <alignment horizontal="center"/>
      <protection locked="0"/>
    </xf>
    <xf numFmtId="165" fontId="3" fillId="0" borderId="0" xfId="0" applyFont="1" applyProtection="1"/>
    <xf numFmtId="49" fontId="4" fillId="25" borderId="0" xfId="0" applyNumberFormat="1" applyFont="1" applyFill="1" applyAlignment="1" applyProtection="1">
      <alignment horizontal="center"/>
    </xf>
    <xf numFmtId="4" fontId="3" fillId="0" borderId="7" xfId="0" applyNumberFormat="1" applyFont="1" applyBorder="1" applyProtection="1"/>
    <xf numFmtId="0" fontId="58" fillId="0" borderId="1" xfId="145" applyFont="1" applyBorder="1" applyAlignment="1">
      <alignment horizontal="center" wrapText="1"/>
    </xf>
    <xf numFmtId="178" fontId="5" fillId="0" borderId="0" xfId="145" applyNumberFormat="1" applyFont="1" applyProtection="1">
      <protection locked="0"/>
    </xf>
    <xf numFmtId="0" fontId="40" fillId="0" borderId="0" xfId="145" applyFont="1"/>
    <xf numFmtId="176" fontId="52" fillId="0" borderId="1" xfId="154" applyNumberFormat="1" applyFont="1" applyBorder="1" applyAlignment="1" applyProtection="1">
      <alignment horizontal="center"/>
      <protection locked="0"/>
    </xf>
    <xf numFmtId="180" fontId="24" fillId="0" borderId="1" xfId="140" applyNumberFormat="1" applyFont="1" applyBorder="1" applyProtection="1">
      <protection locked="0"/>
    </xf>
    <xf numFmtId="0" fontId="24" fillId="0" borderId="0" xfId="140" applyFont="1"/>
    <xf numFmtId="0" fontId="14" fillId="0" borderId="0" xfId="140" applyFont="1"/>
    <xf numFmtId="0" fontId="20" fillId="0" borderId="7" xfId="140" applyFont="1" applyBorder="1"/>
    <xf numFmtId="0" fontId="20" fillId="0" borderId="0" xfId="140" applyFont="1"/>
    <xf numFmtId="0" fontId="20" fillId="0" borderId="0" xfId="140" applyFont="1" applyAlignment="1">
      <alignment horizontal="center"/>
    </xf>
    <xf numFmtId="0" fontId="45" fillId="0" borderId="0" xfId="140"/>
    <xf numFmtId="0" fontId="3" fillId="0" borderId="0" xfId="140" applyFont="1"/>
    <xf numFmtId="0" fontId="62" fillId="0" borderId="0" xfId="128" applyFont="1"/>
    <xf numFmtId="180" fontId="24" fillId="0" borderId="0" xfId="140" applyNumberFormat="1" applyFont="1" applyProtection="1">
      <protection locked="0"/>
    </xf>
    <xf numFmtId="180" fontId="24" fillId="0" borderId="26" xfId="140" applyNumberFormat="1" applyFont="1" applyBorder="1"/>
    <xf numFmtId="0" fontId="20" fillId="20" borderId="27" xfId="140" applyFont="1" applyFill="1" applyBorder="1"/>
    <xf numFmtId="0" fontId="20" fillId="0" borderId="18" xfId="140" applyFont="1" applyBorder="1" applyAlignment="1">
      <alignment horizontal="center" wrapText="1"/>
    </xf>
    <xf numFmtId="0" fontId="20" fillId="20" borderId="28" xfId="140" applyFont="1" applyFill="1" applyBorder="1"/>
    <xf numFmtId="0" fontId="24" fillId="20" borderId="29" xfId="140" applyFont="1" applyFill="1" applyBorder="1"/>
    <xf numFmtId="0" fontId="20" fillId="20" borderId="29" xfId="140" applyFont="1" applyFill="1" applyBorder="1"/>
    <xf numFmtId="0" fontId="20" fillId="20" borderId="30" xfId="140" applyFont="1" applyFill="1" applyBorder="1"/>
    <xf numFmtId="0" fontId="24" fillId="20" borderId="27" xfId="140" applyFont="1" applyFill="1" applyBorder="1"/>
    <xf numFmtId="0" fontId="24" fillId="20" borderId="0" xfId="140" applyFont="1" applyFill="1"/>
    <xf numFmtId="0" fontId="20" fillId="20" borderId="0" xfId="140" applyFont="1" applyFill="1"/>
    <xf numFmtId="0" fontId="20" fillId="20" borderId="31" xfId="140" applyFont="1" applyFill="1" applyBorder="1"/>
    <xf numFmtId="0" fontId="24" fillId="20" borderId="32" xfId="140" applyFont="1" applyFill="1" applyBorder="1"/>
    <xf numFmtId="0" fontId="24" fillId="20" borderId="11" xfId="140" applyFont="1" applyFill="1" applyBorder="1"/>
    <xf numFmtId="0" fontId="24" fillId="20" borderId="33" xfId="140" applyFont="1" applyFill="1" applyBorder="1"/>
    <xf numFmtId="0" fontId="23" fillId="24" borderId="0" xfId="170" applyNumberFormat="1" applyFont="1" applyFill="1" applyAlignment="1">
      <alignment horizontal="center"/>
    </xf>
    <xf numFmtId="0" fontId="90" fillId="24" borderId="0" xfId="170" applyNumberFormat="1" applyFont="1" applyFill="1" applyAlignment="1">
      <alignment horizontal="center"/>
    </xf>
    <xf numFmtId="165" fontId="10" fillId="0" borderId="11" xfId="0" applyFont="1" applyBorder="1" applyAlignment="1" applyProtection="1">
      <alignment horizontal="center"/>
    </xf>
    <xf numFmtId="0" fontId="9" fillId="0" borderId="0" xfId="0" applyNumberFormat="1" applyFont="1" applyProtection="1"/>
    <xf numFmtId="168" fontId="9" fillId="0" borderId="0" xfId="0" applyNumberFormat="1" applyFont="1" applyAlignment="1" applyProtection="1">
      <alignment horizontal="left"/>
    </xf>
    <xf numFmtId="168" fontId="9" fillId="0" borderId="0" xfId="0" applyNumberFormat="1" applyFont="1" applyProtection="1"/>
    <xf numFmtId="165" fontId="9" fillId="0" borderId="0" xfId="0" applyFont="1" applyAlignment="1" applyProtection="1">
      <alignment horizontal="left"/>
    </xf>
    <xf numFmtId="164" fontId="10" fillId="0" borderId="0" xfId="170" applyFont="1" applyAlignment="1">
      <alignment horizontal="center"/>
    </xf>
    <xf numFmtId="1" fontId="9" fillId="0" borderId="0" xfId="0" applyNumberFormat="1" applyFont="1" applyProtection="1"/>
    <xf numFmtId="165" fontId="10" fillId="0" borderId="1" xfId="0" applyFont="1" applyBorder="1" applyAlignment="1" applyProtection="1">
      <alignment horizontal="center"/>
    </xf>
    <xf numFmtId="164" fontId="9" fillId="0" borderId="0" xfId="170" applyFont="1"/>
    <xf numFmtId="164" fontId="9" fillId="0" borderId="7" xfId="172" applyFont="1"/>
    <xf numFmtId="164" fontId="9" fillId="0" borderId="0" xfId="172" applyFont="1" applyBorder="1"/>
    <xf numFmtId="164" fontId="9" fillId="0" borderId="0" xfId="174" applyFont="1" applyBorder="1"/>
    <xf numFmtId="164" fontId="9" fillId="0" borderId="8" xfId="170" applyFont="1" applyBorder="1"/>
    <xf numFmtId="164" fontId="10" fillId="0" borderId="0" xfId="0" applyNumberFormat="1" applyFont="1" applyAlignment="1" applyProtection="1">
      <alignment horizontal="center"/>
    </xf>
    <xf numFmtId="164" fontId="10" fillId="0" borderId="1" xfId="0" applyNumberFormat="1" applyFont="1" applyBorder="1" applyAlignment="1" applyProtection="1">
      <alignment horizontal="center"/>
    </xf>
    <xf numFmtId="164" fontId="9" fillId="0" borderId="0" xfId="0" applyNumberFormat="1" applyFont="1" applyAlignment="1" applyProtection="1">
      <alignment horizontal="right"/>
    </xf>
    <xf numFmtId="164" fontId="9" fillId="0" borderId="1" xfId="0" applyNumberFormat="1" applyFont="1" applyBorder="1" applyProtection="1"/>
    <xf numFmtId="4" fontId="9" fillId="0" borderId="0" xfId="0" applyNumberFormat="1" applyFont="1" applyProtection="1"/>
    <xf numFmtId="0" fontId="10" fillId="0" borderId="1" xfId="0" applyNumberFormat="1" applyFont="1" applyBorder="1" applyAlignment="1" applyProtection="1">
      <alignment horizontal="center"/>
    </xf>
    <xf numFmtId="164" fontId="9" fillId="0" borderId="8" xfId="172" applyFont="1" applyBorder="1"/>
    <xf numFmtId="164" fontId="9" fillId="0" borderId="7" xfId="170" applyFont="1" applyBorder="1"/>
    <xf numFmtId="171" fontId="10" fillId="0" borderId="0" xfId="0" applyNumberFormat="1" applyFont="1" applyAlignment="1" applyProtection="1">
      <alignment horizontal="center"/>
    </xf>
    <xf numFmtId="165" fontId="28" fillId="0" borderId="0" xfId="172" applyNumberFormat="1" applyFont="1" applyBorder="1" applyAlignment="1">
      <alignment horizontal="center"/>
    </xf>
    <xf numFmtId="165" fontId="10" fillId="0" borderId="0" xfId="172" applyNumberFormat="1" applyFont="1" applyBorder="1" applyAlignment="1">
      <alignment horizontal="center"/>
    </xf>
    <xf numFmtId="165" fontId="9" fillId="0" borderId="0" xfId="0" applyFont="1" applyAlignment="1" applyProtection="1">
      <alignment horizontal="right"/>
    </xf>
    <xf numFmtId="164" fontId="0" fillId="0" borderId="0" xfId="0" applyNumberFormat="1" applyProtection="1"/>
    <xf numFmtId="169" fontId="9" fillId="0" borderId="0" xfId="115" applyNumberFormat="1" applyFont="1" applyProtection="1"/>
    <xf numFmtId="171" fontId="14" fillId="0" borderId="0" xfId="0" applyNumberFormat="1" applyFont="1" applyAlignment="1" applyProtection="1">
      <alignment horizontal="center"/>
    </xf>
    <xf numFmtId="171" fontId="95" fillId="0" borderId="0" xfId="0" applyNumberFormat="1" applyFont="1" applyAlignment="1" applyProtection="1">
      <alignment horizontal="center"/>
    </xf>
    <xf numFmtId="173" fontId="130" fillId="0" borderId="0" xfId="128" applyNumberFormat="1" applyFont="1" applyProtection="1">
      <protection locked="0"/>
    </xf>
    <xf numFmtId="173" fontId="130" fillId="0" borderId="0" xfId="116" applyNumberFormat="1" applyFont="1"/>
    <xf numFmtId="39" fontId="45" fillId="0" borderId="0" xfId="116" applyNumberFormat="1" applyFont="1" applyProtection="1">
      <protection locked="0"/>
    </xf>
    <xf numFmtId="165" fontId="73" fillId="0" borderId="0" xfId="0" applyFont="1" applyProtection="1">
      <protection hidden="1"/>
    </xf>
    <xf numFmtId="49" fontId="73" fillId="0" borderId="0" xfId="0" applyNumberFormat="1" applyFont="1" applyAlignment="1" applyProtection="1">
      <alignment horizontal="center"/>
      <protection hidden="1"/>
    </xf>
    <xf numFmtId="165" fontId="77" fillId="0" borderId="0" xfId="0" applyFont="1" applyAlignment="1" applyProtection="1">
      <alignment horizontal="center"/>
      <protection hidden="1"/>
    </xf>
    <xf numFmtId="165" fontId="77" fillId="0" borderId="0" xfId="0" applyFont="1" applyProtection="1">
      <protection hidden="1"/>
    </xf>
    <xf numFmtId="165" fontId="74" fillId="0" borderId="0" xfId="0" applyFont="1" applyAlignment="1" applyProtection="1">
      <alignment wrapText="1"/>
      <protection hidden="1"/>
    </xf>
    <xf numFmtId="165" fontId="74" fillId="0" borderId="0" xfId="0" applyFont="1" applyAlignment="1" applyProtection="1">
      <alignment horizontal="center" wrapText="1"/>
      <protection hidden="1"/>
    </xf>
    <xf numFmtId="165" fontId="73" fillId="0" borderId="0" xfId="0" applyFont="1" applyAlignment="1" applyProtection="1">
      <alignment horizontal="left"/>
      <protection hidden="1"/>
    </xf>
    <xf numFmtId="165" fontId="109" fillId="0" borderId="0" xfId="0" applyFont="1" applyAlignment="1" applyProtection="1">
      <alignment horizontal="left" wrapText="1"/>
      <protection hidden="1"/>
    </xf>
    <xf numFmtId="165" fontId="109" fillId="0" borderId="0" xfId="0" applyFont="1" applyProtection="1">
      <protection hidden="1"/>
    </xf>
    <xf numFmtId="165" fontId="109" fillId="0" borderId="0" xfId="0" applyFont="1" applyAlignment="1" applyProtection="1">
      <alignment wrapText="1"/>
      <protection hidden="1"/>
    </xf>
    <xf numFmtId="165" fontId="131" fillId="0" borderId="0" xfId="0" applyFont="1" applyProtection="1">
      <protection hidden="1"/>
    </xf>
    <xf numFmtId="165" fontId="30" fillId="0" borderId="0" xfId="0" applyFont="1" applyProtection="1">
      <protection hidden="1"/>
    </xf>
    <xf numFmtId="165" fontId="108" fillId="0" borderId="0" xfId="0" applyFont="1" applyProtection="1">
      <protection hidden="1"/>
    </xf>
    <xf numFmtId="165" fontId="117" fillId="0" borderId="0" xfId="0" applyFont="1" applyAlignment="1" applyProtection="1">
      <alignment horizontal="center"/>
    </xf>
    <xf numFmtId="171" fontId="20" fillId="0" borderId="1" xfId="0" quotePrefix="1" applyNumberFormat="1" applyFont="1" applyBorder="1" applyAlignment="1" applyProtection="1">
      <alignment horizontal="center"/>
    </xf>
    <xf numFmtId="165" fontId="117" fillId="0" borderId="1" xfId="0" applyFont="1" applyBorder="1" applyAlignment="1" applyProtection="1">
      <alignment horizontal="center"/>
    </xf>
    <xf numFmtId="0" fontId="135" fillId="17" borderId="0" xfId="130" applyFont="1" applyFill="1" applyAlignment="1">
      <alignment horizontal="center"/>
    </xf>
    <xf numFmtId="0" fontId="23" fillId="17" borderId="0" xfId="0" applyNumberFormat="1" applyFont="1" applyFill="1" applyAlignment="1" applyProtection="1">
      <alignment horizontal="center"/>
    </xf>
    <xf numFmtId="169" fontId="14" fillId="0" borderId="0" xfId="0" applyNumberFormat="1" applyFont="1" applyAlignment="1" applyProtection="1">
      <alignment horizontal="left"/>
    </xf>
    <xf numFmtId="165" fontId="16" fillId="0" borderId="0" xfId="0" applyFont="1" applyAlignment="1" applyProtection="1">
      <alignment horizontal="left"/>
    </xf>
    <xf numFmtId="165" fontId="17" fillId="0" borderId="13" xfId="0" applyFont="1" applyBorder="1" applyAlignment="1" applyProtection="1">
      <alignment horizontal="center"/>
    </xf>
    <xf numFmtId="173" fontId="9" fillId="0" borderId="8" xfId="170" applyNumberFormat="1" applyFont="1" applyBorder="1"/>
    <xf numFmtId="174" fontId="9" fillId="0" borderId="0" xfId="170" applyNumberFormat="1" applyFont="1"/>
    <xf numFmtId="0" fontId="45" fillId="0" borderId="0" xfId="139" applyFont="1" applyAlignment="1" applyProtection="1">
      <alignment horizontal="right"/>
      <protection locked="0"/>
    </xf>
    <xf numFmtId="0" fontId="45" fillId="0" borderId="0" xfId="139" applyFont="1" applyAlignment="1" applyProtection="1">
      <alignment horizontal="center" shrinkToFit="1"/>
      <protection locked="0"/>
    </xf>
    <xf numFmtId="39" fontId="24" fillId="0" borderId="1" xfId="138" applyNumberFormat="1" applyFont="1" applyBorder="1" applyProtection="1">
      <protection locked="0"/>
    </xf>
    <xf numFmtId="0" fontId="45" fillId="0" borderId="18" xfId="154" applyFont="1" applyBorder="1" applyAlignment="1" applyProtection="1">
      <alignment horizontal="center"/>
      <protection locked="0"/>
    </xf>
    <xf numFmtId="0" fontId="68" fillId="0" borderId="1" xfId="154" applyFont="1" applyBorder="1" applyAlignment="1" applyProtection="1">
      <alignment horizontal="center"/>
      <protection locked="0"/>
    </xf>
    <xf numFmtId="0" fontId="22" fillId="0" borderId="0" xfId="154" applyFont="1"/>
    <xf numFmtId="0" fontId="24" fillId="0" borderId="0" xfId="131" applyFont="1" applyAlignment="1">
      <alignment vertical="center"/>
    </xf>
    <xf numFmtId="0" fontId="124" fillId="0" borderId="0" xfId="131" applyFont="1" applyAlignment="1">
      <alignment vertical="center"/>
    </xf>
    <xf numFmtId="176" fontId="20" fillId="0" borderId="5" xfId="144" applyNumberFormat="1" applyFont="1" applyBorder="1" applyAlignment="1">
      <alignment horizontal="center"/>
    </xf>
    <xf numFmtId="176" fontId="24" fillId="0" borderId="0" xfId="144" applyNumberFormat="1" applyAlignment="1">
      <alignment horizontal="right"/>
    </xf>
    <xf numFmtId="176" fontId="20" fillId="0" borderId="0" xfId="144" applyNumberFormat="1" applyFont="1" applyAlignment="1">
      <alignment horizontal="centerContinuous"/>
    </xf>
    <xf numFmtId="176" fontId="24" fillId="0" borderId="1" xfId="144" applyNumberFormat="1" applyBorder="1" applyAlignment="1">
      <alignment horizontal="center"/>
    </xf>
    <xf numFmtId="176" fontId="20" fillId="0" borderId="0" xfId="144" applyNumberFormat="1" applyFont="1"/>
    <xf numFmtId="0" fontId="24" fillId="0" borderId="0" xfId="144"/>
    <xf numFmtId="37" fontId="9" fillId="0" borderId="8" xfId="170" applyNumberFormat="1" applyFont="1" applyBorder="1"/>
    <xf numFmtId="37" fontId="9" fillId="0" borderId="7" xfId="172" applyNumberFormat="1" applyFont="1"/>
    <xf numFmtId="37" fontId="9" fillId="0" borderId="0" xfId="170" applyNumberFormat="1" applyFont="1"/>
    <xf numFmtId="37" fontId="9" fillId="0" borderId="7" xfId="170" applyNumberFormat="1" applyFont="1" applyBorder="1"/>
    <xf numFmtId="4" fontId="22" fillId="0" borderId="1" xfId="0" applyNumberFormat="1" applyFont="1" applyBorder="1" applyAlignment="1" applyProtection="1">
      <alignment horizontal="center" wrapText="1"/>
    </xf>
    <xf numFmtId="4" fontId="45" fillId="0" borderId="1" xfId="0" applyNumberFormat="1" applyFont="1" applyBorder="1" applyAlignment="1" applyProtection="1">
      <alignment horizontal="center" wrapText="1"/>
    </xf>
    <xf numFmtId="165" fontId="180" fillId="0" borderId="0" xfId="0" applyFont="1" applyProtection="1"/>
    <xf numFmtId="165" fontId="45" fillId="0" borderId="0" xfId="0" applyFont="1" applyAlignment="1" applyProtection="1">
      <alignment vertical="center"/>
    </xf>
    <xf numFmtId="0" fontId="45" fillId="0" borderId="0" xfId="131" applyFont="1" applyAlignment="1">
      <alignment vertical="center"/>
    </xf>
    <xf numFmtId="0" fontId="150" fillId="0" borderId="0" xfId="131" applyFont="1" applyAlignment="1">
      <alignment vertical="center"/>
    </xf>
    <xf numFmtId="0" fontId="152" fillId="0" borderId="0" xfId="154" applyFont="1"/>
    <xf numFmtId="0" fontId="45" fillId="0" borderId="0" xfId="131" applyFont="1" applyAlignment="1">
      <alignment horizontal="left" vertical="center"/>
    </xf>
    <xf numFmtId="0" fontId="22" fillId="20" borderId="0" xfId="131" applyFont="1" applyFill="1"/>
    <xf numFmtId="0" fontId="45" fillId="0" borderId="0" xfId="154" applyFont="1" applyAlignment="1" applyProtection="1">
      <alignment horizontal="center"/>
      <protection locked="0"/>
    </xf>
    <xf numFmtId="49" fontId="45" fillId="0" borderId="1" xfId="154" applyNumberFormat="1" applyFont="1" applyBorder="1" applyAlignment="1" applyProtection="1">
      <alignment horizontal="center"/>
      <protection locked="0"/>
    </xf>
    <xf numFmtId="0" fontId="45" fillId="0" borderId="0" xfId="154" applyFont="1" applyAlignment="1">
      <alignment horizontal="left" indent="1"/>
    </xf>
    <xf numFmtId="0" fontId="53" fillId="0" borderId="0" xfId="131" applyFont="1" applyAlignment="1">
      <alignment vertical="center"/>
    </xf>
    <xf numFmtId="0" fontId="52" fillId="0" borderId="0" xfId="151" applyFont="1" applyProtection="1">
      <protection locked="0"/>
    </xf>
    <xf numFmtId="0" fontId="49" fillId="0" borderId="0" xfId="151" applyFont="1" applyProtection="1">
      <protection locked="0"/>
    </xf>
    <xf numFmtId="0" fontId="57" fillId="0" borderId="0" xfId="134" applyFont="1"/>
    <xf numFmtId="49" fontId="24" fillId="0" borderId="0" xfId="133" applyNumberFormat="1"/>
    <xf numFmtId="49" fontId="45" fillId="0" borderId="8" xfId="154" applyNumberFormat="1" applyFont="1" applyBorder="1" applyAlignment="1" applyProtection="1">
      <alignment horizontal="center"/>
      <protection locked="0"/>
    </xf>
    <xf numFmtId="0" fontId="45" fillId="0" borderId="0" xfId="154" applyFont="1" applyProtection="1">
      <protection locked="0"/>
    </xf>
    <xf numFmtId="0" fontId="3" fillId="0" borderId="0" xfId="140" applyFont="1" applyAlignment="1">
      <alignment horizontal="centerContinuous"/>
    </xf>
    <xf numFmtId="0" fontId="3" fillId="0" borderId="5" xfId="140" applyFont="1" applyBorder="1"/>
    <xf numFmtId="0" fontId="3" fillId="0" borderId="5" xfId="140" applyFont="1" applyBorder="1" applyAlignment="1">
      <alignment horizontal="center" shrinkToFit="1"/>
    </xf>
    <xf numFmtId="0" fontId="45" fillId="0" borderId="0" xfId="139" applyFont="1"/>
    <xf numFmtId="0" fontId="66" fillId="0" borderId="0" xfId="139" applyFont="1" applyAlignment="1">
      <alignment horizontal="centerContinuous"/>
    </xf>
    <xf numFmtId="0" fontId="45" fillId="0" borderId="0" xfId="139" applyFont="1" applyAlignment="1">
      <alignment horizontal="right"/>
    </xf>
    <xf numFmtId="0" fontId="63" fillId="0" borderId="0" xfId="152" applyFont="1" applyAlignment="1">
      <alignment horizontal="center"/>
    </xf>
    <xf numFmtId="0" fontId="24" fillId="0" borderId="0" xfId="152" applyFont="1" applyAlignment="1">
      <alignment horizontal="center" shrinkToFit="1"/>
    </xf>
    <xf numFmtId="0" fontId="24" fillId="0" borderId="1" xfId="152" applyFont="1" applyBorder="1" applyAlignment="1">
      <alignment shrinkToFit="1"/>
    </xf>
    <xf numFmtId="0" fontId="24" fillId="0" borderId="0" xfId="152" applyFont="1" applyAlignment="1">
      <alignment shrinkToFit="1"/>
    </xf>
    <xf numFmtId="0" fontId="20" fillId="0" borderId="0" xfId="152" applyFont="1"/>
    <xf numFmtId="0" fontId="20" fillId="0" borderId="5" xfId="152" applyFont="1" applyBorder="1"/>
    <xf numFmtId="0" fontId="24" fillId="0" borderId="5" xfId="152" applyFont="1" applyBorder="1" applyAlignment="1">
      <alignment horizontal="center" shrinkToFit="1"/>
    </xf>
    <xf numFmtId="0" fontId="24" fillId="0" borderId="5" xfId="152" applyFont="1" applyBorder="1"/>
    <xf numFmtId="174" fontId="81" fillId="0" borderId="0" xfId="170" applyNumberFormat="1" applyFont="1"/>
    <xf numFmtId="173" fontId="81" fillId="0" borderId="0" xfId="170" applyNumberFormat="1" applyFont="1"/>
    <xf numFmtId="0" fontId="181" fillId="0" borderId="0" xfId="109" applyFont="1"/>
    <xf numFmtId="173" fontId="81" fillId="0" borderId="1" xfId="170" applyNumberFormat="1" applyFont="1" applyBorder="1"/>
    <xf numFmtId="173" fontId="81" fillId="0" borderId="0" xfId="174" applyNumberFormat="1" applyFont="1" applyBorder="1"/>
    <xf numFmtId="0" fontId="60" fillId="57" borderId="0" xfId="140" applyFont="1" applyFill="1" applyAlignment="1">
      <alignment horizontal="centerContinuous"/>
    </xf>
    <xf numFmtId="0" fontId="45" fillId="57" borderId="0" xfId="140" applyFill="1"/>
    <xf numFmtId="0" fontId="60" fillId="57" borderId="0" xfId="140" applyFont="1" applyFill="1"/>
    <xf numFmtId="0" fontId="3" fillId="57" borderId="0" xfId="140" applyFont="1" applyFill="1" applyAlignment="1">
      <alignment horizontal="centerContinuous"/>
    </xf>
    <xf numFmtId="0" fontId="2" fillId="57" borderId="0" xfId="154" applyFill="1" applyAlignment="1">
      <alignment horizontal="center" shrinkToFit="1"/>
    </xf>
    <xf numFmtId="0" fontId="2" fillId="57" borderId="0" xfId="154" applyFill="1"/>
    <xf numFmtId="0" fontId="3" fillId="57" borderId="0" xfId="140" applyFont="1" applyFill="1"/>
    <xf numFmtId="0" fontId="3" fillId="57" borderId="5" xfId="140" applyFont="1" applyFill="1" applyBorder="1"/>
    <xf numFmtId="0" fontId="3" fillId="57" borderId="5" xfId="140" applyFont="1" applyFill="1" applyBorder="1" applyAlignment="1">
      <alignment horizontal="center" shrinkToFit="1"/>
    </xf>
    <xf numFmtId="0" fontId="24" fillId="57" borderId="0" xfId="140" applyFont="1" applyFill="1"/>
    <xf numFmtId="165" fontId="0" fillId="57" borderId="0" xfId="0" applyFill="1">
      <protection locked="0"/>
    </xf>
    <xf numFmtId="0" fontId="24" fillId="57" borderId="0" xfId="140" applyFont="1" applyFill="1" applyProtection="1">
      <protection locked="0"/>
    </xf>
    <xf numFmtId="165" fontId="0" fillId="57" borderId="1" xfId="0" applyFill="1" applyBorder="1">
      <protection locked="0"/>
    </xf>
    <xf numFmtId="165" fontId="127" fillId="57" borderId="0" xfId="0" applyFont="1" applyFill="1">
      <protection locked="0"/>
    </xf>
    <xf numFmtId="173" fontId="79" fillId="0" borderId="0" xfId="170" applyNumberFormat="1" applyFont="1" applyProtection="1">
      <protection locked="0"/>
    </xf>
    <xf numFmtId="4" fontId="24" fillId="0" borderId="5" xfId="153" applyNumberFormat="1" applyBorder="1"/>
    <xf numFmtId="4" fontId="86" fillId="0" borderId="1" xfId="153" applyNumberFormat="1" applyFont="1" applyBorder="1" applyAlignment="1">
      <alignment horizontal="center"/>
    </xf>
    <xf numFmtId="4" fontId="87" fillId="0" borderId="1" xfId="153" applyNumberFormat="1" applyFont="1" applyBorder="1" applyAlignment="1">
      <alignment horizontal="center"/>
    </xf>
    <xf numFmtId="173" fontId="130" fillId="0" borderId="0" xfId="128" applyNumberFormat="1" applyFont="1"/>
    <xf numFmtId="39" fontId="45" fillId="0" borderId="0" xfId="116" applyNumberFormat="1" applyFont="1"/>
    <xf numFmtId="0" fontId="0" fillId="0" borderId="0" xfId="0" applyNumberFormat="1" applyProtection="1"/>
    <xf numFmtId="165" fontId="182" fillId="0" borderId="0" xfId="0" applyFont="1" applyProtection="1"/>
    <xf numFmtId="0" fontId="183" fillId="20" borderId="0" xfId="154" applyFont="1" applyFill="1" applyAlignment="1">
      <alignment horizontal="left"/>
    </xf>
    <xf numFmtId="165" fontId="14" fillId="0" borderId="1" xfId="0" applyFont="1" applyBorder="1">
      <protection locked="0"/>
    </xf>
    <xf numFmtId="175" fontId="14" fillId="0" borderId="8" xfId="0" applyNumberFormat="1" applyFont="1" applyBorder="1" applyAlignment="1">
      <alignment horizontal="left"/>
      <protection locked="0"/>
    </xf>
    <xf numFmtId="178" fontId="5" fillId="0" borderId="15" xfId="145" applyNumberFormat="1" applyFont="1" applyBorder="1"/>
    <xf numFmtId="0" fontId="56" fillId="0" borderId="0" xfId="145" applyFont="1" applyAlignment="1">
      <alignment horizontal="right"/>
    </xf>
    <xf numFmtId="39" fontId="57" fillId="0" borderId="11" xfId="145" applyNumberFormat="1" applyFont="1" applyBorder="1"/>
    <xf numFmtId="164" fontId="9" fillId="0" borderId="1" xfId="0" applyNumberFormat="1" applyFont="1" applyBorder="1" applyAlignment="1" applyProtection="1">
      <alignment horizontal="right"/>
    </xf>
    <xf numFmtId="165" fontId="73" fillId="0" borderId="0" xfId="0" applyFont="1" applyAlignment="1" applyProtection="1">
      <alignment wrapText="1"/>
      <protection hidden="1"/>
    </xf>
    <xf numFmtId="0" fontId="20" fillId="0" borderId="19" xfId="157" applyFont="1" applyBorder="1"/>
    <xf numFmtId="0" fontId="24" fillId="0" borderId="8" xfId="157" applyBorder="1"/>
    <xf numFmtId="0" fontId="24" fillId="0" borderId="24" xfId="157" applyBorder="1"/>
    <xf numFmtId="181" fontId="56" fillId="0" borderId="0" xfId="145" applyNumberFormat="1" applyFont="1" applyAlignment="1">
      <alignment horizontal="center"/>
    </xf>
    <xf numFmtId="165" fontId="77" fillId="23" borderId="0" xfId="0" applyFont="1" applyFill="1" applyAlignment="1" applyProtection="1">
      <alignment horizontal="center"/>
      <protection hidden="1"/>
    </xf>
    <xf numFmtId="0" fontId="93" fillId="23" borderId="0" xfId="97" applyFont="1" applyFill="1" applyAlignment="1" applyProtection="1">
      <alignment horizontal="center"/>
      <protection hidden="1"/>
    </xf>
    <xf numFmtId="165" fontId="74" fillId="23" borderId="0" xfId="0" applyFont="1" applyFill="1" applyAlignment="1" applyProtection="1">
      <alignment horizontal="center" wrapText="1"/>
      <protection hidden="1"/>
    </xf>
    <xf numFmtId="165" fontId="74" fillId="23" borderId="0" xfId="0" applyFont="1" applyFill="1" applyAlignment="1" applyProtection="1">
      <alignment horizontal="center"/>
      <protection hidden="1"/>
    </xf>
    <xf numFmtId="165" fontId="184" fillId="0" borderId="0" xfId="0" applyFont="1" applyProtection="1"/>
    <xf numFmtId="165" fontId="185" fillId="57" borderId="0" xfId="0" applyFont="1" applyFill="1" applyAlignment="1">
      <alignment horizontal="centerContinuous"/>
      <protection locked="0"/>
    </xf>
    <xf numFmtId="165" fontId="0" fillId="57" borderId="0" xfId="0" applyFill="1" applyAlignment="1">
      <alignment horizontal="centerContinuous"/>
      <protection locked="0"/>
    </xf>
    <xf numFmtId="165" fontId="186" fillId="57" borderId="0" xfId="0" applyFont="1" applyFill="1">
      <protection locked="0"/>
    </xf>
    <xf numFmtId="165" fontId="187" fillId="57" borderId="0" xfId="0" applyFont="1" applyFill="1">
      <protection locked="0"/>
    </xf>
    <xf numFmtId="0" fontId="46" fillId="0" borderId="0" xfId="97" applyAlignment="1" applyProtection="1">
      <alignment vertical="center"/>
    </xf>
    <xf numFmtId="165" fontId="186" fillId="0" borderId="0" xfId="0" applyFont="1" applyAlignment="1" applyProtection="1">
      <alignment horizontal="center" vertical="top"/>
    </xf>
    <xf numFmtId="49" fontId="73" fillId="60" borderId="0" xfId="0" applyNumberFormat="1" applyFont="1" applyFill="1" applyAlignment="1" applyProtection="1">
      <alignment horizontal="center"/>
      <protection hidden="1"/>
    </xf>
    <xf numFmtId="165" fontId="73" fillId="60" borderId="0" xfId="0" applyFont="1" applyFill="1" applyProtection="1">
      <protection hidden="1"/>
    </xf>
    <xf numFmtId="165" fontId="190" fillId="0" borderId="0" xfId="0" applyFont="1" applyAlignment="1" applyProtection="1">
      <alignment vertical="top"/>
    </xf>
    <xf numFmtId="165" fontId="0" fillId="60" borderId="0" xfId="0" applyFill="1" applyProtection="1"/>
    <xf numFmtId="165" fontId="188" fillId="0" borderId="0" xfId="0" applyFont="1" applyAlignment="1" applyProtection="1">
      <alignment vertical="top"/>
    </xf>
    <xf numFmtId="165" fontId="191" fillId="0" borderId="0" xfId="0" applyFont="1" applyAlignment="1" applyProtection="1">
      <alignment horizontal="center" vertical="top"/>
    </xf>
    <xf numFmtId="165" fontId="30" fillId="60" borderId="0" xfId="0" applyFont="1" applyFill="1" applyProtection="1">
      <protection hidden="1"/>
    </xf>
    <xf numFmtId="49" fontId="73" fillId="60" borderId="5" xfId="0" applyNumberFormat="1" applyFont="1" applyFill="1" applyBorder="1" applyAlignment="1" applyProtection="1">
      <alignment horizontal="center"/>
      <protection hidden="1"/>
    </xf>
    <xf numFmtId="165" fontId="73" fillId="60" borderId="5" xfId="0" applyFont="1" applyFill="1" applyBorder="1" applyProtection="1">
      <protection hidden="1"/>
    </xf>
    <xf numFmtId="165" fontId="0" fillId="60" borderId="5" xfId="0" applyFill="1" applyBorder="1" applyProtection="1"/>
    <xf numFmtId="49" fontId="73" fillId="61" borderId="0" xfId="124" applyNumberFormat="1" applyFont="1" applyFill="1" applyAlignment="1" applyProtection="1">
      <alignment horizontal="center"/>
      <protection hidden="1"/>
    </xf>
    <xf numFmtId="165" fontId="30" fillId="61" borderId="0" xfId="124" applyFont="1" applyFill="1" applyProtection="1">
      <protection hidden="1"/>
    </xf>
    <xf numFmtId="165" fontId="73" fillId="61" borderId="0" xfId="124" applyFont="1" applyFill="1" applyProtection="1">
      <protection hidden="1"/>
    </xf>
    <xf numFmtId="165" fontId="0" fillId="61" borderId="0" xfId="0" applyFill="1" applyProtection="1"/>
    <xf numFmtId="49" fontId="73" fillId="61" borderId="0" xfId="115" applyNumberFormat="1" applyFont="1" applyFill="1" applyAlignment="1" applyProtection="1">
      <alignment horizontal="center"/>
      <protection hidden="1"/>
    </xf>
    <xf numFmtId="165" fontId="73" fillId="61" borderId="0" xfId="115" applyFont="1" applyFill="1" applyProtection="1">
      <protection hidden="1"/>
    </xf>
    <xf numFmtId="0" fontId="20" fillId="0" borderId="0" xfId="157" applyFont="1"/>
    <xf numFmtId="165" fontId="0" fillId="0" borderId="0" xfId="0" applyAlignment="1" applyProtection="1">
      <alignment horizontal="center"/>
    </xf>
    <xf numFmtId="165" fontId="154" fillId="0" borderId="0" xfId="0" applyFont="1" applyAlignment="1" applyProtection="1">
      <alignment horizontal="left"/>
    </xf>
    <xf numFmtId="165" fontId="154" fillId="0" borderId="0" xfId="0" applyFont="1" applyProtection="1"/>
    <xf numFmtId="183" fontId="154" fillId="0" borderId="0" xfId="0" applyNumberFormat="1" applyFont="1" applyAlignment="1" applyProtection="1">
      <alignment horizontal="center"/>
    </xf>
    <xf numFmtId="165" fontId="137" fillId="0" borderId="5" xfId="0" applyFont="1" applyBorder="1" applyAlignment="1" applyProtection="1">
      <alignment horizontal="center" wrapText="1"/>
    </xf>
    <xf numFmtId="49" fontId="154" fillId="0" borderId="0" xfId="0" applyNumberFormat="1" applyFont="1" applyAlignment="1" applyProtection="1">
      <alignment horizontal="center" wrapText="1"/>
    </xf>
    <xf numFmtId="0" fontId="154" fillId="0" borderId="0" xfId="0" applyNumberFormat="1" applyFont="1" applyAlignment="1" applyProtection="1">
      <alignment horizontal="center"/>
    </xf>
    <xf numFmtId="14" fontId="0" fillId="0" borderId="0" xfId="0" applyNumberFormat="1" applyAlignment="1" applyProtection="1">
      <alignment horizontal="center"/>
    </xf>
    <xf numFmtId="14" fontId="73" fillId="0" borderId="0" xfId="158" applyNumberFormat="1" applyFont="1"/>
    <xf numFmtId="39" fontId="186" fillId="57" borderId="0" xfId="0" applyNumberFormat="1" applyFont="1" applyFill="1">
      <protection locked="0"/>
    </xf>
    <xf numFmtId="0" fontId="3" fillId="57" borderId="0" xfId="140" applyFont="1" applyFill="1" applyAlignment="1">
      <alignment horizontal="center" shrinkToFit="1"/>
    </xf>
    <xf numFmtId="165" fontId="73" fillId="0" borderId="0" xfId="0" applyFont="1" applyAlignment="1" applyProtection="1">
      <alignment horizontal="left" indent="2"/>
      <protection hidden="1"/>
    </xf>
    <xf numFmtId="0" fontId="73" fillId="0" borderId="0" xfId="0" quotePrefix="1" applyNumberFormat="1" applyFont="1" applyAlignment="1" applyProtection="1">
      <alignment horizontal="center"/>
      <protection hidden="1"/>
    </xf>
    <xf numFmtId="0" fontId="73" fillId="0" borderId="0" xfId="0" applyNumberFormat="1" applyFont="1" applyProtection="1">
      <protection hidden="1"/>
    </xf>
    <xf numFmtId="40" fontId="118" fillId="0" borderId="48" xfId="188" applyNumberFormat="1" applyFont="1" applyBorder="1"/>
    <xf numFmtId="0" fontId="24" fillId="0" borderId="0" xfId="154" applyFont="1" applyAlignment="1" applyProtection="1">
      <alignment horizontal="center"/>
      <protection locked="0"/>
    </xf>
    <xf numFmtId="0" fontId="137" fillId="0" borderId="0" xfId="154" applyFont="1"/>
    <xf numFmtId="0" fontId="193" fillId="0" borderId="0" xfId="154" applyFont="1"/>
    <xf numFmtId="0" fontId="18" fillId="0" borderId="0" xfId="154" applyFont="1"/>
    <xf numFmtId="0" fontId="63" fillId="0" borderId="0" xfId="154" applyFont="1"/>
    <xf numFmtId="0" fontId="24" fillId="0" borderId="0" xfId="154" applyFont="1" applyAlignment="1">
      <alignment horizontal="center"/>
    </xf>
    <xf numFmtId="165" fontId="24" fillId="0" borderId="0" xfId="0" applyFont="1" applyAlignment="1" applyProtection="1">
      <alignment horizontal="left" indent="2"/>
    </xf>
    <xf numFmtId="0" fontId="67" fillId="0" borderId="1" xfId="154" applyFont="1" applyBorder="1" applyAlignment="1" applyProtection="1">
      <alignment horizontal="center"/>
      <protection locked="0"/>
    </xf>
    <xf numFmtId="0" fontId="67" fillId="0" borderId="8" xfId="154" applyFont="1" applyBorder="1" applyAlignment="1" applyProtection="1">
      <alignment horizontal="center"/>
      <protection locked="0"/>
    </xf>
    <xf numFmtId="165" fontId="195" fillId="0" borderId="0" xfId="0" applyFont="1">
      <protection locked="0"/>
    </xf>
    <xf numFmtId="0" fontId="24" fillId="0" borderId="0" xfId="138" applyFont="1" applyProtection="1">
      <protection locked="0"/>
    </xf>
    <xf numFmtId="49" fontId="17" fillId="0" borderId="21" xfId="156" applyNumberFormat="1" applyFont="1" applyBorder="1" applyAlignment="1">
      <alignment horizontal="left"/>
    </xf>
    <xf numFmtId="0" fontId="3" fillId="0" borderId="21" xfId="138" applyFont="1" applyBorder="1"/>
    <xf numFmtId="165" fontId="195" fillId="0" borderId="49" xfId="0" applyFont="1" applyBorder="1" applyProtection="1"/>
    <xf numFmtId="165" fontId="195" fillId="0" borderId="20" xfId="0" applyFont="1" applyBorder="1" applyProtection="1"/>
    <xf numFmtId="0" fontId="24" fillId="0" borderId="21" xfId="138" applyFont="1" applyBorder="1"/>
    <xf numFmtId="165" fontId="16" fillId="0" borderId="1" xfId="0" applyFont="1" applyBorder="1" applyAlignment="1">
      <alignment horizontal="center"/>
      <protection locked="0"/>
    </xf>
    <xf numFmtId="176" fontId="49" fillId="0" borderId="0" xfId="143" applyNumberFormat="1" applyFont="1" applyAlignment="1">
      <alignment horizontal="centerContinuous"/>
    </xf>
    <xf numFmtId="0" fontId="24" fillId="0" borderId="0" xfId="143"/>
    <xf numFmtId="176" fontId="52" fillId="0" borderId="0" xfId="143" applyNumberFormat="1" applyFont="1" applyAlignment="1">
      <alignment horizontal="center"/>
    </xf>
    <xf numFmtId="176" fontId="20" fillId="0" borderId="0" xfId="143" applyNumberFormat="1" applyFont="1"/>
    <xf numFmtId="176" fontId="52" fillId="0" borderId="0" xfId="143" applyNumberFormat="1" applyFont="1"/>
    <xf numFmtId="176" fontId="20" fillId="0" borderId="0" xfId="143" applyNumberFormat="1" applyFont="1" applyAlignment="1">
      <alignment horizontal="centerContinuous"/>
    </xf>
    <xf numFmtId="176" fontId="49" fillId="0" borderId="5" xfId="143" applyNumberFormat="1" applyFont="1" applyBorder="1" applyAlignment="1">
      <alignment horizontal="center"/>
    </xf>
    <xf numFmtId="0" fontId="2" fillId="0" borderId="0" xfId="154" applyAlignment="1">
      <alignment horizontal="right"/>
    </xf>
    <xf numFmtId="0" fontId="22" fillId="0" borderId="0" xfId="143" applyFont="1" applyAlignment="1">
      <alignment horizontal="center"/>
    </xf>
    <xf numFmtId="0" fontId="53" fillId="0" borderId="0" xfId="154" applyFont="1"/>
    <xf numFmtId="0" fontId="22" fillId="0" borderId="0" xfId="144" applyFont="1" applyAlignment="1">
      <alignment horizontal="center"/>
    </xf>
    <xf numFmtId="176" fontId="49" fillId="0" borderId="0" xfId="147" applyNumberFormat="1" applyFont="1"/>
    <xf numFmtId="0" fontId="64" fillId="0" borderId="0" xfId="147" applyFont="1" applyAlignment="1">
      <alignment horizontal="centerContinuous"/>
    </xf>
    <xf numFmtId="0" fontId="64" fillId="0" borderId="0" xfId="147" applyFont="1" applyAlignment="1">
      <alignment horizontal="center"/>
    </xf>
    <xf numFmtId="0" fontId="64" fillId="0" borderId="0" xfId="147" applyFont="1" applyAlignment="1">
      <alignment horizontal="right"/>
    </xf>
    <xf numFmtId="0" fontId="78" fillId="0" borderId="0" xfId="147" applyFont="1" applyAlignment="1">
      <alignment horizontal="center"/>
    </xf>
    <xf numFmtId="0" fontId="64" fillId="0" borderId="5" xfId="147" applyFont="1" applyBorder="1"/>
    <xf numFmtId="0" fontId="64" fillId="0" borderId="0" xfId="154" quotePrefix="1" applyFont="1"/>
    <xf numFmtId="0" fontId="64" fillId="0" borderId="0" xfId="154" applyFont="1" applyAlignment="1">
      <alignment horizontal="right"/>
    </xf>
    <xf numFmtId="178" fontId="64" fillId="0" borderId="0" xfId="67" applyNumberFormat="1" applyFont="1" applyProtection="1"/>
    <xf numFmtId="178" fontId="64" fillId="0" borderId="0" xfId="67" applyNumberFormat="1" applyFont="1" applyAlignment="1" applyProtection="1">
      <alignment horizontal="right"/>
    </xf>
    <xf numFmtId="167" fontId="3" fillId="0" borderId="0" xfId="154" applyNumberFormat="1" applyFont="1"/>
    <xf numFmtId="167" fontId="64" fillId="0" borderId="0" xfId="154" applyNumberFormat="1" applyFont="1"/>
    <xf numFmtId="178" fontId="64" fillId="0" borderId="17" xfId="67" applyNumberFormat="1" applyFont="1" applyBorder="1" applyProtection="1"/>
    <xf numFmtId="178" fontId="64" fillId="0" borderId="11" xfId="67" applyNumberFormat="1" applyFont="1" applyBorder="1" applyProtection="1"/>
    <xf numFmtId="0" fontId="78" fillId="0" borderId="0" xfId="154" applyFont="1"/>
    <xf numFmtId="0" fontId="24" fillId="0" borderId="0" xfId="132" applyAlignment="1" applyProtection="1">
      <alignment horizontal="left"/>
      <protection locked="0"/>
    </xf>
    <xf numFmtId="178" fontId="24" fillId="62" borderId="8" xfId="134" applyNumberFormat="1" applyFont="1" applyFill="1" applyBorder="1" applyProtection="1">
      <protection locked="0"/>
    </xf>
    <xf numFmtId="178" fontId="24" fillId="62" borderId="0" xfId="134" applyNumberFormat="1" applyFont="1" applyFill="1" applyProtection="1">
      <protection locked="0"/>
    </xf>
    <xf numFmtId="178" fontId="24" fillId="0" borderId="50" xfId="134" applyNumberFormat="1" applyFont="1" applyBorder="1" applyProtection="1">
      <protection locked="0"/>
    </xf>
    <xf numFmtId="0" fontId="49" fillId="0" borderId="0" xfId="151" applyFont="1" applyAlignment="1">
      <alignment horizontal="center"/>
    </xf>
    <xf numFmtId="0" fontId="24" fillId="0" borderId="5" xfId="154" applyFont="1" applyBorder="1"/>
    <xf numFmtId="0" fontId="24" fillId="0" borderId="5" xfId="154" applyFont="1" applyBorder="1" applyAlignment="1">
      <alignment horizontal="right"/>
    </xf>
    <xf numFmtId="0" fontId="1" fillId="0" borderId="5" xfId="154" applyFont="1" applyBorder="1" applyAlignment="1">
      <alignment horizontal="centerContinuous"/>
    </xf>
    <xf numFmtId="0" fontId="2" fillId="0" borderId="5" xfId="154" applyBorder="1" applyAlignment="1">
      <alignment horizontal="centerContinuous"/>
    </xf>
    <xf numFmtId="0" fontId="1" fillId="0" borderId="0" xfId="154" applyFont="1" applyAlignment="1">
      <alignment horizontal="center"/>
    </xf>
    <xf numFmtId="0" fontId="69" fillId="0" borderId="0" xfId="154" applyFont="1" applyAlignment="1">
      <alignment horizontal="center"/>
    </xf>
    <xf numFmtId="0" fontId="1" fillId="0" borderId="0" xfId="154" applyFont="1" applyAlignment="1">
      <alignment horizontal="centerContinuous"/>
    </xf>
    <xf numFmtId="0" fontId="2" fillId="0" borderId="0" xfId="154" applyAlignment="1">
      <alignment horizontal="centerContinuous"/>
    </xf>
    <xf numFmtId="0" fontId="20" fillId="0" borderId="0" xfId="150" applyFont="1" applyAlignment="1">
      <alignment horizontal="center"/>
    </xf>
    <xf numFmtId="0" fontId="20" fillId="0" borderId="5" xfId="150" applyFont="1" applyBorder="1" applyAlignment="1">
      <alignment horizontal="center"/>
    </xf>
    <xf numFmtId="178" fontId="2" fillId="0" borderId="5" xfId="154" applyNumberFormat="1" applyBorder="1"/>
    <xf numFmtId="0" fontId="68" fillId="0" borderId="0" xfId="154" applyFont="1"/>
    <xf numFmtId="0" fontId="71" fillId="0" borderId="5" xfId="154" applyFont="1" applyBorder="1" applyAlignment="1">
      <alignment horizontal="centerContinuous"/>
    </xf>
    <xf numFmtId="0" fontId="71" fillId="0" borderId="0" xfId="154" applyFont="1" applyAlignment="1">
      <alignment horizontal="center"/>
    </xf>
    <xf numFmtId="0" fontId="50" fillId="0" borderId="0" xfId="154" applyFont="1" applyAlignment="1">
      <alignment vertical="center"/>
    </xf>
    <xf numFmtId="178" fontId="2" fillId="0" borderId="0" xfId="154" applyNumberFormat="1"/>
    <xf numFmtId="0" fontId="68" fillId="0" borderId="5" xfId="154" applyFont="1" applyBorder="1" applyAlignment="1">
      <alignment horizontal="centerContinuous"/>
    </xf>
    <xf numFmtId="165" fontId="186" fillId="57" borderId="0" xfId="0" applyFont="1" applyFill="1" applyProtection="1"/>
    <xf numFmtId="165" fontId="187" fillId="57" borderId="0" xfId="0" applyFont="1" applyFill="1" applyProtection="1"/>
    <xf numFmtId="165" fontId="0" fillId="57" borderId="0" xfId="0" applyFill="1" applyProtection="1"/>
    <xf numFmtId="39" fontId="186" fillId="57" borderId="1" xfId="0" applyNumberFormat="1" applyFont="1" applyFill="1" applyBorder="1">
      <protection locked="0"/>
    </xf>
    <xf numFmtId="0" fontId="2" fillId="0" borderId="1" xfId="154" applyBorder="1" applyAlignment="1">
      <alignment horizontal="center"/>
    </xf>
    <xf numFmtId="0" fontId="7" fillId="0" borderId="0" xfId="154" applyFont="1" applyAlignment="1">
      <alignment horizontal="centerContinuous"/>
    </xf>
    <xf numFmtId="14" fontId="154" fillId="0" borderId="0" xfId="0" applyNumberFormat="1" applyFont="1" applyAlignment="1" applyProtection="1">
      <alignment horizontal="left" vertical="top"/>
    </xf>
    <xf numFmtId="165" fontId="154" fillId="0" borderId="0" xfId="0" applyFont="1" applyAlignment="1" applyProtection="1">
      <alignment horizontal="left" vertical="top"/>
    </xf>
    <xf numFmtId="49" fontId="154" fillId="0" borderId="0" xfId="0" applyNumberFormat="1" applyFont="1" applyAlignment="1" applyProtection="1">
      <alignment horizontal="left" vertical="top" wrapText="1"/>
    </xf>
    <xf numFmtId="165" fontId="154" fillId="0" borderId="0" xfId="0" applyFont="1" applyAlignment="1" applyProtection="1">
      <alignment horizontal="right" vertical="center"/>
    </xf>
    <xf numFmtId="14" fontId="154" fillId="0" borderId="0" xfId="0" applyNumberFormat="1" applyFont="1" applyAlignment="1" applyProtection="1">
      <alignment horizontal="left" vertical="center"/>
    </xf>
    <xf numFmtId="0" fontId="154" fillId="0" borderId="0" xfId="0" quotePrefix="1" applyNumberFormat="1" applyFont="1" applyAlignment="1" applyProtection="1">
      <alignment horizontal="center" vertical="top"/>
    </xf>
    <xf numFmtId="0" fontId="154" fillId="0" borderId="0" xfId="0" quotePrefix="1" applyNumberFormat="1" applyFont="1" applyAlignment="1" applyProtection="1">
      <alignment horizontal="center" wrapText="1"/>
    </xf>
    <xf numFmtId="49" fontId="154" fillId="0" borderId="0" xfId="0" applyNumberFormat="1" applyFont="1" applyAlignment="1" applyProtection="1">
      <alignment horizontal="left" wrapText="1"/>
    </xf>
    <xf numFmtId="0" fontId="154" fillId="0" borderId="0" xfId="0" applyNumberFormat="1" applyFont="1" applyAlignment="1" applyProtection="1">
      <alignment horizontal="center" wrapText="1"/>
    </xf>
    <xf numFmtId="14" fontId="3" fillId="0" borderId="0" xfId="0" applyNumberFormat="1" applyFont="1" applyAlignment="1" applyProtection="1">
      <alignment horizontal="center"/>
    </xf>
    <xf numFmtId="39" fontId="146" fillId="0" borderId="0" xfId="117" applyNumberFormat="1" applyFont="1"/>
    <xf numFmtId="165" fontId="196" fillId="0" borderId="0" xfId="0" applyFont="1" applyProtection="1"/>
    <xf numFmtId="0" fontId="137" fillId="0" borderId="0" xfId="0" applyNumberFormat="1" applyFont="1" applyAlignment="1" applyProtection="1">
      <alignment horizontal="centerContinuous"/>
    </xf>
    <xf numFmtId="165" fontId="137" fillId="0" borderId="0" xfId="0" applyFont="1" applyAlignment="1" applyProtection="1">
      <alignment horizontal="centerContinuous"/>
    </xf>
    <xf numFmtId="165" fontId="20" fillId="0" borderId="0" xfId="0" applyFont="1" applyAlignment="1" applyProtection="1">
      <alignment horizontal="centerContinuous"/>
    </xf>
    <xf numFmtId="0" fontId="137" fillId="23" borderId="49" xfId="0" applyNumberFormat="1" applyFont="1" applyFill="1" applyBorder="1" applyProtection="1"/>
    <xf numFmtId="0" fontId="137" fillId="23" borderId="8" xfId="0" applyNumberFormat="1" applyFont="1" applyFill="1" applyBorder="1" applyProtection="1"/>
    <xf numFmtId="0" fontId="137" fillId="23" borderId="51" xfId="0" applyNumberFormat="1" applyFont="1" applyFill="1" applyBorder="1" applyProtection="1"/>
    <xf numFmtId="0" fontId="137" fillId="23" borderId="13" xfId="0" applyNumberFormat="1" applyFont="1" applyFill="1" applyBorder="1" applyProtection="1"/>
    <xf numFmtId="0" fontId="137" fillId="0" borderId="50" xfId="0" applyNumberFormat="1" applyFont="1" applyBorder="1" applyProtection="1"/>
    <xf numFmtId="0" fontId="137" fillId="0" borderId="8" xfId="0" applyNumberFormat="1" applyFont="1" applyBorder="1" applyProtection="1"/>
    <xf numFmtId="0" fontId="137" fillId="0" borderId="0" xfId="0" applyNumberFormat="1" applyFont="1" applyProtection="1"/>
    <xf numFmtId="165" fontId="137" fillId="0" borderId="0" xfId="0" applyFont="1" applyProtection="1"/>
    <xf numFmtId="0" fontId="137" fillId="0" borderId="1" xfId="0" applyNumberFormat="1" applyFont="1" applyBorder="1" applyProtection="1"/>
    <xf numFmtId="165" fontId="137" fillId="0" borderId="1" xfId="0" applyFont="1" applyBorder="1" applyProtection="1"/>
    <xf numFmtId="0" fontId="137" fillId="0" borderId="20" xfId="0" applyNumberFormat="1" applyFont="1" applyBorder="1" applyProtection="1"/>
    <xf numFmtId="0" fontId="137" fillId="23" borderId="20" xfId="0" applyNumberFormat="1" applyFont="1" applyFill="1" applyBorder="1" applyProtection="1"/>
    <xf numFmtId="0" fontId="137" fillId="23" borderId="21" xfId="0" applyNumberFormat="1" applyFont="1" applyFill="1" applyBorder="1" applyProtection="1"/>
    <xf numFmtId="0" fontId="137" fillId="0" borderId="49" xfId="0" applyNumberFormat="1" applyFont="1" applyBorder="1" applyProtection="1"/>
    <xf numFmtId="0" fontId="4" fillId="0" borderId="0" xfId="0" applyNumberFormat="1" applyFont="1" applyProtection="1"/>
    <xf numFmtId="0" fontId="137" fillId="23" borderId="22" xfId="0" applyNumberFormat="1" applyFont="1" applyFill="1" applyBorder="1" applyProtection="1"/>
    <xf numFmtId="0" fontId="137" fillId="23" borderId="23" xfId="0" applyNumberFormat="1" applyFont="1" applyFill="1" applyBorder="1" applyProtection="1"/>
    <xf numFmtId="0" fontId="137" fillId="23" borderId="1" xfId="0" applyNumberFormat="1" applyFont="1" applyFill="1" applyBorder="1" applyProtection="1"/>
    <xf numFmtId="165" fontId="22" fillId="0" borderId="0" xfId="0" applyFont="1" applyProtection="1"/>
    <xf numFmtId="165" fontId="20" fillId="0" borderId="0" xfId="0" applyFont="1" applyAlignment="1" applyProtection="1">
      <alignment horizontal="left" indent="2"/>
    </xf>
    <xf numFmtId="0" fontId="10" fillId="0" borderId="0" xfId="153" applyFont="1" applyAlignment="1">
      <alignment horizontal="center"/>
    </xf>
    <xf numFmtId="4" fontId="45" fillId="0" borderId="1" xfId="0" applyNumberFormat="1" applyFont="1" applyBorder="1" applyProtection="1"/>
    <xf numFmtId="0" fontId="10" fillId="0" borderId="1" xfId="153" applyFont="1" applyBorder="1" applyAlignment="1">
      <alignment horizontal="center"/>
    </xf>
    <xf numFmtId="0" fontId="28" fillId="0" borderId="1" xfId="153" applyFont="1" applyBorder="1" applyAlignment="1">
      <alignment horizontal="center"/>
    </xf>
    <xf numFmtId="165" fontId="0" fillId="0" borderId="1" xfId="0" applyBorder="1" applyAlignment="1" applyProtection="1">
      <alignment horizontal="center" wrapText="1"/>
    </xf>
    <xf numFmtId="0" fontId="28" fillId="0" borderId="0" xfId="153" applyFont="1" applyAlignment="1">
      <alignment horizontal="center"/>
    </xf>
    <xf numFmtId="4" fontId="45" fillId="0" borderId="0" xfId="0" applyNumberFormat="1" applyFont="1" applyProtection="1"/>
    <xf numFmtId="37" fontId="0" fillId="0" borderId="0" xfId="0" applyNumberFormat="1" applyProtection="1"/>
    <xf numFmtId="41" fontId="0" fillId="0" borderId="0" xfId="0" applyNumberFormat="1" applyProtection="1"/>
    <xf numFmtId="184" fontId="3" fillId="0" borderId="0" xfId="0" applyNumberFormat="1" applyFont="1" applyProtection="1"/>
    <xf numFmtId="173" fontId="79" fillId="24" borderId="0" xfId="174" applyNumberFormat="1" applyFont="1" applyFill="1" applyBorder="1"/>
    <xf numFmtId="0" fontId="24" fillId="0" borderId="1" xfId="132" applyBorder="1" applyProtection="1">
      <protection locked="0"/>
    </xf>
    <xf numFmtId="49" fontId="24" fillId="0" borderId="20" xfId="156" applyNumberFormat="1" applyBorder="1" applyProtection="1">
      <protection locked="0"/>
    </xf>
    <xf numFmtId="49" fontId="24" fillId="0" borderId="0" xfId="156" applyNumberFormat="1" applyProtection="1">
      <protection locked="0"/>
    </xf>
    <xf numFmtId="49" fontId="24" fillId="0" borderId="21" xfId="156" applyNumberFormat="1" applyBorder="1" applyProtection="1">
      <protection locked="0"/>
    </xf>
    <xf numFmtId="165" fontId="4" fillId="0" borderId="0" xfId="0" applyFont="1" applyProtection="1"/>
    <xf numFmtId="0" fontId="22" fillId="0" borderId="8" xfId="0" applyNumberFormat="1" applyFont="1" applyBorder="1" applyProtection="1"/>
    <xf numFmtId="0" fontId="22" fillId="0" borderId="0" xfId="0" applyNumberFormat="1" applyFont="1" applyProtection="1"/>
    <xf numFmtId="165" fontId="22" fillId="0" borderId="0" xfId="0" applyFont="1" applyAlignment="1" applyProtection="1">
      <alignment horizontal="center"/>
    </xf>
    <xf numFmtId="165" fontId="24" fillId="0" borderId="0" xfId="0" applyFont="1" applyAlignment="1">
      <alignment horizontal="left" indent="1"/>
      <protection locked="0"/>
    </xf>
    <xf numFmtId="0" fontId="2" fillId="0" borderId="0" xfId="154" applyAlignment="1" applyProtection="1">
      <alignment horizontal="left"/>
      <protection locked="0"/>
    </xf>
    <xf numFmtId="0" fontId="137" fillId="0" borderId="8" xfId="0" applyNumberFormat="1" applyFont="1" applyBorder="1">
      <protection locked="0"/>
    </xf>
    <xf numFmtId="165" fontId="137" fillId="0" borderId="1" xfId="0" applyFont="1" applyBorder="1">
      <protection locked="0"/>
    </xf>
    <xf numFmtId="0" fontId="9" fillId="24" borderId="0" xfId="52" applyNumberFormat="1" applyFont="1" applyFill="1" applyAlignment="1">
      <alignment horizontal="right"/>
    </xf>
    <xf numFmtId="14" fontId="154" fillId="0" borderId="0" xfId="0" applyNumberFormat="1" applyFont="1" applyAlignment="1" applyProtection="1">
      <alignment horizontal="center"/>
    </xf>
    <xf numFmtId="165" fontId="62" fillId="0" borderId="0" xfId="0" applyFont="1" applyProtection="1"/>
    <xf numFmtId="176" fontId="137" fillId="0" borderId="0" xfId="144" applyNumberFormat="1" applyFont="1" applyAlignment="1">
      <alignment horizontal="center"/>
    </xf>
    <xf numFmtId="165" fontId="24" fillId="0" borderId="0" xfId="0" applyFont="1" applyAlignment="1" applyProtection="1">
      <alignment horizontal="left" vertical="center"/>
    </xf>
    <xf numFmtId="165" fontId="123" fillId="0" borderId="0" xfId="0" applyFont="1" applyAlignment="1" applyProtection="1">
      <alignment horizontal="left" vertical="center" indent="4"/>
    </xf>
    <xf numFmtId="0" fontId="20" fillId="0" borderId="50" xfId="154" applyFont="1" applyBorder="1"/>
    <xf numFmtId="0" fontId="20" fillId="0" borderId="50" xfId="154" applyFont="1" applyBorder="1" applyAlignment="1">
      <alignment horizontal="center"/>
    </xf>
    <xf numFmtId="0" fontId="24" fillId="0" borderId="50" xfId="154" applyFont="1" applyBorder="1" applyAlignment="1" applyProtection="1">
      <alignment horizontal="center"/>
      <protection locked="0"/>
    </xf>
    <xf numFmtId="0" fontId="24" fillId="0" borderId="50" xfId="154" applyFont="1" applyBorder="1"/>
    <xf numFmtId="0" fontId="2" fillId="0" borderId="50" xfId="154" applyBorder="1"/>
    <xf numFmtId="0" fontId="37" fillId="0" borderId="0" xfId="153" applyFont="1"/>
    <xf numFmtId="165" fontId="199" fillId="0" borderId="0" xfId="0" applyFont="1">
      <protection locked="0"/>
    </xf>
    <xf numFmtId="49" fontId="24" fillId="0" borderId="0" xfId="138" applyNumberFormat="1" applyFont="1"/>
    <xf numFmtId="165" fontId="200" fillId="0" borderId="0" xfId="0" applyFont="1" applyProtection="1">
      <protection hidden="1"/>
    </xf>
    <xf numFmtId="4" fontId="4" fillId="0" borderId="1" xfId="0" applyNumberFormat="1" applyFont="1" applyBorder="1" applyAlignment="1" applyProtection="1">
      <alignment horizontal="center"/>
    </xf>
    <xf numFmtId="165" fontId="201" fillId="0" borderId="0" xfId="0" applyFont="1" applyAlignment="1" applyProtection="1">
      <alignment horizontal="center"/>
    </xf>
    <xf numFmtId="165" fontId="201" fillId="0" borderId="0" xfId="0" applyFont="1" applyProtection="1"/>
    <xf numFmtId="165" fontId="202" fillId="0" borderId="0" xfId="0" applyFont="1" applyAlignment="1" applyProtection="1">
      <alignment horizontal="left" vertical="center"/>
    </xf>
    <xf numFmtId="165" fontId="201" fillId="0" borderId="0" xfId="0" applyFont="1" applyAlignment="1" applyProtection="1">
      <alignment horizontal="left"/>
    </xf>
    <xf numFmtId="0" fontId="203" fillId="0" borderId="0" xfId="0" applyNumberFormat="1" applyFont="1" applyAlignment="1" applyProtection="1">
      <alignment horizontal="center"/>
    </xf>
    <xf numFmtId="0" fontId="204" fillId="0" borderId="0" xfId="189" applyNumberFormat="1" applyFont="1" applyProtection="1"/>
    <xf numFmtId="171" fontId="20" fillId="0" borderId="0" xfId="0" quotePrefix="1" applyNumberFormat="1" applyFont="1" applyAlignment="1" applyProtection="1">
      <alignment horizontal="center"/>
    </xf>
    <xf numFmtId="165" fontId="205" fillId="0" borderId="0" xfId="189" applyFont="1" applyAlignment="1" applyProtection="1">
      <alignment horizontal="center"/>
    </xf>
    <xf numFmtId="0" fontId="201" fillId="0" borderId="0" xfId="0" applyNumberFormat="1" applyFont="1" applyProtection="1"/>
    <xf numFmtId="0" fontId="204" fillId="0" borderId="0" xfId="190" applyFont="1"/>
    <xf numFmtId="0" fontId="45" fillId="0" borderId="0" xfId="147" applyFont="1"/>
    <xf numFmtId="0" fontId="124" fillId="63" borderId="18" xfId="0" applyNumberFormat="1" applyFont="1" applyFill="1" applyBorder="1" applyAlignment="1" applyProtection="1">
      <alignment horizontal="left"/>
    </xf>
    <xf numFmtId="165" fontId="124" fillId="63" borderId="18" xfId="0" applyFont="1" applyFill="1" applyBorder="1" applyAlignment="1" applyProtection="1">
      <alignment horizontal="left"/>
    </xf>
    <xf numFmtId="0" fontId="204" fillId="0" borderId="0" xfId="135" applyFont="1" applyAlignment="1">
      <alignment horizontal="center"/>
    </xf>
    <xf numFmtId="165" fontId="206" fillId="0" borderId="0" xfId="0" applyFont="1" applyProtection="1"/>
    <xf numFmtId="165" fontId="208" fillId="0" borderId="0" xfId="0" applyFont="1" applyProtection="1"/>
    <xf numFmtId="49" fontId="154" fillId="0" borderId="0" xfId="0" applyNumberFormat="1" applyFont="1" applyAlignment="1" applyProtection="1">
      <alignment horizontal="left" vertical="center" wrapText="1"/>
    </xf>
    <xf numFmtId="0" fontId="72" fillId="58" borderId="0" xfId="158" applyFont="1" applyFill="1"/>
    <xf numFmtId="0" fontId="77" fillId="58" borderId="0" xfId="158" applyFont="1" applyFill="1"/>
    <xf numFmtId="176" fontId="24" fillId="0" borderId="0" xfId="148" applyNumberFormat="1" applyAlignment="1">
      <alignment horizontal="right"/>
    </xf>
    <xf numFmtId="176" fontId="24" fillId="0" borderId="0" xfId="148" applyNumberFormat="1"/>
    <xf numFmtId="176" fontId="24" fillId="0" borderId="1" xfId="148" applyNumberFormat="1" applyBorder="1" applyAlignment="1">
      <alignment horizontal="left"/>
    </xf>
    <xf numFmtId="176" fontId="24" fillId="0" borderId="1" xfId="148" applyNumberFormat="1" applyBorder="1" applyAlignment="1">
      <alignment horizontal="center"/>
    </xf>
    <xf numFmtId="176" fontId="24" fillId="0" borderId="8" xfId="148" applyNumberFormat="1" applyBorder="1" applyAlignment="1">
      <alignment horizontal="center"/>
    </xf>
    <xf numFmtId="0" fontId="209" fillId="0" borderId="0" xfId="0" applyNumberFormat="1" applyFont="1" applyProtection="1"/>
    <xf numFmtId="1" fontId="9" fillId="0" borderId="0" xfId="0" applyNumberFormat="1" applyFont="1" applyAlignment="1" applyProtection="1">
      <alignment horizontal="right"/>
    </xf>
    <xf numFmtId="164" fontId="9" fillId="0" borderId="50" xfId="170" applyFont="1" applyBorder="1"/>
    <xf numFmtId="164" fontId="9" fillId="61" borderId="7" xfId="170" applyFont="1" applyFill="1" applyBorder="1"/>
    <xf numFmtId="164" fontId="9" fillId="61" borderId="7" xfId="172" applyFont="1" applyFill="1"/>
    <xf numFmtId="178" fontId="24" fillId="19" borderId="8" xfId="134" applyNumberFormat="1" applyFont="1" applyFill="1" applyBorder="1"/>
    <xf numFmtId="178" fontId="24" fillId="0" borderId="8" xfId="134" applyNumberFormat="1" applyFont="1" applyBorder="1" applyProtection="1">
      <protection locked="0"/>
    </xf>
    <xf numFmtId="165" fontId="210" fillId="0" borderId="0" xfId="0" applyFont="1" applyProtection="1"/>
    <xf numFmtId="169" fontId="14" fillId="57" borderId="0" xfId="0" applyNumberFormat="1" applyFont="1" applyFill="1" applyProtection="1"/>
    <xf numFmtId="173" fontId="14" fillId="57" borderId="0" xfId="170" applyNumberFormat="1" applyFont="1" applyFill="1" applyProtection="1">
      <protection locked="0"/>
    </xf>
    <xf numFmtId="165" fontId="194" fillId="0" borderId="0" xfId="0" applyFont="1" applyProtection="1"/>
    <xf numFmtId="165" fontId="37" fillId="0" borderId="0" xfId="0" applyFont="1" applyAlignment="1" applyProtection="1">
      <alignment horizontal="center"/>
    </xf>
    <xf numFmtId="165" fontId="212" fillId="0" borderId="0" xfId="0" applyFont="1" applyProtection="1"/>
    <xf numFmtId="0" fontId="37" fillId="0" borderId="0" xfId="190" applyFont="1"/>
    <xf numFmtId="0" fontId="78" fillId="0" borderId="0" xfId="190" applyFont="1"/>
    <xf numFmtId="0" fontId="64" fillId="0" borderId="0" xfId="190" applyFont="1"/>
    <xf numFmtId="165" fontId="186" fillId="0" borderId="1" xfId="0" applyFont="1" applyBorder="1" applyAlignment="1">
      <alignment horizontal="center"/>
      <protection locked="0"/>
    </xf>
    <xf numFmtId="165" fontId="186" fillId="0" borderId="0" xfId="0" applyFont="1">
      <protection locked="0"/>
    </xf>
    <xf numFmtId="0" fontId="68" fillId="0" borderId="0" xfId="154" applyFont="1" applyAlignment="1">
      <alignment horizontal="center"/>
    </xf>
    <xf numFmtId="165" fontId="186" fillId="0" borderId="0" xfId="0" applyFont="1" applyAlignment="1">
      <alignment horizontal="center"/>
      <protection locked="0"/>
    </xf>
    <xf numFmtId="0" fontId="24" fillId="0" borderId="0" xfId="147" applyFont="1"/>
    <xf numFmtId="0" fontId="20" fillId="0" borderId="0" xfId="191" applyFont="1" applyAlignment="1">
      <alignment horizontal="center"/>
    </xf>
    <xf numFmtId="0" fontId="20" fillId="0" borderId="5" xfId="191" applyFont="1" applyBorder="1" applyAlignment="1">
      <alignment horizontal="center"/>
    </xf>
    <xf numFmtId="0" fontId="68" fillId="0" borderId="5" xfId="154" applyFont="1" applyBorder="1" applyAlignment="1">
      <alignment horizontal="left"/>
    </xf>
    <xf numFmtId="0" fontId="45" fillId="0" borderId="0" xfId="144" applyFont="1"/>
    <xf numFmtId="6" fontId="45" fillId="0" borderId="0" xfId="154" applyNumberFormat="1" applyFont="1" applyProtection="1">
      <protection locked="0"/>
    </xf>
    <xf numFmtId="173" fontId="14" fillId="24" borderId="0" xfId="170" applyNumberFormat="1" applyFont="1" applyFill="1"/>
    <xf numFmtId="173" fontId="213" fillId="24" borderId="0" xfId="170" applyNumberFormat="1" applyFont="1" applyFill="1"/>
    <xf numFmtId="0" fontId="45" fillId="0" borderId="1" xfId="154" applyFont="1" applyBorder="1" applyProtection="1">
      <protection locked="0"/>
    </xf>
    <xf numFmtId="165" fontId="0" fillId="0" borderId="1" xfId="0" applyBorder="1">
      <protection locked="0"/>
    </xf>
    <xf numFmtId="173" fontId="213" fillId="0" borderId="0" xfId="170" applyNumberFormat="1" applyFont="1" applyProtection="1">
      <protection locked="0"/>
    </xf>
    <xf numFmtId="0" fontId="22" fillId="0" borderId="1" xfId="154" applyFont="1" applyBorder="1" applyAlignment="1">
      <alignment horizontal="center"/>
    </xf>
    <xf numFmtId="49" fontId="24" fillId="0" borderId="0" xfId="0" quotePrefix="1" applyNumberFormat="1" applyFont="1" applyAlignment="1" applyProtection="1">
      <alignment horizontal="left"/>
    </xf>
    <xf numFmtId="49" fontId="24" fillId="0" borderId="0" xfId="0" applyNumberFormat="1" applyFont="1" applyProtection="1"/>
    <xf numFmtId="49" fontId="24" fillId="0" borderId="0" xfId="0" applyNumberFormat="1" applyFont="1" applyAlignment="1" applyProtection="1">
      <alignment horizontal="left"/>
    </xf>
    <xf numFmtId="0" fontId="50" fillId="0" borderId="0" xfId="154" applyFont="1" applyAlignment="1" applyProtection="1">
      <alignment vertical="center"/>
      <protection locked="0"/>
    </xf>
    <xf numFmtId="49" fontId="24" fillId="0" borderId="0" xfId="133" quotePrefix="1" applyNumberFormat="1" applyAlignment="1">
      <alignment horizontal="left"/>
    </xf>
    <xf numFmtId="49" fontId="24" fillId="0" borderId="0" xfId="133" quotePrefix="1" applyNumberFormat="1"/>
    <xf numFmtId="185" fontId="73" fillId="0" borderId="0" xfId="0" applyNumberFormat="1" applyFont="1" applyAlignment="1" applyProtection="1">
      <alignment horizontal="left"/>
      <protection hidden="1"/>
    </xf>
    <xf numFmtId="165" fontId="186" fillId="0" borderId="1" xfId="0" applyFont="1" applyBorder="1" applyAlignment="1">
      <alignment horizontal="left"/>
      <protection locked="0"/>
    </xf>
    <xf numFmtId="165" fontId="186" fillId="0" borderId="0" xfId="0" applyFont="1" applyAlignment="1">
      <alignment horizontal="left"/>
      <protection locked="0"/>
    </xf>
    <xf numFmtId="0" fontId="64" fillId="0" borderId="0" xfId="190" applyFont="1" applyAlignment="1">
      <alignment horizontal="left"/>
    </xf>
    <xf numFmtId="0" fontId="64" fillId="0" borderId="1" xfId="147" applyFont="1" applyBorder="1"/>
    <xf numFmtId="165" fontId="186" fillId="0" borderId="0" xfId="0" applyFont="1" applyAlignment="1">
      <alignment horizontal="right"/>
      <protection locked="0"/>
    </xf>
    <xf numFmtId="165" fontId="186" fillId="0" borderId="0" xfId="0" applyFont="1" applyAlignment="1" applyProtection="1">
      <alignment horizontal="center"/>
    </xf>
    <xf numFmtId="14" fontId="186" fillId="0" borderId="1" xfId="0" applyNumberFormat="1" applyFont="1" applyBorder="1" applyAlignment="1">
      <alignment horizontal="center"/>
      <protection locked="0"/>
    </xf>
    <xf numFmtId="40" fontId="118" fillId="0" borderId="48" xfId="188" applyNumberFormat="1" applyFont="1" applyFill="1" applyBorder="1"/>
    <xf numFmtId="165" fontId="154" fillId="0" borderId="0" xfId="0" applyFont="1" applyAlignment="1" applyProtection="1">
      <alignment horizontal="center"/>
    </xf>
    <xf numFmtId="173" fontId="9" fillId="0" borderId="8" xfId="172" applyNumberFormat="1" applyFont="1" applyBorder="1"/>
    <xf numFmtId="173" fontId="14" fillId="0" borderId="50" xfId="174" applyNumberFormat="1" applyFont="1" applyBorder="1"/>
    <xf numFmtId="173" fontId="9" fillId="0" borderId="8" xfId="174" applyNumberFormat="1" applyFont="1"/>
    <xf numFmtId="174" fontId="9" fillId="0" borderId="7" xfId="174" applyNumberFormat="1" applyFont="1" applyBorder="1"/>
    <xf numFmtId="165" fontId="20" fillId="57" borderId="0" xfId="0" applyFont="1" applyFill="1" applyAlignment="1" applyProtection="1">
      <alignment horizontal="center"/>
    </xf>
    <xf numFmtId="173" fontId="9" fillId="0" borderId="50" xfId="170" applyNumberFormat="1" applyFont="1" applyBorder="1"/>
    <xf numFmtId="174" fontId="9" fillId="0" borderId="7" xfId="170" applyNumberFormat="1" applyFont="1" applyBorder="1"/>
    <xf numFmtId="165" fontId="28" fillId="0" borderId="1" xfId="0" applyFont="1" applyBorder="1" applyProtection="1"/>
    <xf numFmtId="173" fontId="24" fillId="0" borderId="50" xfId="0" applyNumberFormat="1" applyFont="1" applyBorder="1" applyProtection="1"/>
    <xf numFmtId="175" fontId="14" fillId="0" borderId="1" xfId="0" applyNumberFormat="1" applyFont="1" applyBorder="1" applyAlignment="1" applyProtection="1">
      <alignment horizontal="left"/>
    </xf>
    <xf numFmtId="165" fontId="14" fillId="0" borderId="8" xfId="0" applyFont="1" applyBorder="1" applyProtection="1"/>
    <xf numFmtId="165" fontId="28" fillId="0" borderId="8" xfId="0" applyFont="1" applyBorder="1" applyProtection="1"/>
    <xf numFmtId="174" fontId="3" fillId="0" borderId="0" xfId="0" applyNumberFormat="1" applyFont="1" applyProtection="1"/>
    <xf numFmtId="173" fontId="3" fillId="0" borderId="0" xfId="0" applyNumberFormat="1" applyFont="1" applyProtection="1"/>
    <xf numFmtId="173" fontId="3" fillId="0" borderId="0" xfId="0" applyNumberFormat="1" applyFont="1">
      <protection locked="0"/>
    </xf>
    <xf numFmtId="173" fontId="3" fillId="19" borderId="0" xfId="0" applyNumberFormat="1" applyFont="1" applyFill="1" applyProtection="1"/>
    <xf numFmtId="174" fontId="3" fillId="0" borderId="7" xfId="0" applyNumberFormat="1" applyFont="1" applyBorder="1" applyProtection="1"/>
    <xf numFmtId="165" fontId="10" fillId="0" borderId="13" xfId="0" applyFont="1" applyBorder="1" applyAlignment="1" applyProtection="1">
      <alignment horizontal="center"/>
    </xf>
    <xf numFmtId="44" fontId="21" fillId="0" borderId="0" xfId="0" applyNumberFormat="1" applyFont="1" applyProtection="1"/>
    <xf numFmtId="165" fontId="10" fillId="0" borderId="0" xfId="0" applyFont="1" applyAlignment="1" applyProtection="1">
      <alignment horizontal="left"/>
    </xf>
    <xf numFmtId="165" fontId="16" fillId="0" borderId="50" xfId="0" applyFont="1" applyBorder="1" applyAlignment="1" applyProtection="1">
      <alignment horizontal="center"/>
    </xf>
    <xf numFmtId="173" fontId="9" fillId="0" borderId="1" xfId="0" applyNumberFormat="1" applyFont="1" applyBorder="1" applyProtection="1"/>
    <xf numFmtId="173" fontId="9" fillId="0" borderId="0" xfId="174" applyNumberFormat="1" applyFont="1" applyBorder="1"/>
    <xf numFmtId="174" fontId="9" fillId="0" borderId="0" xfId="174" applyNumberFormat="1" applyFont="1" applyBorder="1"/>
    <xf numFmtId="173" fontId="10" fillId="0" borderId="0" xfId="172" applyNumberFormat="1" applyFont="1" applyBorder="1" applyAlignment="1">
      <alignment horizontal="center"/>
    </xf>
    <xf numFmtId="0" fontId="4" fillId="16" borderId="0" xfId="170" applyNumberFormat="1" applyFont="1" applyFill="1" applyAlignment="1">
      <alignment horizontal="center"/>
    </xf>
    <xf numFmtId="0" fontId="4" fillId="24" borderId="0" xfId="170" applyNumberFormat="1" applyFont="1" applyFill="1" applyAlignment="1">
      <alignment horizontal="center"/>
    </xf>
    <xf numFmtId="172" fontId="9" fillId="0" borderId="0" xfId="0" applyNumberFormat="1" applyFont="1" applyProtection="1"/>
    <xf numFmtId="173" fontId="9" fillId="0" borderId="1" xfId="170" applyNumberFormat="1" applyFont="1" applyBorder="1"/>
    <xf numFmtId="173" fontId="14" fillId="0" borderId="50" xfId="170" applyNumberFormat="1" applyFont="1" applyBorder="1"/>
    <xf numFmtId="165" fontId="90" fillId="0" borderId="0" xfId="0" applyFont="1" applyAlignment="1" applyProtection="1">
      <alignment horizontal="center"/>
    </xf>
    <xf numFmtId="174" fontId="9" fillId="0" borderId="7" xfId="0" applyNumberFormat="1" applyFont="1" applyBorder="1" applyProtection="1"/>
    <xf numFmtId="176" fontId="24" fillId="0" borderId="0" xfId="143" applyNumberFormat="1"/>
    <xf numFmtId="176" fontId="24" fillId="0" borderId="0" xfId="143" applyNumberFormat="1" applyAlignment="1">
      <alignment horizontal="right"/>
    </xf>
    <xf numFmtId="0" fontId="45" fillId="0" borderId="0" xfId="154" applyFont="1" applyAlignment="1">
      <alignment horizontal="right"/>
    </xf>
    <xf numFmtId="0" fontId="45" fillId="0" borderId="0" xfId="143" applyFont="1"/>
    <xf numFmtId="0" fontId="45" fillId="0" borderId="8" xfId="154" applyFont="1" applyBorder="1" applyProtection="1">
      <protection locked="0"/>
    </xf>
    <xf numFmtId="6" fontId="45" fillId="0" borderId="0" xfId="154" applyNumberFormat="1" applyFont="1" applyAlignment="1" applyProtection="1">
      <alignment horizontal="left"/>
      <protection locked="0"/>
    </xf>
    <xf numFmtId="0" fontId="45" fillId="0" borderId="0" xfId="154" applyFont="1" applyAlignment="1" applyProtection="1">
      <alignment horizontal="left"/>
      <protection locked="0"/>
    </xf>
    <xf numFmtId="165" fontId="45" fillId="0" borderId="0" xfId="136" applyFont="1" applyProtection="1"/>
    <xf numFmtId="176" fontId="24" fillId="0" borderId="0" xfId="143" applyNumberFormat="1" applyProtection="1">
      <protection locked="0"/>
    </xf>
    <xf numFmtId="0" fontId="24" fillId="0" borderId="1" xfId="138" applyFont="1" applyBorder="1" applyAlignment="1">
      <alignment horizontal="center"/>
    </xf>
    <xf numFmtId="0" fontId="24" fillId="0" borderId="1" xfId="138" applyFont="1" applyBorder="1"/>
    <xf numFmtId="39" fontId="24" fillId="0" borderId="0" xfId="138" applyNumberFormat="1" applyFont="1"/>
    <xf numFmtId="39" fontId="24" fillId="0" borderId="50" xfId="138" applyNumberFormat="1" applyFont="1" applyBorder="1"/>
    <xf numFmtId="49" fontId="24" fillId="0" borderId="0" xfId="133" applyNumberFormat="1" applyAlignment="1">
      <alignment horizontal="left"/>
    </xf>
    <xf numFmtId="39" fontId="24" fillId="0" borderId="11" xfId="138" applyNumberFormat="1" applyFont="1" applyBorder="1"/>
    <xf numFmtId="49" fontId="24" fillId="0" borderId="0" xfId="133" applyNumberFormat="1" applyAlignment="1">
      <alignment horizontal="left" indent="1"/>
    </xf>
    <xf numFmtId="0" fontId="24" fillId="0" borderId="0" xfId="133"/>
    <xf numFmtId="0" fontId="24" fillId="57" borderId="0" xfId="140" applyFont="1" applyFill="1" applyAlignment="1">
      <alignment horizontal="left"/>
    </xf>
    <xf numFmtId="0" fontId="24" fillId="57" borderId="0" xfId="140" applyFont="1" applyFill="1" applyAlignment="1">
      <alignment horizontal="center"/>
    </xf>
    <xf numFmtId="0" fontId="24" fillId="57" borderId="0" xfId="140" applyFont="1" applyFill="1" applyAlignment="1">
      <alignment horizontal="right"/>
    </xf>
    <xf numFmtId="0" fontId="24" fillId="57" borderId="5" xfId="140" applyFont="1" applyFill="1" applyBorder="1" applyAlignment="1">
      <alignment horizontal="right"/>
    </xf>
    <xf numFmtId="0" fontId="17" fillId="57" borderId="0" xfId="140" applyFont="1" applyFill="1"/>
    <xf numFmtId="176" fontId="24" fillId="0" borderId="0" xfId="154" applyNumberFormat="1" applyFont="1" applyAlignment="1">
      <alignment horizontal="right"/>
    </xf>
    <xf numFmtId="1" fontId="45" fillId="0" borderId="0" xfId="154" applyNumberFormat="1" applyFont="1" applyAlignment="1">
      <alignment horizontal="center"/>
    </xf>
    <xf numFmtId="0" fontId="24" fillId="0" borderId="0" xfId="146" applyFont="1" applyAlignment="1">
      <alignment horizontal="center" shrinkToFit="1"/>
    </xf>
    <xf numFmtId="176" fontId="24" fillId="0" borderId="0" xfId="132" applyNumberFormat="1" applyAlignment="1">
      <alignment horizontal="center" shrinkToFit="1"/>
    </xf>
    <xf numFmtId="0" fontId="24" fillId="0" borderId="1" xfId="140" applyFont="1" applyBorder="1" applyAlignment="1">
      <alignment horizontal="left"/>
    </xf>
    <xf numFmtId="176" fontId="24" fillId="0" borderId="0" xfId="148" applyNumberFormat="1" applyAlignment="1">
      <alignment horizontal="left"/>
    </xf>
    <xf numFmtId="0" fontId="24" fillId="0" borderId="0" xfId="140" applyFont="1" applyAlignment="1">
      <alignment horizontal="left"/>
    </xf>
    <xf numFmtId="0" fontId="24" fillId="0" borderId="0" xfId="140" applyFont="1" applyAlignment="1">
      <alignment horizontal="center"/>
    </xf>
    <xf numFmtId="0" fontId="24" fillId="0" borderId="0" xfId="140" applyFont="1" applyAlignment="1">
      <alignment horizontal="right"/>
    </xf>
    <xf numFmtId="0" fontId="24" fillId="0" borderId="1" xfId="140" applyFont="1" applyBorder="1" applyAlignment="1">
      <alignment horizontal="center"/>
    </xf>
    <xf numFmtId="0" fontId="24" fillId="0" borderId="5" xfId="140" applyFont="1" applyBorder="1" applyAlignment="1">
      <alignment horizontal="right"/>
    </xf>
    <xf numFmtId="176" fontId="24" fillId="0" borderId="0" xfId="132" applyNumberFormat="1" applyAlignment="1">
      <alignment horizontal="right"/>
    </xf>
    <xf numFmtId="176" fontId="24" fillId="0" borderId="0" xfId="132" applyNumberFormat="1"/>
    <xf numFmtId="176" fontId="24" fillId="0" borderId="1" xfId="132" applyNumberFormat="1" applyBorder="1"/>
    <xf numFmtId="176" fontId="24" fillId="0" borderId="0" xfId="132" applyNumberFormat="1" applyAlignment="1">
      <alignment horizontal="center"/>
    </xf>
    <xf numFmtId="49" fontId="24" fillId="0" borderId="0" xfId="156" quotePrefix="1" applyNumberFormat="1" applyAlignment="1">
      <alignment horizontal="left"/>
    </xf>
    <xf numFmtId="0" fontId="24" fillId="0" borderId="0" xfId="156"/>
    <xf numFmtId="0" fontId="115" fillId="0" borderId="0" xfId="138" applyFont="1"/>
    <xf numFmtId="49" fontId="24" fillId="0" borderId="50" xfId="138" applyNumberFormat="1" applyFont="1" applyBorder="1"/>
    <xf numFmtId="49" fontId="24" fillId="0" borderId="21" xfId="156" applyNumberFormat="1" applyBorder="1"/>
    <xf numFmtId="49" fontId="24" fillId="0" borderId="50" xfId="156" applyNumberFormat="1" applyBorder="1"/>
    <xf numFmtId="49" fontId="24" fillId="0" borderId="51" xfId="156" applyNumberFormat="1" applyBorder="1"/>
    <xf numFmtId="49" fontId="24" fillId="0" borderId="21" xfId="156" quotePrefix="1" applyNumberFormat="1" applyBorder="1" applyAlignment="1">
      <alignment horizontal="left"/>
    </xf>
    <xf numFmtId="0" fontId="24" fillId="0" borderId="21" xfId="156" applyBorder="1"/>
    <xf numFmtId="0" fontId="24" fillId="0" borderId="0" xfId="150" applyFont="1"/>
    <xf numFmtId="0" fontId="3" fillId="0" borderId="5" xfId="150" applyFont="1" applyBorder="1"/>
    <xf numFmtId="0" fontId="3" fillId="0" borderId="0" xfId="150" applyFont="1"/>
    <xf numFmtId="0" fontId="50" fillId="0" borderId="50" xfId="154" applyFont="1" applyBorder="1" applyAlignment="1">
      <alignment vertical="center"/>
    </xf>
    <xf numFmtId="4" fontId="28" fillId="0" borderId="0" xfId="153" applyNumberFormat="1" applyFont="1" applyAlignment="1">
      <alignment horizontal="center"/>
    </xf>
    <xf numFmtId="0" fontId="4" fillId="0" borderId="0" xfId="153" applyFont="1" applyAlignment="1">
      <alignment horizontal="center"/>
    </xf>
    <xf numFmtId="0" fontId="20" fillId="0" borderId="0" xfId="153" applyFont="1" applyAlignment="1">
      <alignment horizontal="center"/>
    </xf>
    <xf numFmtId="4" fontId="45" fillId="0" borderId="1" xfId="0" applyNumberFormat="1" applyFont="1" applyBorder="1" applyAlignment="1" applyProtection="1">
      <alignment horizontal="center"/>
    </xf>
    <xf numFmtId="4" fontId="28" fillId="0" borderId="0" xfId="0" applyNumberFormat="1" applyFont="1" applyAlignment="1" applyProtection="1">
      <alignment horizontal="center"/>
    </xf>
    <xf numFmtId="165" fontId="28" fillId="0" borderId="1" xfId="0" applyFont="1" applyBorder="1" applyAlignment="1" applyProtection="1">
      <alignment horizontal="center"/>
    </xf>
    <xf numFmtId="171" fontId="28" fillId="0" borderId="1" xfId="0" applyNumberFormat="1" applyFont="1" applyBorder="1" applyAlignment="1" applyProtection="1">
      <alignment horizontal="center"/>
    </xf>
    <xf numFmtId="164" fontId="9" fillId="0" borderId="50" xfId="174" applyFont="1" applyBorder="1"/>
    <xf numFmtId="37" fontId="9" fillId="0" borderId="50" xfId="174" applyNumberFormat="1" applyFont="1" applyBorder="1"/>
    <xf numFmtId="37" fontId="9" fillId="0" borderId="50" xfId="170" applyNumberFormat="1" applyFont="1" applyBorder="1"/>
    <xf numFmtId="165" fontId="194" fillId="58" borderId="0" xfId="0" applyFont="1" applyFill="1" applyProtection="1"/>
    <xf numFmtId="165" fontId="24" fillId="58" borderId="0" xfId="0" applyFont="1" applyFill="1" applyProtection="1"/>
    <xf numFmtId="0" fontId="14" fillId="58" borderId="0" xfId="153" applyFont="1" applyFill="1" applyAlignment="1">
      <alignment horizontal="center"/>
    </xf>
    <xf numFmtId="14" fontId="14" fillId="58" borderId="0" xfId="0" applyNumberFormat="1" applyFont="1" applyFill="1" applyAlignment="1" applyProtection="1">
      <alignment horizontal="center"/>
    </xf>
    <xf numFmtId="186" fontId="9" fillId="0" borderId="0" xfId="0" applyNumberFormat="1" applyFont="1" applyProtection="1"/>
    <xf numFmtId="39" fontId="9" fillId="0" borderId="8" xfId="170" applyNumberFormat="1" applyFont="1" applyBorder="1"/>
    <xf numFmtId="39" fontId="9" fillId="0" borderId="8" xfId="172" applyNumberFormat="1" applyFont="1" applyBorder="1"/>
    <xf numFmtId="186" fontId="9" fillId="0" borderId="8" xfId="172" applyNumberFormat="1" applyFont="1" applyBorder="1"/>
    <xf numFmtId="186" fontId="9" fillId="0" borderId="8" xfId="0" applyNumberFormat="1" applyFont="1" applyBorder="1" applyProtection="1"/>
    <xf numFmtId="164" fontId="9" fillId="61" borderId="8" xfId="172" applyFont="1" applyFill="1" applyBorder="1"/>
    <xf numFmtId="164" fontId="9" fillId="61" borderId="8" xfId="170" applyFont="1" applyFill="1" applyBorder="1"/>
    <xf numFmtId="164" fontId="9" fillId="58" borderId="7" xfId="170" applyFont="1" applyFill="1" applyBorder="1"/>
    <xf numFmtId="164" fontId="9" fillId="58" borderId="0" xfId="170" applyFont="1" applyFill="1"/>
    <xf numFmtId="164" fontId="9" fillId="64" borderId="0" xfId="170" applyFont="1" applyFill="1"/>
    <xf numFmtId="164" fontId="9" fillId="0" borderId="1" xfId="170" applyFont="1" applyBorder="1"/>
    <xf numFmtId="164" fontId="9" fillId="61" borderId="50" xfId="170" applyFont="1" applyFill="1" applyBorder="1"/>
    <xf numFmtId="164" fontId="9" fillId="61" borderId="0" xfId="0" applyNumberFormat="1" applyFont="1" applyFill="1" applyAlignment="1" applyProtection="1">
      <alignment horizontal="right"/>
    </xf>
    <xf numFmtId="164" fontId="9" fillId="61" borderId="0" xfId="170" applyFont="1" applyFill="1"/>
    <xf numFmtId="173" fontId="3" fillId="0" borderId="0" xfId="128" applyNumberFormat="1" applyFont="1"/>
    <xf numFmtId="4" fontId="3" fillId="0" borderId="7" xfId="153" applyNumberFormat="1" applyFont="1" applyBorder="1"/>
    <xf numFmtId="186" fontId="0" fillId="0" borderId="0" xfId="0" applyNumberFormat="1" applyProtection="1"/>
    <xf numFmtId="174" fontId="3" fillId="0" borderId="0" xfId="0" applyNumberFormat="1" applyFont="1">
      <protection locked="0"/>
    </xf>
    <xf numFmtId="165" fontId="105" fillId="0" borderId="0" xfId="0" applyFont="1" applyProtection="1"/>
    <xf numFmtId="165" fontId="0" fillId="0" borderId="0" xfId="0" applyAlignment="1" applyProtection="1">
      <alignment horizontal="left" vertical="center"/>
    </xf>
    <xf numFmtId="14" fontId="186" fillId="0" borderId="0" xfId="0" applyNumberFormat="1" applyFont="1" applyAlignment="1">
      <alignment horizontal="center"/>
      <protection locked="0"/>
    </xf>
    <xf numFmtId="178" fontId="64" fillId="0" borderId="0" xfId="67" applyNumberFormat="1" applyFont="1" applyBorder="1" applyProtection="1"/>
    <xf numFmtId="178" fontId="64" fillId="0" borderId="0" xfId="67" applyNumberFormat="1" applyFont="1" applyBorder="1" applyAlignment="1" applyProtection="1">
      <alignment horizontal="right"/>
    </xf>
    <xf numFmtId="39" fontId="20" fillId="0" borderId="0" xfId="0" applyNumberFormat="1" applyFont="1" applyProtection="1"/>
    <xf numFmtId="165" fontId="20" fillId="0" borderId="0" xfId="0" applyFont="1" applyAlignment="1" applyProtection="1">
      <alignment horizontal="right"/>
    </xf>
    <xf numFmtId="165" fontId="24" fillId="0" borderId="0" xfId="0" applyFont="1" applyAlignment="1" applyProtection="1">
      <alignment horizontal="right"/>
    </xf>
    <xf numFmtId="165" fontId="186" fillId="0" borderId="0" xfId="0" applyFont="1" applyProtection="1"/>
    <xf numFmtId="165" fontId="186" fillId="0" borderId="0" xfId="0" applyFont="1" applyAlignment="1" applyProtection="1">
      <alignment horizontal="right"/>
    </xf>
    <xf numFmtId="165" fontId="186" fillId="0" borderId="0" xfId="0" applyFont="1" applyAlignment="1" applyProtection="1">
      <alignment vertical="center"/>
    </xf>
    <xf numFmtId="15" fontId="186" fillId="0" borderId="0" xfId="0" quotePrefix="1" applyNumberFormat="1" applyFont="1" applyAlignment="1" applyProtection="1">
      <alignment horizontal="center"/>
    </xf>
    <xf numFmtId="165" fontId="186" fillId="0" borderId="0" xfId="0" applyFont="1" applyAlignment="1" applyProtection="1">
      <alignment vertical="center" wrapText="1"/>
    </xf>
    <xf numFmtId="165" fontId="187" fillId="0" borderId="0" xfId="0" applyFont="1" applyProtection="1"/>
    <xf numFmtId="165" fontId="187" fillId="0" borderId="0" xfId="0" applyFont="1" applyAlignment="1" applyProtection="1">
      <alignment horizontal="right"/>
    </xf>
    <xf numFmtId="43" fontId="187" fillId="0" borderId="0" xfId="0" applyNumberFormat="1" applyFont="1" applyProtection="1"/>
    <xf numFmtId="187" fontId="186" fillId="0" borderId="0" xfId="0" applyNumberFormat="1" applyFont="1" applyAlignment="1" applyProtection="1">
      <alignment horizontal="center"/>
    </xf>
    <xf numFmtId="43" fontId="186" fillId="0" borderId="0" xfId="0" applyNumberFormat="1" applyFont="1" applyAlignment="1" applyProtection="1">
      <alignment horizontal="center"/>
    </xf>
    <xf numFmtId="42" fontId="186" fillId="0" borderId="50" xfId="0" quotePrefix="1" applyNumberFormat="1" applyFont="1" applyBorder="1" applyAlignment="1" applyProtection="1">
      <alignment horizontal="center"/>
    </xf>
    <xf numFmtId="42" fontId="187" fillId="0" borderId="0" xfId="0" quotePrefix="1" applyNumberFormat="1" applyFont="1" applyAlignment="1" applyProtection="1">
      <alignment horizontal="center"/>
    </xf>
    <xf numFmtId="43" fontId="186" fillId="0" borderId="50" xfId="0" applyNumberFormat="1" applyFont="1" applyBorder="1" applyAlignment="1" applyProtection="1">
      <alignment horizontal="center"/>
    </xf>
    <xf numFmtId="42" fontId="186" fillId="0" borderId="0" xfId="0" quotePrefix="1" applyNumberFormat="1" applyFont="1" applyAlignment="1" applyProtection="1">
      <alignment horizontal="center"/>
    </xf>
    <xf numFmtId="165" fontId="186" fillId="0" borderId="0" xfId="0" quotePrefix="1" applyFont="1" applyAlignment="1" applyProtection="1">
      <alignment horizontal="right"/>
    </xf>
    <xf numFmtId="165" fontId="186" fillId="0" borderId="0" xfId="0" applyFont="1" applyAlignment="1" applyProtection="1">
      <alignment horizontal="left"/>
    </xf>
    <xf numFmtId="39" fontId="24" fillId="0" borderId="0" xfId="0" applyNumberFormat="1" applyFont="1" applyProtection="1"/>
    <xf numFmtId="0" fontId="218" fillId="58" borderId="0" xfId="0" applyNumberFormat="1" applyFont="1" applyFill="1" applyProtection="1"/>
    <xf numFmtId="169" fontId="14" fillId="58" borderId="0" xfId="0" applyNumberFormat="1" applyFont="1" applyFill="1" applyProtection="1"/>
    <xf numFmtId="169" fontId="14" fillId="58" borderId="0" xfId="0" applyNumberFormat="1" applyFont="1" applyFill="1" applyAlignment="1" applyProtection="1">
      <alignment horizontal="left"/>
    </xf>
    <xf numFmtId="165" fontId="24" fillId="0" borderId="0" xfId="0" applyFont="1" applyAlignment="1" applyProtection="1">
      <alignment horizontal="left" vertical="top" wrapText="1"/>
    </xf>
    <xf numFmtId="165" fontId="186" fillId="0" borderId="0" xfId="0" applyFont="1" applyAlignment="1" applyProtection="1">
      <alignment horizontal="center" vertical="center" wrapText="1"/>
    </xf>
    <xf numFmtId="165" fontId="137" fillId="0" borderId="0" xfId="0" applyFont="1" applyAlignment="1">
      <alignment horizontal="center"/>
      <protection locked="0"/>
    </xf>
    <xf numFmtId="165" fontId="45" fillId="0" borderId="0" xfId="0" applyFont="1">
      <protection locked="0"/>
    </xf>
    <xf numFmtId="165" fontId="186" fillId="0" borderId="1" xfId="0" applyFont="1" applyBorder="1" applyAlignment="1" applyProtection="1">
      <alignment horizontal="center" vertical="center" wrapText="1"/>
    </xf>
    <xf numFmtId="173" fontId="0" fillId="19" borderId="0" xfId="0" applyNumberFormat="1" applyFill="1" applyProtection="1"/>
    <xf numFmtId="178" fontId="24" fillId="19" borderId="0" xfId="135" applyNumberFormat="1" applyFont="1" applyFill="1"/>
    <xf numFmtId="165" fontId="140" fillId="0" borderId="0" xfId="0" applyFont="1" applyProtection="1"/>
    <xf numFmtId="165" fontId="139" fillId="0" borderId="0" xfId="0" applyFont="1" applyProtection="1"/>
    <xf numFmtId="165" fontId="204" fillId="20" borderId="0" xfId="0" applyFont="1" applyFill="1" applyAlignment="1" applyProtection="1">
      <alignment horizontal="center" wrapText="1"/>
    </xf>
    <xf numFmtId="165" fontId="20" fillId="0" borderId="0" xfId="0" applyFont="1" applyAlignment="1" applyProtection="1">
      <alignment horizontal="center" wrapText="1"/>
    </xf>
    <xf numFmtId="165" fontId="204" fillId="0" borderId="0" xfId="0" applyFont="1" applyAlignment="1" applyProtection="1">
      <alignment horizontal="center"/>
    </xf>
    <xf numFmtId="165" fontId="204" fillId="20" borderId="0" xfId="0" applyFont="1" applyFill="1" applyAlignment="1" applyProtection="1">
      <alignment horizontal="left" wrapText="1"/>
    </xf>
    <xf numFmtId="165" fontId="186" fillId="0" borderId="0" xfId="0" applyFont="1" applyAlignment="1" applyProtection="1">
      <alignment horizontal="center" vertical="center"/>
    </xf>
    <xf numFmtId="15" fontId="186" fillId="0" borderId="1" xfId="0" quotePrefix="1" applyNumberFormat="1" applyFont="1" applyBorder="1" applyAlignment="1" applyProtection="1">
      <alignment horizontal="center" wrapText="1"/>
    </xf>
    <xf numFmtId="43" fontId="187" fillId="0" borderId="0" xfId="0" applyNumberFormat="1" applyFont="1">
      <protection locked="0"/>
    </xf>
    <xf numFmtId="165" fontId="187" fillId="0" borderId="0" xfId="0" applyFont="1">
      <protection locked="0"/>
    </xf>
    <xf numFmtId="188" fontId="2" fillId="0" borderId="1" xfId="154" applyNumberFormat="1" applyBorder="1" applyAlignment="1" applyProtection="1">
      <alignment horizontal="center"/>
      <protection locked="0"/>
    </xf>
    <xf numFmtId="0" fontId="75" fillId="0" borderId="19" xfId="97" applyFont="1" applyBorder="1" applyAlignment="1" applyProtection="1"/>
    <xf numFmtId="0" fontId="75" fillId="0" borderId="8" xfId="97" applyFont="1" applyBorder="1" applyAlignment="1" applyProtection="1"/>
    <xf numFmtId="0" fontId="75" fillId="0" borderId="24" xfId="97" applyFont="1" applyBorder="1" applyAlignment="1" applyProtection="1"/>
    <xf numFmtId="0" fontId="77" fillId="0" borderId="18" xfId="158" applyFont="1" applyBorder="1" applyAlignment="1">
      <alignment horizontal="center"/>
    </xf>
    <xf numFmtId="0" fontId="72" fillId="0" borderId="0" xfId="158" applyFont="1" applyAlignment="1">
      <alignment horizontal="center"/>
    </xf>
    <xf numFmtId="165" fontId="137" fillId="0" borderId="5" xfId="0" applyFont="1" applyBorder="1" applyAlignment="1" applyProtection="1">
      <alignment horizontal="center"/>
    </xf>
    <xf numFmtId="165" fontId="17" fillId="0" borderId="0" xfId="0" applyFont="1" applyAlignment="1" applyProtection="1">
      <alignment horizontal="center"/>
    </xf>
    <xf numFmtId="0" fontId="128" fillId="20" borderId="0" xfId="154" applyFont="1" applyFill="1" applyAlignment="1">
      <alignment horizontal="left"/>
    </xf>
    <xf numFmtId="0" fontId="2" fillId="0" borderId="1" xfId="154" applyBorder="1" applyAlignment="1" applyProtection="1">
      <alignment horizontal="center"/>
      <protection locked="0"/>
    </xf>
    <xf numFmtId="0" fontId="50" fillId="0" borderId="0" xfId="154" applyFont="1" applyAlignment="1" applyProtection="1">
      <alignment horizontal="center" vertical="center"/>
      <protection locked="0"/>
    </xf>
    <xf numFmtId="0" fontId="53" fillId="0" borderId="0" xfId="154" applyFont="1" applyAlignment="1">
      <alignment horizontal="center"/>
    </xf>
    <xf numFmtId="176" fontId="49" fillId="0" borderId="0" xfId="143" applyNumberFormat="1" applyFont="1" applyAlignment="1">
      <alignment horizontal="center"/>
    </xf>
    <xf numFmtId="0" fontId="128" fillId="20" borderId="0" xfId="154" applyFont="1" applyFill="1" applyAlignment="1" applyProtection="1">
      <alignment horizontal="left"/>
      <protection locked="0"/>
    </xf>
    <xf numFmtId="176" fontId="20" fillId="0" borderId="0" xfId="144" applyNumberFormat="1" applyFont="1" applyAlignment="1">
      <alignment horizontal="center"/>
    </xf>
    <xf numFmtId="0" fontId="153" fillId="20" borderId="0" xfId="154" applyFont="1" applyFill="1" applyAlignment="1" applyProtection="1">
      <alignment horizontal="left"/>
      <protection locked="0"/>
    </xf>
    <xf numFmtId="165" fontId="151" fillId="0" borderId="0" xfId="0" applyFont="1">
      <protection locked="0"/>
    </xf>
    <xf numFmtId="165" fontId="45" fillId="0" borderId="0" xfId="0" applyFont="1" applyProtection="1"/>
    <xf numFmtId="176" fontId="24" fillId="0" borderId="0" xfId="144" applyNumberFormat="1"/>
    <xf numFmtId="0" fontId="45" fillId="0" borderId="0" xfId="131" applyFont="1" applyAlignment="1">
      <alignment horizontal="left"/>
    </xf>
    <xf numFmtId="0" fontId="45" fillId="0" borderId="0" xfId="131" applyFont="1"/>
    <xf numFmtId="0" fontId="50" fillId="0" borderId="0" xfId="154" applyFont="1" applyAlignment="1">
      <alignment horizontal="center" vertical="center"/>
    </xf>
    <xf numFmtId="0" fontId="24" fillId="0" borderId="0" xfId="138" applyFont="1" applyAlignment="1">
      <alignment horizontal="left"/>
    </xf>
    <xf numFmtId="0" fontId="7" fillId="57" borderId="0" xfId="140" applyFont="1" applyFill="1" applyAlignment="1">
      <alignment horizontal="center"/>
    </xf>
    <xf numFmtId="0" fontId="104" fillId="58" borderId="0" xfId="154" applyFont="1" applyFill="1" applyAlignment="1">
      <alignment horizontal="center" wrapText="1"/>
    </xf>
    <xf numFmtId="165" fontId="186" fillId="0" borderId="1" xfId="0" applyFont="1" applyBorder="1" applyAlignment="1" applyProtection="1">
      <alignment horizontal="center" wrapText="1"/>
    </xf>
    <xf numFmtId="174" fontId="24" fillId="0" borderId="0" xfId="154" applyNumberFormat="1" applyFont="1" applyAlignment="1">
      <alignment horizontal="center"/>
    </xf>
    <xf numFmtId="0" fontId="63" fillId="0" borderId="0" xfId="97" applyFont="1" applyAlignment="1" applyProtection="1">
      <alignment vertical="center"/>
    </xf>
    <xf numFmtId="0" fontId="7" fillId="0" borderId="0" xfId="140" applyFont="1" applyAlignment="1">
      <alignment horizontal="center"/>
    </xf>
    <xf numFmtId="49" fontId="24" fillId="0" borderId="0" xfId="156" applyNumberFormat="1"/>
    <xf numFmtId="165" fontId="82" fillId="21" borderId="0" xfId="0" applyFont="1" applyFill="1" applyAlignment="1" applyProtection="1">
      <alignment horizontal="left"/>
    </xf>
    <xf numFmtId="0" fontId="24" fillId="0" borderId="0" xfId="137" applyFont="1" applyProtection="1">
      <protection hidden="1"/>
    </xf>
    <xf numFmtId="0" fontId="56" fillId="0" borderId="0" xfId="145" applyFont="1" applyAlignment="1">
      <alignment horizontal="center"/>
    </xf>
    <xf numFmtId="0" fontId="56" fillId="0" borderId="1" xfId="145" applyFont="1" applyBorder="1" applyAlignment="1">
      <alignment horizontal="center"/>
    </xf>
    <xf numFmtId="0" fontId="7" fillId="0" borderId="0" xfId="154" applyFont="1" applyAlignment="1">
      <alignment horizontal="center"/>
    </xf>
    <xf numFmtId="0" fontId="24" fillId="0" borderId="1" xfId="154" applyFont="1" applyBorder="1" applyAlignment="1">
      <alignment horizontal="center" shrinkToFit="1"/>
    </xf>
    <xf numFmtId="0" fontId="24" fillId="0" borderId="0" xfId="157"/>
    <xf numFmtId="178" fontId="24" fillId="0" borderId="0" xfId="157" applyNumberFormat="1" applyProtection="1">
      <protection locked="0"/>
    </xf>
    <xf numFmtId="0" fontId="69" fillId="0" borderId="5" xfId="154" applyFont="1" applyBorder="1" applyAlignment="1">
      <alignment horizontal="center"/>
    </xf>
    <xf numFmtId="0" fontId="24" fillId="0" borderId="0" xfId="154" applyFont="1" applyAlignment="1">
      <alignment horizontal="center" shrinkToFit="1"/>
    </xf>
    <xf numFmtId="0" fontId="24" fillId="0" borderId="1" xfId="154" applyFont="1" applyBorder="1" applyAlignment="1">
      <alignment horizontal="left" shrinkToFit="1"/>
    </xf>
    <xf numFmtId="0" fontId="52" fillId="0" borderId="8" xfId="138" applyFont="1" applyBorder="1" applyProtection="1">
      <protection locked="0"/>
    </xf>
    <xf numFmtId="164" fontId="10" fillId="0" borderId="0" xfId="172" applyFont="1" applyBorder="1" applyAlignment="1">
      <alignment horizontal="center"/>
    </xf>
    <xf numFmtId="165" fontId="24" fillId="0" borderId="0" xfId="0" applyFont="1" applyAlignment="1" applyProtection="1">
      <alignment horizontal="left" vertical="center" indent="1"/>
    </xf>
    <xf numFmtId="43" fontId="186" fillId="0" borderId="1" xfId="0" applyNumberFormat="1" applyFont="1" applyBorder="1" applyAlignment="1">
      <alignment horizontal="center"/>
      <protection locked="0"/>
    </xf>
    <xf numFmtId="43" fontId="186" fillId="0" borderId="0" xfId="0" applyNumberFormat="1" applyFont="1" applyAlignment="1" applyProtection="1">
      <alignment horizontal="right"/>
    </xf>
    <xf numFmtId="43" fontId="186" fillId="0" borderId="0" xfId="0" applyNumberFormat="1" applyFont="1" applyProtection="1"/>
    <xf numFmtId="43" fontId="186" fillId="0" borderId="1" xfId="0" quotePrefix="1" applyNumberFormat="1" applyFont="1" applyBorder="1" applyAlignment="1">
      <alignment horizontal="center"/>
      <protection locked="0"/>
    </xf>
    <xf numFmtId="43" fontId="186" fillId="0" borderId="0" xfId="0" quotePrefix="1" applyNumberFormat="1" applyFont="1" applyAlignment="1" applyProtection="1">
      <alignment horizontal="center"/>
    </xf>
    <xf numFmtId="43" fontId="186" fillId="0" borderId="1" xfId="179" quotePrefix="1" applyNumberFormat="1" applyFont="1" applyBorder="1" applyAlignment="1" applyProtection="1">
      <alignment horizontal="center"/>
      <protection locked="0"/>
    </xf>
    <xf numFmtId="43" fontId="217" fillId="0" borderId="1" xfId="0" applyNumberFormat="1" applyFont="1" applyBorder="1" applyAlignment="1">
      <alignment horizontal="center"/>
      <protection locked="0"/>
    </xf>
    <xf numFmtId="43" fontId="186" fillId="0" borderId="11" xfId="0" applyNumberFormat="1" applyFont="1" applyBorder="1" applyAlignment="1" applyProtection="1">
      <alignment horizontal="center"/>
    </xf>
    <xf numFmtId="43" fontId="24" fillId="0" borderId="0" xfId="0" applyNumberFormat="1" applyFont="1" applyProtection="1"/>
    <xf numFmtId="43" fontId="24" fillId="0" borderId="0" xfId="0" applyNumberFormat="1" applyFont="1" applyAlignment="1" applyProtection="1">
      <alignment horizontal="right"/>
    </xf>
    <xf numFmtId="165" fontId="154" fillId="0" borderId="0" xfId="0" quotePrefix="1" applyFont="1" applyAlignment="1" applyProtection="1">
      <alignment horizontal="center"/>
    </xf>
    <xf numFmtId="14" fontId="154" fillId="0" borderId="0" xfId="0" applyNumberFormat="1" applyFont="1" applyAlignment="1" applyProtection="1">
      <alignment horizontal="left" vertical="center" wrapText="1"/>
    </xf>
    <xf numFmtId="165" fontId="154" fillId="0" borderId="0" xfId="0" quotePrefix="1" applyFont="1" applyAlignment="1" applyProtection="1">
      <alignment horizontal="center" wrapText="1"/>
    </xf>
    <xf numFmtId="165" fontId="204" fillId="0" borderId="0" xfId="0" applyFont="1" applyAlignment="1" applyProtection="1">
      <alignment horizontal="left" wrapText="1"/>
    </xf>
    <xf numFmtId="0" fontId="75" fillId="0" borderId="19" xfId="97" applyFont="1" applyBorder="1" applyAlignment="1" applyProtection="1"/>
    <xf numFmtId="165" fontId="75" fillId="0" borderId="8" xfId="97" applyNumberFormat="1" applyFont="1" applyBorder="1" applyAlignment="1">
      <protection locked="0"/>
    </xf>
    <xf numFmtId="165" fontId="75" fillId="0" borderId="24" xfId="97" applyNumberFormat="1" applyFont="1" applyBorder="1" applyAlignment="1">
      <protection locked="0"/>
    </xf>
    <xf numFmtId="0" fontId="75" fillId="0" borderId="8" xfId="97" applyFont="1" applyBorder="1" applyAlignment="1" applyProtection="1"/>
    <xf numFmtId="0" fontId="75" fillId="0" borderId="24" xfId="97" applyFont="1" applyBorder="1" applyAlignment="1" applyProtection="1"/>
    <xf numFmtId="0" fontId="75" fillId="0" borderId="18" xfId="97" applyFont="1" applyBorder="1" applyAlignment="1" applyProtection="1"/>
    <xf numFmtId="0" fontId="149" fillId="0" borderId="18" xfId="97" applyFont="1" applyBorder="1" applyAlignment="1" applyProtection="1"/>
    <xf numFmtId="0" fontId="75" fillId="0" borderId="19" xfId="97" applyFont="1" applyBorder="1" applyAlignment="1" applyProtection="1">
      <alignment horizontal="left"/>
    </xf>
    <xf numFmtId="0" fontId="75" fillId="0" borderId="8" xfId="97" applyFont="1" applyBorder="1" applyAlignment="1" applyProtection="1">
      <alignment horizontal="left"/>
    </xf>
    <xf numFmtId="0" fontId="75" fillId="0" borderId="24" xfId="97" applyFont="1" applyBorder="1" applyAlignment="1" applyProtection="1">
      <alignment horizontal="left"/>
    </xf>
    <xf numFmtId="0" fontId="73" fillId="0" borderId="19" xfId="158" applyFont="1" applyBorder="1"/>
    <xf numFmtId="0" fontId="73" fillId="0" borderId="8" xfId="158" applyFont="1" applyBorder="1"/>
    <xf numFmtId="0" fontId="75" fillId="0" borderId="19" xfId="97" applyFont="1" applyBorder="1" applyAlignment="1" applyProtection="1">
      <alignment wrapText="1"/>
    </xf>
    <xf numFmtId="0" fontId="75" fillId="0" borderId="8" xfId="97" applyFont="1" applyBorder="1" applyAlignment="1" applyProtection="1">
      <alignment wrapText="1"/>
    </xf>
    <xf numFmtId="0" fontId="75" fillId="0" borderId="24" xfId="97" applyFont="1" applyBorder="1" applyAlignment="1" applyProtection="1">
      <alignment wrapText="1"/>
    </xf>
    <xf numFmtId="177" fontId="75" fillId="0" borderId="18" xfId="158" applyNumberFormat="1" applyFont="1" applyBorder="1" applyAlignment="1" applyProtection="1">
      <alignment horizontal="center"/>
      <protection locked="0"/>
    </xf>
    <xf numFmtId="0" fontId="77" fillId="0" borderId="18" xfId="158" applyFont="1" applyBorder="1" applyAlignment="1">
      <alignment horizontal="center"/>
    </xf>
    <xf numFmtId="165" fontId="73" fillId="0" borderId="0" xfId="0" applyFont="1" applyAlignment="1" applyProtection="1">
      <alignment horizontal="center"/>
      <protection hidden="1"/>
    </xf>
    <xf numFmtId="15" fontId="73" fillId="0" borderId="0" xfId="154" applyNumberFormat="1" applyFont="1" applyAlignment="1">
      <alignment horizontal="center"/>
    </xf>
    <xf numFmtId="0" fontId="72" fillId="0" borderId="0" xfId="158" applyFont="1" applyAlignment="1">
      <alignment horizontal="center"/>
    </xf>
    <xf numFmtId="177" fontId="75" fillId="0" borderId="18" xfId="158" applyNumberFormat="1" applyFont="1" applyBorder="1" applyAlignment="1" applyProtection="1">
      <alignment horizontal="center"/>
      <protection hidden="1"/>
    </xf>
    <xf numFmtId="0" fontId="103" fillId="0" borderId="0" xfId="0" applyNumberFormat="1" applyFont="1" applyAlignment="1" applyProtection="1">
      <alignment horizontal="center"/>
      <protection hidden="1"/>
    </xf>
    <xf numFmtId="0" fontId="73" fillId="0" borderId="0" xfId="158" applyFont="1" applyAlignment="1">
      <alignment wrapText="1"/>
    </xf>
    <xf numFmtId="14" fontId="119" fillId="0" borderId="0" xfId="158" applyNumberFormat="1" applyFont="1" applyAlignment="1">
      <alignment horizontal="center"/>
    </xf>
    <xf numFmtId="165" fontId="137" fillId="0" borderId="5" xfId="0" applyFont="1" applyBorder="1" applyAlignment="1" applyProtection="1">
      <alignment horizontal="center"/>
    </xf>
    <xf numFmtId="176" fontId="93" fillId="0" borderId="0" xfId="97" applyNumberFormat="1" applyFont="1" applyAlignment="1" applyProtection="1">
      <alignment horizontal="center"/>
    </xf>
    <xf numFmtId="165" fontId="32" fillId="0" borderId="0" xfId="0" applyFont="1" applyAlignment="1" applyProtection="1">
      <alignment horizontal="center"/>
    </xf>
    <xf numFmtId="165" fontId="42" fillId="0" borderId="0" xfId="0" applyFont="1" applyAlignment="1" applyProtection="1">
      <alignment horizontal="center"/>
    </xf>
    <xf numFmtId="165" fontId="42" fillId="0" borderId="0" xfId="0" applyFont="1" applyAlignment="1" applyProtection="1">
      <alignment horizontal="left"/>
    </xf>
    <xf numFmtId="165" fontId="17" fillId="0" borderId="0" xfId="0" applyFont="1" applyAlignment="1" applyProtection="1">
      <alignment horizontal="center"/>
    </xf>
    <xf numFmtId="0" fontId="45" fillId="0" borderId="8" xfId="154" applyFont="1" applyBorder="1" applyAlignment="1" applyProtection="1">
      <alignment horizontal="left"/>
      <protection locked="0"/>
    </xf>
    <xf numFmtId="165" fontId="127" fillId="20" borderId="0" xfId="0" applyFont="1" applyFill="1" applyProtection="1"/>
    <xf numFmtId="165" fontId="0" fillId="0" borderId="0" xfId="0" applyProtection="1"/>
    <xf numFmtId="0" fontId="128" fillId="20" borderId="0" xfId="154" applyFont="1" applyFill="1" applyAlignment="1">
      <alignment horizontal="left"/>
    </xf>
    <xf numFmtId="0" fontId="2" fillId="0" borderId="1" xfId="154" applyBorder="1" applyAlignment="1" applyProtection="1">
      <alignment horizontal="center"/>
      <protection locked="0"/>
    </xf>
    <xf numFmtId="0" fontId="45" fillId="0" borderId="1" xfId="154" applyFont="1" applyBorder="1" applyAlignment="1" applyProtection="1">
      <alignment horizontal="left"/>
      <protection locked="0"/>
    </xf>
    <xf numFmtId="6" fontId="45" fillId="0" borderId="1" xfId="154" applyNumberFormat="1" applyFont="1" applyBorder="1" applyProtection="1">
      <protection locked="0"/>
    </xf>
    <xf numFmtId="0" fontId="50" fillId="0" borderId="0" xfId="154" applyFont="1" applyAlignment="1" applyProtection="1">
      <alignment horizontal="center" vertical="center"/>
      <protection locked="0"/>
    </xf>
    <xf numFmtId="176" fontId="24" fillId="0" borderId="8" xfId="141" applyNumberFormat="1" applyBorder="1" applyAlignment="1">
      <alignment horizontal="center" shrinkToFit="1"/>
    </xf>
    <xf numFmtId="0" fontId="53" fillId="0" borderId="0" xfId="154" applyFont="1" applyAlignment="1">
      <alignment horizontal="center"/>
    </xf>
    <xf numFmtId="176" fontId="49" fillId="0" borderId="0" xfId="141" applyNumberFormat="1" applyFont="1" applyAlignment="1">
      <alignment horizontal="center"/>
    </xf>
    <xf numFmtId="176" fontId="49" fillId="0" borderId="0" xfId="143" applyNumberFormat="1" applyFont="1" applyAlignment="1">
      <alignment horizontal="center"/>
    </xf>
    <xf numFmtId="176" fontId="24" fillId="0" borderId="1" xfId="141" applyNumberFormat="1" applyBorder="1" applyAlignment="1">
      <alignment horizontal="center" shrinkToFit="1"/>
    </xf>
    <xf numFmtId="0" fontId="128" fillId="20" borderId="0" xfId="154" applyFont="1" applyFill="1" applyAlignment="1" applyProtection="1">
      <alignment horizontal="left"/>
      <protection locked="0"/>
    </xf>
    <xf numFmtId="165" fontId="0" fillId="0" borderId="0" xfId="0">
      <protection locked="0"/>
    </xf>
    <xf numFmtId="0" fontId="128" fillId="20" borderId="0" xfId="154" applyFont="1" applyFill="1" applyAlignment="1">
      <alignment horizontal="right"/>
    </xf>
    <xf numFmtId="165" fontId="24" fillId="0" borderId="0" xfId="0" applyFont="1" applyAlignment="1" applyProtection="1">
      <alignment horizontal="left" vertical="center" wrapText="1"/>
    </xf>
    <xf numFmtId="0" fontId="2" fillId="0" borderId="34" xfId="154" applyBorder="1" applyAlignment="1" applyProtection="1">
      <alignment vertical="top" wrapText="1"/>
      <protection locked="0"/>
    </xf>
    <xf numFmtId="165" fontId="0" fillId="0" borderId="17" xfId="0" applyBorder="1" applyAlignment="1">
      <alignment vertical="top" wrapText="1"/>
      <protection locked="0"/>
    </xf>
    <xf numFmtId="165" fontId="0" fillId="0" borderId="35" xfId="0" applyBorder="1" applyAlignment="1">
      <alignment vertical="top" wrapText="1"/>
      <protection locked="0"/>
    </xf>
    <xf numFmtId="165" fontId="0" fillId="0" borderId="25" xfId="0" applyBorder="1" applyAlignment="1">
      <alignment vertical="top" wrapText="1"/>
      <protection locked="0"/>
    </xf>
    <xf numFmtId="165" fontId="0" fillId="0" borderId="0" xfId="0" applyAlignment="1">
      <alignment vertical="top" wrapText="1"/>
      <protection locked="0"/>
    </xf>
    <xf numFmtId="165" fontId="0" fillId="0" borderId="36" xfId="0" applyBorder="1" applyAlignment="1">
      <alignment vertical="top" wrapText="1"/>
      <protection locked="0"/>
    </xf>
    <xf numFmtId="165" fontId="0" fillId="0" borderId="37" xfId="0" applyBorder="1" applyAlignment="1">
      <alignment vertical="top" wrapText="1"/>
      <protection locked="0"/>
    </xf>
    <xf numFmtId="165" fontId="0" fillId="0" borderId="5" xfId="0" applyBorder="1" applyAlignment="1">
      <alignment vertical="top" wrapText="1"/>
      <protection locked="0"/>
    </xf>
    <xf numFmtId="165" fontId="0" fillId="0" borderId="38" xfId="0" applyBorder="1" applyAlignment="1">
      <alignment vertical="top" wrapText="1"/>
      <protection locked="0"/>
    </xf>
    <xf numFmtId="176" fontId="24" fillId="0" borderId="8" xfId="141" applyNumberFormat="1" applyBorder="1" applyAlignment="1" applyProtection="1">
      <alignment horizontal="center" shrinkToFit="1"/>
      <protection locked="0"/>
    </xf>
    <xf numFmtId="165" fontId="127" fillId="20" borderId="0" xfId="0" applyFont="1" applyFill="1">
      <protection locked="0"/>
    </xf>
    <xf numFmtId="176" fontId="20" fillId="0" borderId="0" xfId="144" applyNumberFormat="1" applyFont="1" applyAlignment="1">
      <alignment horizontal="center"/>
    </xf>
    <xf numFmtId="176" fontId="49" fillId="0" borderId="0" xfId="97" applyNumberFormat="1" applyFont="1" applyAlignment="1" applyProtection="1">
      <alignment horizontal="center"/>
    </xf>
    <xf numFmtId="0" fontId="70" fillId="0" borderId="0" xfId="154" applyFont="1" applyAlignment="1" applyProtection="1">
      <alignment horizontal="center" vertical="center"/>
      <protection hidden="1"/>
    </xf>
    <xf numFmtId="0" fontId="153" fillId="20" borderId="0" xfId="154" applyFont="1" applyFill="1" applyAlignment="1" applyProtection="1">
      <alignment horizontal="left"/>
      <protection locked="0"/>
    </xf>
    <xf numFmtId="165" fontId="151" fillId="0" borderId="0" xfId="0" applyFont="1">
      <protection locked="0"/>
    </xf>
    <xf numFmtId="165" fontId="45" fillId="0" borderId="0" xfId="0" applyFont="1" applyProtection="1"/>
    <xf numFmtId="176" fontId="24" fillId="0" borderId="0" xfId="144" applyNumberFormat="1"/>
    <xf numFmtId="0" fontId="24" fillId="0" borderId="0" xfId="131" applyFont="1"/>
    <xf numFmtId="0" fontId="45" fillId="0" borderId="0" xfId="131" applyFont="1" applyAlignment="1">
      <alignment horizontal="left"/>
    </xf>
    <xf numFmtId="0" fontId="45" fillId="0" borderId="0" xfId="131" applyFont="1"/>
    <xf numFmtId="176" fontId="24" fillId="0" borderId="1" xfId="142" applyNumberFormat="1" applyBorder="1" applyAlignment="1">
      <alignment horizontal="center"/>
    </xf>
    <xf numFmtId="165" fontId="0" fillId="0" borderId="1" xfId="0" applyBorder="1" applyProtection="1"/>
    <xf numFmtId="176" fontId="24" fillId="0" borderId="8" xfId="142" applyNumberFormat="1" applyBorder="1" applyAlignment="1">
      <alignment horizontal="center"/>
    </xf>
    <xf numFmtId="165" fontId="0" fillId="0" borderId="8" xfId="0" applyBorder="1" applyAlignment="1" applyProtection="1">
      <alignment horizontal="center"/>
    </xf>
    <xf numFmtId="176" fontId="24" fillId="0" borderId="8" xfId="142" applyNumberFormat="1" applyBorder="1" applyAlignment="1" applyProtection="1">
      <alignment horizontal="center"/>
      <protection locked="0"/>
    </xf>
    <xf numFmtId="165" fontId="0" fillId="0" borderId="8" xfId="0" applyBorder="1" applyAlignment="1">
      <alignment horizontal="center"/>
      <protection locked="0"/>
    </xf>
    <xf numFmtId="0" fontId="50" fillId="0" borderId="0" xfId="154" applyFont="1" applyAlignment="1">
      <alignment horizontal="center" vertical="center"/>
    </xf>
    <xf numFmtId="0" fontId="93" fillId="0" borderId="0" xfId="97" applyFont="1" applyAlignment="1" applyProtection="1">
      <alignment horizontal="center"/>
    </xf>
    <xf numFmtId="0" fontId="7" fillId="0" borderId="0" xfId="138" applyFont="1" applyAlignment="1">
      <alignment horizontal="center"/>
    </xf>
    <xf numFmtId="49" fontId="46" fillId="0" borderId="0" xfId="97" applyNumberFormat="1" applyAlignment="1" applyProtection="1">
      <alignment horizontal="left"/>
    </xf>
    <xf numFmtId="165" fontId="46" fillId="0" borderId="0" xfId="97" applyNumberFormat="1" applyAlignment="1">
      <protection locked="0"/>
    </xf>
    <xf numFmtId="0" fontId="24" fillId="0" borderId="0" xfId="138" applyFont="1" applyAlignment="1">
      <alignment horizontal="left"/>
    </xf>
    <xf numFmtId="0" fontId="50" fillId="57" borderId="0" xfId="154" applyFont="1" applyFill="1" applyAlignment="1">
      <alignment horizontal="center" vertical="center"/>
    </xf>
    <xf numFmtId="0" fontId="3" fillId="57" borderId="8" xfId="140" applyFont="1" applyFill="1" applyBorder="1" applyAlignment="1">
      <alignment horizontal="center" shrinkToFit="1"/>
    </xf>
    <xf numFmtId="0" fontId="3" fillId="57" borderId="8" xfId="140" applyFont="1" applyFill="1" applyBorder="1" applyAlignment="1" applyProtection="1">
      <alignment horizontal="center" shrinkToFit="1"/>
      <protection locked="0"/>
    </xf>
    <xf numFmtId="0" fontId="99" fillId="57" borderId="0" xfId="97" applyFont="1" applyFill="1" applyAlignment="1" applyProtection="1">
      <alignment horizontal="center"/>
    </xf>
    <xf numFmtId="0" fontId="7" fillId="57" borderId="0" xfId="140" applyFont="1" applyFill="1" applyAlignment="1">
      <alignment horizontal="center"/>
    </xf>
    <xf numFmtId="0" fontId="24" fillId="57" borderId="1" xfId="140" applyFont="1" applyFill="1" applyBorder="1" applyAlignment="1">
      <alignment horizontal="center" shrinkToFit="1"/>
    </xf>
    <xf numFmtId="0" fontId="104" fillId="58" borderId="0" xfId="154" applyFont="1" applyFill="1" applyAlignment="1">
      <alignment horizontal="center" wrapText="1"/>
    </xf>
    <xf numFmtId="165" fontId="124" fillId="0" borderId="1" xfId="0" applyFont="1" applyBorder="1" applyAlignment="1">
      <alignment horizontal="center" vertical="center"/>
      <protection locked="0"/>
    </xf>
    <xf numFmtId="0" fontId="215" fillId="0" borderId="50" xfId="146" applyFont="1" applyBorder="1" applyAlignment="1">
      <alignment horizontal="center" shrinkToFit="1"/>
    </xf>
    <xf numFmtId="165" fontId="214" fillId="0" borderId="0" xfId="0" applyFont="1" applyAlignment="1">
      <alignment horizontal="center" vertical="center"/>
      <protection locked="0"/>
    </xf>
    <xf numFmtId="176" fontId="49" fillId="0" borderId="0" xfId="147" applyNumberFormat="1" applyFont="1" applyAlignment="1">
      <alignment horizontal="center"/>
    </xf>
    <xf numFmtId="165" fontId="186" fillId="0" borderId="0" xfId="0" applyFont="1" applyAlignment="1" applyProtection="1">
      <alignment horizontal="center" wrapText="1"/>
    </xf>
    <xf numFmtId="165" fontId="186" fillId="0" borderId="1" xfId="0" applyFont="1" applyBorder="1" applyAlignment="1" applyProtection="1">
      <alignment horizontal="center" wrapText="1"/>
    </xf>
    <xf numFmtId="165" fontId="186" fillId="0" borderId="1" xfId="0" applyFont="1" applyBorder="1" applyAlignment="1" applyProtection="1">
      <alignment horizontal="center"/>
    </xf>
    <xf numFmtId="0" fontId="68" fillId="0" borderId="0" xfId="154" applyFont="1" applyAlignment="1">
      <alignment horizontal="center" vertical="center"/>
    </xf>
    <xf numFmtId="176" fontId="49" fillId="0" borderId="0" xfId="142" applyNumberFormat="1" applyFont="1" applyAlignment="1">
      <alignment horizontal="center"/>
    </xf>
    <xf numFmtId="176" fontId="49" fillId="0" borderId="0" xfId="144" applyNumberFormat="1" applyFont="1" applyAlignment="1">
      <alignment horizontal="center"/>
    </xf>
    <xf numFmtId="165" fontId="24" fillId="0" borderId="0" xfId="0" applyFont="1" applyProtection="1"/>
    <xf numFmtId="0" fontId="24" fillId="0" borderId="1" xfId="146" applyFont="1" applyBorder="1" applyAlignment="1">
      <alignment horizontal="center" shrinkToFit="1"/>
    </xf>
    <xf numFmtId="176" fontId="24" fillId="0" borderId="8" xfId="132" applyNumberFormat="1" applyBorder="1" applyAlignment="1">
      <alignment horizontal="center" shrinkToFit="1"/>
    </xf>
    <xf numFmtId="0" fontId="24" fillId="0" borderId="8" xfId="146" applyFont="1" applyBorder="1" applyAlignment="1">
      <alignment horizontal="center" shrinkToFit="1"/>
    </xf>
    <xf numFmtId="0" fontId="2" fillId="0" borderId="17" xfId="154" applyBorder="1" applyAlignment="1" applyProtection="1">
      <alignment vertical="top" wrapText="1"/>
      <protection locked="0"/>
    </xf>
    <xf numFmtId="0" fontId="2" fillId="0" borderId="35" xfId="154" applyBorder="1" applyAlignment="1" applyProtection="1">
      <alignment vertical="top" wrapText="1"/>
      <protection locked="0"/>
    </xf>
    <xf numFmtId="0" fontId="2" fillId="0" borderId="25" xfId="154" applyBorder="1" applyAlignment="1" applyProtection="1">
      <alignment vertical="top" wrapText="1"/>
      <protection locked="0"/>
    </xf>
    <xf numFmtId="0" fontId="2" fillId="0" borderId="0" xfId="154" applyAlignment="1" applyProtection="1">
      <alignment vertical="top" wrapText="1"/>
      <protection locked="0"/>
    </xf>
    <xf numFmtId="0" fontId="2" fillId="0" borderId="36" xfId="154" applyBorder="1" applyAlignment="1" applyProtection="1">
      <alignment vertical="top" wrapText="1"/>
      <protection locked="0"/>
    </xf>
    <xf numFmtId="0" fontId="2" fillId="0" borderId="37" xfId="154" applyBorder="1" applyAlignment="1" applyProtection="1">
      <alignment vertical="top" wrapText="1"/>
      <protection locked="0"/>
    </xf>
    <xf numFmtId="0" fontId="2" fillId="0" borderId="5" xfId="154" applyBorder="1" applyAlignment="1" applyProtection="1">
      <alignment vertical="top" wrapText="1"/>
      <protection locked="0"/>
    </xf>
    <xf numFmtId="0" fontId="2" fillId="0" borderId="38" xfId="154" applyBorder="1" applyAlignment="1" applyProtection="1">
      <alignment vertical="top" wrapText="1"/>
      <protection locked="0"/>
    </xf>
    <xf numFmtId="174" fontId="24" fillId="0" borderId="0" xfId="154" applyNumberFormat="1" applyFont="1" applyAlignment="1">
      <alignment horizontal="center"/>
    </xf>
    <xf numFmtId="0" fontId="63" fillId="0" borderId="0" xfId="97" applyFont="1" applyAlignment="1" applyProtection="1">
      <alignment vertical="center"/>
    </xf>
    <xf numFmtId="174" fontId="24" fillId="0" borderId="1" xfId="154" applyNumberFormat="1" applyFont="1" applyBorder="1" applyAlignment="1" applyProtection="1">
      <alignment horizontal="center"/>
      <protection locked="0"/>
    </xf>
    <xf numFmtId="0" fontId="49" fillId="0" borderId="0" xfId="148" applyFont="1" applyAlignment="1">
      <alignment horizontal="center"/>
    </xf>
    <xf numFmtId="165" fontId="24" fillId="0" borderId="1" xfId="0" applyFont="1" applyBorder="1">
      <protection locked="0"/>
    </xf>
    <xf numFmtId="178" fontId="24" fillId="0" borderId="1" xfId="0" applyNumberFormat="1" applyFont="1" applyBorder="1">
      <protection locked="0"/>
    </xf>
    <xf numFmtId="170" fontId="24" fillId="0" borderId="0" xfId="140" applyNumberFormat="1" applyFont="1"/>
    <xf numFmtId="169" fontId="24" fillId="0" borderId="0" xfId="140" applyNumberFormat="1" applyFont="1"/>
    <xf numFmtId="169" fontId="0" fillId="0" borderId="0" xfId="0" applyNumberFormat="1" applyProtection="1"/>
    <xf numFmtId="169" fontId="20" fillId="0" borderId="0" xfId="140" applyNumberFormat="1" applyFont="1"/>
    <xf numFmtId="169" fontId="20" fillId="0" borderId="0" xfId="0" applyNumberFormat="1" applyFont="1" applyProtection="1"/>
    <xf numFmtId="170" fontId="20" fillId="0" borderId="0" xfId="140" applyNumberFormat="1" applyFont="1"/>
    <xf numFmtId="170" fontId="4" fillId="0" borderId="0" xfId="0" applyNumberFormat="1" applyFont="1" applyProtection="1"/>
    <xf numFmtId="170" fontId="24" fillId="0" borderId="1" xfId="140" applyNumberFormat="1" applyFont="1" applyBorder="1" applyProtection="1">
      <protection locked="0"/>
    </xf>
    <xf numFmtId="170" fontId="0" fillId="0" borderId="1" xfId="0" applyNumberFormat="1" applyBorder="1">
      <protection locked="0"/>
    </xf>
    <xf numFmtId="0" fontId="24" fillId="0" borderId="1" xfId="140" applyFont="1" applyBorder="1" applyAlignment="1">
      <alignment horizontal="center" shrinkToFit="1"/>
    </xf>
    <xf numFmtId="0" fontId="3" fillId="0" borderId="8" xfId="140" applyFont="1" applyBorder="1" applyAlignment="1">
      <alignment horizontal="center" shrinkToFit="1"/>
    </xf>
    <xf numFmtId="0" fontId="3" fillId="0" borderId="8" xfId="140" applyFont="1" applyBorder="1" applyAlignment="1" applyProtection="1">
      <alignment horizontal="center" shrinkToFit="1"/>
      <protection locked="0"/>
    </xf>
    <xf numFmtId="0" fontId="99" fillId="0" borderId="0" xfId="97" applyFont="1" applyAlignment="1" applyProtection="1">
      <alignment horizontal="center"/>
    </xf>
    <xf numFmtId="0" fontId="7" fillId="0" borderId="0" xfId="140" applyFont="1" applyAlignment="1">
      <alignment horizontal="center"/>
    </xf>
    <xf numFmtId="0" fontId="24" fillId="0" borderId="1" xfId="132" applyBorder="1" applyAlignment="1" applyProtection="1">
      <alignment horizontal="left"/>
      <protection locked="0"/>
    </xf>
    <xf numFmtId="0" fontId="20" fillId="0" borderId="0" xfId="132" applyFont="1" applyAlignment="1">
      <alignment horizontal="left"/>
    </xf>
    <xf numFmtId="0" fontId="49" fillId="0" borderId="0" xfId="132" applyFont="1" applyAlignment="1">
      <alignment horizontal="center"/>
    </xf>
    <xf numFmtId="0" fontId="52" fillId="0" borderId="0" xfId="132" applyFont="1" applyAlignment="1">
      <alignment horizontal="center"/>
    </xf>
    <xf numFmtId="176" fontId="24" fillId="0" borderId="1" xfId="132" applyNumberFormat="1" applyBorder="1" applyAlignment="1">
      <alignment horizontal="center" shrinkToFit="1"/>
    </xf>
    <xf numFmtId="176" fontId="24" fillId="0" borderId="8" xfId="132" applyNumberFormat="1" applyBorder="1" applyAlignment="1" applyProtection="1">
      <alignment horizontal="center" shrinkToFit="1"/>
      <protection locked="0"/>
    </xf>
    <xf numFmtId="0" fontId="24" fillId="0" borderId="0" xfId="132" applyAlignment="1">
      <alignment horizontal="right"/>
    </xf>
    <xf numFmtId="0" fontId="24" fillId="0" borderId="8" xfId="132" applyBorder="1" applyAlignment="1" applyProtection="1">
      <alignment horizontal="left"/>
      <protection locked="0"/>
    </xf>
    <xf numFmtId="0" fontId="70" fillId="0" borderId="0" xfId="154" applyFont="1" applyAlignment="1">
      <alignment horizontal="center" vertical="center"/>
    </xf>
    <xf numFmtId="49" fontId="63" fillId="0" borderId="0" xfId="156" applyNumberFormat="1" applyFont="1"/>
    <xf numFmtId="49" fontId="24" fillId="0" borderId="0" xfId="156" applyNumberFormat="1"/>
    <xf numFmtId="49" fontId="24" fillId="0" borderId="0" xfId="138" applyNumberFormat="1" applyFont="1" applyAlignment="1">
      <alignment horizontal="left"/>
    </xf>
    <xf numFmtId="49" fontId="63" fillId="0" borderId="0" xfId="138" applyNumberFormat="1" applyFont="1" applyAlignment="1">
      <alignment horizontal="left"/>
    </xf>
    <xf numFmtId="49" fontId="24" fillId="0" borderId="20" xfId="156" applyNumberFormat="1" applyBorder="1" applyAlignment="1" applyProtection="1">
      <alignment horizontal="left"/>
      <protection locked="0"/>
    </xf>
    <xf numFmtId="49" fontId="24" fillId="0" borderId="0" xfId="156" applyNumberFormat="1" applyAlignment="1" applyProtection="1">
      <alignment horizontal="left"/>
      <protection locked="0"/>
    </xf>
    <xf numFmtId="49" fontId="24" fillId="0" borderId="21" xfId="156" applyNumberFormat="1" applyBorder="1" applyAlignment="1" applyProtection="1">
      <alignment horizontal="left"/>
      <protection locked="0"/>
    </xf>
    <xf numFmtId="0" fontId="24" fillId="0" borderId="0" xfId="154" applyFont="1" applyAlignment="1">
      <alignment vertical="center" wrapText="1"/>
    </xf>
    <xf numFmtId="0" fontId="0" fillId="0" borderId="0" xfId="0" applyNumberFormat="1" applyAlignment="1" applyProtection="1">
      <alignment vertical="center" wrapText="1"/>
    </xf>
    <xf numFmtId="49" fontId="24" fillId="0" borderId="22" xfId="156" applyNumberFormat="1" applyBorder="1" applyAlignment="1" applyProtection="1">
      <alignment horizontal="left"/>
      <protection locked="0"/>
    </xf>
    <xf numFmtId="49" fontId="24" fillId="0" borderId="1" xfId="156" applyNumberFormat="1" applyBorder="1" applyAlignment="1" applyProtection="1">
      <alignment horizontal="left"/>
      <protection locked="0"/>
    </xf>
    <xf numFmtId="49" fontId="24" fillId="0" borderId="23" xfId="156" applyNumberFormat="1" applyBorder="1" applyAlignment="1" applyProtection="1">
      <alignment horizontal="left"/>
      <protection locked="0"/>
    </xf>
    <xf numFmtId="0" fontId="5" fillId="0" borderId="8" xfId="145" applyFont="1" applyBorder="1" applyAlignment="1" applyProtection="1">
      <alignment horizontal="left" wrapText="1"/>
      <protection locked="0"/>
    </xf>
    <xf numFmtId="0" fontId="5" fillId="0" borderId="8" xfId="145" applyFont="1" applyBorder="1" applyAlignment="1" applyProtection="1">
      <alignment horizontal="center" wrapText="1"/>
      <protection locked="0"/>
    </xf>
    <xf numFmtId="165" fontId="82" fillId="21" borderId="0" xfId="0" applyFont="1" applyFill="1" applyAlignment="1" applyProtection="1">
      <alignment horizontal="left"/>
    </xf>
    <xf numFmtId="165" fontId="0" fillId="0" borderId="0" xfId="0" applyAlignment="1">
      <alignment horizontal="left"/>
      <protection locked="0"/>
    </xf>
    <xf numFmtId="0" fontId="24" fillId="0" borderId="0" xfId="137" applyFont="1" applyProtection="1">
      <protection hidden="1"/>
    </xf>
    <xf numFmtId="0" fontId="56" fillId="0" borderId="0" xfId="145" applyFont="1" applyAlignment="1">
      <alignment horizontal="center"/>
    </xf>
    <xf numFmtId="0" fontId="5" fillId="0" borderId="1" xfId="145" applyFont="1" applyBorder="1" applyAlignment="1">
      <alignment horizontal="left" wrapText="1"/>
    </xf>
    <xf numFmtId="0" fontId="5" fillId="0" borderId="8" xfId="145" applyFont="1" applyBorder="1" applyAlignment="1">
      <alignment horizontal="left" wrapText="1"/>
    </xf>
    <xf numFmtId="0" fontId="5" fillId="0" borderId="1" xfId="145" applyFont="1" applyBorder="1" applyAlignment="1" applyProtection="1">
      <alignment horizontal="left" wrapText="1"/>
      <protection locked="0"/>
    </xf>
    <xf numFmtId="0" fontId="56" fillId="0" borderId="1" xfId="145" applyFont="1" applyBorder="1" applyAlignment="1">
      <alignment horizontal="center"/>
    </xf>
    <xf numFmtId="0" fontId="7" fillId="0" borderId="0" xfId="154" applyFont="1" applyAlignment="1">
      <alignment horizontal="center"/>
    </xf>
    <xf numFmtId="0" fontId="24" fillId="0" borderId="1" xfId="154" applyFont="1" applyBorder="1" applyAlignment="1" applyProtection="1">
      <alignment horizontal="center" shrinkToFit="1"/>
      <protection locked="0"/>
    </xf>
    <xf numFmtId="0" fontId="24" fillId="0" borderId="1" xfId="154" applyFont="1" applyBorder="1" applyAlignment="1">
      <alignment horizontal="center" shrinkToFit="1"/>
    </xf>
    <xf numFmtId="0" fontId="20" fillId="0" borderId="15" xfId="150" applyFont="1" applyBorder="1" applyAlignment="1">
      <alignment horizontal="center"/>
    </xf>
    <xf numFmtId="165" fontId="219" fillId="65" borderId="0" xfId="0" applyFont="1" applyFill="1" applyAlignment="1" applyProtection="1">
      <alignment horizontal="center"/>
    </xf>
    <xf numFmtId="0" fontId="107" fillId="0" borderId="5" xfId="154" applyFont="1" applyBorder="1" applyAlignment="1">
      <alignment horizontal="left"/>
    </xf>
    <xf numFmtId="0" fontId="68" fillId="22" borderId="0" xfId="154" applyFont="1" applyFill="1"/>
    <xf numFmtId="165" fontId="24" fillId="22" borderId="0" xfId="0" applyFont="1" applyFill="1" applyProtection="1"/>
    <xf numFmtId="39" fontId="24" fillId="0" borderId="8" xfId="157" applyNumberFormat="1" applyBorder="1" applyProtection="1">
      <protection locked="0"/>
    </xf>
    <xf numFmtId="178" fontId="24" fillId="0" borderId="0" xfId="157" applyNumberFormat="1"/>
    <xf numFmtId="0" fontId="24" fillId="0" borderId="0" xfId="157"/>
    <xf numFmtId="178" fontId="24" fillId="0" borderId="0" xfId="157" applyNumberFormat="1" applyProtection="1">
      <protection locked="0"/>
    </xf>
    <xf numFmtId="0" fontId="24" fillId="0" borderId="8" xfId="157" applyBorder="1" applyProtection="1">
      <protection locked="0"/>
    </xf>
    <xf numFmtId="165" fontId="24" fillId="0" borderId="8" xfId="0" applyFont="1" applyBorder="1">
      <protection locked="0"/>
    </xf>
    <xf numFmtId="165" fontId="24" fillId="0" borderId="8" xfId="0" applyFont="1" applyBorder="1" applyProtection="1"/>
    <xf numFmtId="39" fontId="24" fillId="0" borderId="1" xfId="157" applyNumberFormat="1" applyBorder="1" applyProtection="1">
      <protection locked="0"/>
    </xf>
    <xf numFmtId="0" fontId="24" fillId="0" borderId="19" xfId="157" applyBorder="1" applyAlignment="1">
      <alignment horizontal="center"/>
    </xf>
    <xf numFmtId="0" fontId="24" fillId="0" borderId="8" xfId="157" applyBorder="1" applyAlignment="1">
      <alignment horizontal="center"/>
    </xf>
    <xf numFmtId="0" fontId="24" fillId="0" borderId="24" xfId="157" applyBorder="1" applyAlignment="1">
      <alignment horizontal="center"/>
    </xf>
    <xf numFmtId="0" fontId="24" fillId="0" borderId="8" xfId="157" applyBorder="1" applyAlignment="1">
      <alignment horizontal="center" shrinkToFit="1"/>
    </xf>
    <xf numFmtId="0" fontId="24" fillId="0" borderId="8" xfId="157" applyBorder="1" applyAlignment="1" applyProtection="1">
      <alignment horizontal="center" shrinkToFit="1"/>
      <protection locked="0"/>
    </xf>
    <xf numFmtId="0" fontId="24" fillId="0" borderId="1" xfId="157" applyBorder="1" applyAlignment="1">
      <alignment horizontal="center" shrinkToFit="1"/>
    </xf>
    <xf numFmtId="0" fontId="68" fillId="0" borderId="8" xfId="154" applyFont="1" applyBorder="1" applyAlignment="1" applyProtection="1">
      <alignment horizontal="left"/>
      <protection locked="0"/>
    </xf>
    <xf numFmtId="0" fontId="69" fillId="0" borderId="5" xfId="154" applyFont="1" applyBorder="1" applyAlignment="1">
      <alignment horizontal="center"/>
    </xf>
    <xf numFmtId="0" fontId="88" fillId="0" borderId="0" xfId="154" applyFont="1" applyAlignment="1">
      <alignment horizontal="left"/>
    </xf>
    <xf numFmtId="0" fontId="68" fillId="0" borderId="52" xfId="154" applyFont="1" applyBorder="1" applyAlignment="1" applyProtection="1">
      <alignment horizontal="left"/>
      <protection locked="0"/>
    </xf>
    <xf numFmtId="0" fontId="20" fillId="0" borderId="1" xfId="152" applyFont="1" applyBorder="1" applyAlignment="1">
      <alignment horizontal="center" wrapText="1"/>
    </xf>
    <xf numFmtId="0" fontId="45" fillId="0" borderId="8" xfId="152" applyBorder="1" applyAlignment="1" applyProtection="1">
      <alignment wrapText="1"/>
      <protection locked="0"/>
    </xf>
    <xf numFmtId="0" fontId="49" fillId="0" borderId="0" xfId="152" applyFont="1" applyAlignment="1">
      <alignment horizontal="center"/>
    </xf>
    <xf numFmtId="0" fontId="24" fillId="0" borderId="0" xfId="154" applyFont="1" applyAlignment="1">
      <alignment horizontal="center" shrinkToFit="1"/>
    </xf>
    <xf numFmtId="0" fontId="24" fillId="0" borderId="1" xfId="154" applyFont="1" applyBorder="1" applyAlignment="1">
      <alignment horizontal="left" shrinkToFit="1"/>
    </xf>
    <xf numFmtId="0" fontId="49" fillId="0" borderId="0" xfId="138" applyFont="1" applyAlignment="1">
      <alignment horizontal="center"/>
    </xf>
    <xf numFmtId="0" fontId="52" fillId="0" borderId="8" xfId="138" applyFont="1" applyBorder="1" applyProtection="1">
      <protection locked="0"/>
    </xf>
    <xf numFmtId="0" fontId="49" fillId="0" borderId="1" xfId="138" applyFont="1" applyBorder="1" applyAlignment="1">
      <alignment horizontal="center"/>
    </xf>
    <xf numFmtId="0" fontId="24" fillId="0" borderId="8" xfId="138" applyFont="1" applyBorder="1" applyAlignment="1" applyProtection="1">
      <alignment horizontal="left"/>
      <protection locked="0"/>
    </xf>
    <xf numFmtId="0" fontId="24" fillId="0" borderId="1" xfId="138" applyFont="1" applyBorder="1" applyAlignment="1" applyProtection="1">
      <alignment horizontal="left"/>
      <protection locked="0"/>
    </xf>
    <xf numFmtId="4" fontId="211" fillId="0" borderId="17" xfId="153" applyNumberFormat="1" applyFont="1" applyBorder="1" applyAlignment="1">
      <alignment horizontal="center" wrapText="1"/>
    </xf>
    <xf numFmtId="4" fontId="211" fillId="0" borderId="1" xfId="153" applyNumberFormat="1" applyFont="1" applyBorder="1" applyAlignment="1">
      <alignment horizontal="center" wrapText="1"/>
    </xf>
    <xf numFmtId="4" fontId="85" fillId="0" borderId="17" xfId="153" applyNumberFormat="1" applyFont="1" applyBorder="1" applyAlignment="1">
      <alignment horizontal="center" wrapText="1"/>
    </xf>
    <xf numFmtId="4" fontId="85" fillId="0" borderId="1" xfId="153" applyNumberFormat="1" applyFont="1" applyBorder="1" applyAlignment="1">
      <alignment horizontal="center" wrapText="1"/>
    </xf>
    <xf numFmtId="4" fontId="194" fillId="58" borderId="0" xfId="0" applyNumberFormat="1" applyFont="1" applyFill="1" applyAlignment="1" applyProtection="1">
      <alignment horizontal="left" vertical="top" wrapText="1"/>
    </xf>
    <xf numFmtId="164" fontId="10" fillId="0" borderId="0" xfId="172" applyFont="1" applyBorder="1" applyAlignment="1">
      <alignment horizontal="center"/>
    </xf>
    <xf numFmtId="165" fontId="189" fillId="59" borderId="0" xfId="0" applyFont="1" applyFill="1" applyAlignment="1" applyProtection="1">
      <alignment horizontal="center"/>
    </xf>
    <xf numFmtId="165" fontId="20" fillId="60" borderId="0" xfId="0" applyFont="1" applyFill="1" applyAlignment="1" applyProtection="1">
      <alignment horizontal="center"/>
    </xf>
    <xf numFmtId="165" fontId="20" fillId="61" borderId="17" xfId="0" applyFont="1" applyFill="1" applyBorder="1" applyAlignment="1" applyProtection="1">
      <alignment horizontal="center"/>
    </xf>
    <xf numFmtId="165" fontId="20" fillId="61" borderId="0" xfId="0" applyFont="1" applyFill="1" applyAlignment="1" applyProtection="1">
      <alignment horizontal="center"/>
    </xf>
  </cellXfs>
  <cellStyles count="192">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6" xfId="10" builtinId="50" customBuiltin="1"/>
    <cellStyle name="20% - Accent6 2" xfId="11" xr:uid="{00000000-0005-0000-0000-00000A000000}"/>
    <cellStyle name="40% - Accent1" xfId="12" builtinId="31" customBuiltin="1"/>
    <cellStyle name="40% - Accent1 2" xfId="13" xr:uid="{00000000-0005-0000-0000-00000C000000}"/>
    <cellStyle name="40% - Accent2" xfId="14" builtinId="35" customBuiltin="1"/>
    <cellStyle name="40% - Accent3" xfId="15" builtinId="39" customBuiltin="1"/>
    <cellStyle name="40% - Accent3 2" xfId="16" xr:uid="{00000000-0005-0000-0000-00000F000000}"/>
    <cellStyle name="40% - Accent4" xfId="17" builtinId="43" customBuiltin="1"/>
    <cellStyle name="40% - Accent4 2" xfId="18" xr:uid="{00000000-0005-0000-0000-000011000000}"/>
    <cellStyle name="40% - Accent5" xfId="19" builtinId="47" customBuiltin="1"/>
    <cellStyle name="40% - Accent5 2" xfId="20" xr:uid="{00000000-0005-0000-0000-000013000000}"/>
    <cellStyle name="40% - Accent6" xfId="21" builtinId="51" customBuiltin="1"/>
    <cellStyle name="40% - Accent6 2" xfId="22" xr:uid="{00000000-0005-0000-0000-000015000000}"/>
    <cellStyle name="60% - Accent1" xfId="23" builtinId="32" customBuiltin="1"/>
    <cellStyle name="60% - Accent1 2" xfId="24" xr:uid="{00000000-0005-0000-0000-000017000000}"/>
    <cellStyle name="60% - Accent2" xfId="25" builtinId="36" customBuiltin="1"/>
    <cellStyle name="60% - Accent2 2" xfId="26" xr:uid="{00000000-0005-0000-0000-000019000000}"/>
    <cellStyle name="60% - Accent3" xfId="27" builtinId="40" customBuiltin="1"/>
    <cellStyle name="60% - Accent3 2" xfId="28" xr:uid="{00000000-0005-0000-0000-00001B000000}"/>
    <cellStyle name="60% - Accent4" xfId="29" builtinId="44" customBuiltin="1"/>
    <cellStyle name="60% - Accent4 2" xfId="30" xr:uid="{00000000-0005-0000-0000-00001D000000}"/>
    <cellStyle name="60% - Accent5" xfId="31" builtinId="48" customBuiltin="1"/>
    <cellStyle name="60% - Accent5 2" xfId="32" xr:uid="{00000000-0005-0000-0000-00001F000000}"/>
    <cellStyle name="60% - Accent6" xfId="33" builtinId="52" customBuiltin="1"/>
    <cellStyle name="60% - Accent6 2" xfId="34" xr:uid="{00000000-0005-0000-0000-000021000000}"/>
    <cellStyle name="Accent1" xfId="35" builtinId="29" customBuiltin="1"/>
    <cellStyle name="Accent1 2" xfId="36" xr:uid="{00000000-0005-0000-0000-000023000000}"/>
    <cellStyle name="Accent2" xfId="37" builtinId="33" customBuiltin="1"/>
    <cellStyle name="Accent2 2" xfId="38" xr:uid="{00000000-0005-0000-0000-000025000000}"/>
    <cellStyle name="Accent3" xfId="39" builtinId="37" customBuiltin="1"/>
    <cellStyle name="Accent3 2" xfId="40" xr:uid="{00000000-0005-0000-0000-000027000000}"/>
    <cellStyle name="Accent4" xfId="41" builtinId="41" customBuiltin="1"/>
    <cellStyle name="Accent4 2" xfId="42" xr:uid="{00000000-0005-0000-0000-000029000000}"/>
    <cellStyle name="Accent5" xfId="43" builtinId="45" customBuiltin="1"/>
    <cellStyle name="Accent6" xfId="44" builtinId="49" customBuiltin="1"/>
    <cellStyle name="Accent6 2" xfId="45" xr:uid="{00000000-0005-0000-0000-00002C000000}"/>
    <cellStyle name="Bad" xfId="46" builtinId="27" customBuiltin="1"/>
    <cellStyle name="Bad 2" xfId="47" xr:uid="{00000000-0005-0000-0000-00002E000000}"/>
    <cellStyle name="Calculation" xfId="48" builtinId="22" customBuiltin="1"/>
    <cellStyle name="Calculation 2" xfId="49" xr:uid="{00000000-0005-0000-0000-000030000000}"/>
    <cellStyle name="CaptionDots..." xfId="50" xr:uid="{00000000-0005-0000-0000-000031000000}"/>
    <cellStyle name="Check Cell" xfId="51" builtinId="23" customBuiltin="1"/>
    <cellStyle name="Comma" xfId="52" builtinId="3"/>
    <cellStyle name="Comma 10" xfId="187" xr:uid="{00000000-0005-0000-0000-000034000000}"/>
    <cellStyle name="Comma 2" xfId="53" xr:uid="{00000000-0005-0000-0000-000035000000}"/>
    <cellStyle name="Comma 2 2" xfId="54" xr:uid="{00000000-0005-0000-0000-000036000000}"/>
    <cellStyle name="Comma 2 3" xfId="55" xr:uid="{00000000-0005-0000-0000-000037000000}"/>
    <cellStyle name="Comma 2 3 2" xfId="56" xr:uid="{00000000-0005-0000-0000-000038000000}"/>
    <cellStyle name="Comma 2 4" xfId="57" xr:uid="{00000000-0005-0000-0000-000039000000}"/>
    <cellStyle name="Comma 2 5" xfId="58" xr:uid="{00000000-0005-0000-0000-00003A000000}"/>
    <cellStyle name="Comma 3" xfId="59" xr:uid="{00000000-0005-0000-0000-00003B000000}"/>
    <cellStyle name="Comma 3 2" xfId="60" xr:uid="{00000000-0005-0000-0000-00003C000000}"/>
    <cellStyle name="Comma 4" xfId="61" xr:uid="{00000000-0005-0000-0000-00003D000000}"/>
    <cellStyle name="Comma 5" xfId="62" xr:uid="{00000000-0005-0000-0000-00003E000000}"/>
    <cellStyle name="Comma 6" xfId="63" xr:uid="{00000000-0005-0000-0000-00003F000000}"/>
    <cellStyle name="Comma 7" xfId="64" xr:uid="{00000000-0005-0000-0000-000040000000}"/>
    <cellStyle name="Comma 8" xfId="65" xr:uid="{00000000-0005-0000-0000-000041000000}"/>
    <cellStyle name="Comma 9" xfId="66" xr:uid="{00000000-0005-0000-0000-000042000000}"/>
    <cellStyle name="Currency" xfId="67" builtinId="4"/>
    <cellStyle name="Currency 2" xfId="68" xr:uid="{00000000-0005-0000-0000-000044000000}"/>
    <cellStyle name="Currency 2 2" xfId="69" xr:uid="{00000000-0005-0000-0000-000045000000}"/>
    <cellStyle name="Currency 2 3" xfId="70" xr:uid="{00000000-0005-0000-0000-000046000000}"/>
    <cellStyle name="Currency 3" xfId="71" xr:uid="{00000000-0005-0000-0000-000047000000}"/>
    <cellStyle name="Currency 4" xfId="72" xr:uid="{00000000-0005-0000-0000-000048000000}"/>
    <cellStyle name="Currency 5" xfId="73" xr:uid="{00000000-0005-0000-0000-000049000000}"/>
    <cellStyle name="Currency 6" xfId="74" xr:uid="{00000000-0005-0000-0000-00004A000000}"/>
    <cellStyle name="Currency 7" xfId="188" xr:uid="{00000000-0005-0000-0000-00004B000000}"/>
    <cellStyle name="Exhibit No." xfId="75" xr:uid="{00000000-0005-0000-0000-00004C000000}"/>
    <cellStyle name="Exhibit No. 2" xfId="76" xr:uid="{00000000-0005-0000-0000-00004D000000}"/>
    <cellStyle name="Exhibit No. 3" xfId="77" xr:uid="{00000000-0005-0000-0000-00004E000000}"/>
    <cellStyle name="Exhibit No. 4" xfId="78" xr:uid="{00000000-0005-0000-0000-00004F000000}"/>
    <cellStyle name="Explanatory Text" xfId="79" builtinId="53" customBuiltin="1"/>
    <cellStyle name="Good" xfId="80" builtinId="26" customBuiltin="1"/>
    <cellStyle name="Good 2" xfId="81" xr:uid="{00000000-0005-0000-0000-000052000000}"/>
    <cellStyle name="Heading 1" xfId="82" builtinId="16" customBuiltin="1"/>
    <cellStyle name="Heading 1 2" xfId="83" xr:uid="{00000000-0005-0000-0000-000054000000}"/>
    <cellStyle name="Heading 2" xfId="84" builtinId="17" customBuiltin="1"/>
    <cellStyle name="Heading 2 2" xfId="85" xr:uid="{00000000-0005-0000-0000-000056000000}"/>
    <cellStyle name="Heading 3" xfId="86" builtinId="18" customBuiltin="1"/>
    <cellStyle name="Heading 3 2" xfId="87" xr:uid="{00000000-0005-0000-0000-000058000000}"/>
    <cellStyle name="Heading 4" xfId="88" builtinId="19" customBuiltin="1"/>
    <cellStyle name="Heading 4 2" xfId="89" xr:uid="{00000000-0005-0000-0000-00005A000000}"/>
    <cellStyle name="HeadStateofNC" xfId="90" xr:uid="{00000000-0005-0000-0000-00005B000000}"/>
    <cellStyle name="HeadStateofNC 2" xfId="91" xr:uid="{00000000-0005-0000-0000-00005C000000}"/>
    <cellStyle name="HeadStateofNC 3" xfId="92" xr:uid="{00000000-0005-0000-0000-00005D000000}"/>
    <cellStyle name="HeadTitles" xfId="93" xr:uid="{00000000-0005-0000-0000-00005E000000}"/>
    <cellStyle name="HeadTitles 2" xfId="94" xr:uid="{00000000-0005-0000-0000-00005F000000}"/>
    <cellStyle name="HeadTitles 3" xfId="95" xr:uid="{00000000-0005-0000-0000-000060000000}"/>
    <cellStyle name="HeadYE_Date" xfId="96" xr:uid="{00000000-0005-0000-0000-000061000000}"/>
    <cellStyle name="Hyperlink" xfId="97" builtinId="8"/>
    <cellStyle name="Hyperlink 2" xfId="98" xr:uid="{00000000-0005-0000-0000-000063000000}"/>
    <cellStyle name="Hyperlink 2 2" xfId="99" xr:uid="{00000000-0005-0000-0000-000064000000}"/>
    <cellStyle name="Hyperlink 2 3" xfId="100" xr:uid="{00000000-0005-0000-0000-000065000000}"/>
    <cellStyle name="Hyperlink 3" xfId="101" xr:uid="{00000000-0005-0000-0000-000066000000}"/>
    <cellStyle name="Input" xfId="102" builtinId="20" customBuiltin="1"/>
    <cellStyle name="Input 2" xfId="103" xr:uid="{00000000-0005-0000-0000-000068000000}"/>
    <cellStyle name="Linked Cell" xfId="104" builtinId="24" customBuiltin="1"/>
    <cellStyle name="Linked Cell 2" xfId="105" xr:uid="{00000000-0005-0000-0000-00006A000000}"/>
    <cellStyle name="Neutral" xfId="106" builtinId="28" customBuiltin="1"/>
    <cellStyle name="Neutral 2" xfId="107" xr:uid="{00000000-0005-0000-0000-00006C000000}"/>
    <cellStyle name="Normal" xfId="0" builtinId="0"/>
    <cellStyle name="Normal 10" xfId="108" xr:uid="{00000000-0005-0000-0000-00006E000000}"/>
    <cellStyle name="Normal 11" xfId="109" xr:uid="{00000000-0005-0000-0000-00006F000000}"/>
    <cellStyle name="Normal 2" xfId="186" xr:uid="{00000000-0005-0000-0000-000070000000}"/>
    <cellStyle name="Normal 2 2" xfId="110" xr:uid="{00000000-0005-0000-0000-000071000000}"/>
    <cellStyle name="Normal 2 2 2" xfId="111" xr:uid="{00000000-0005-0000-0000-000072000000}"/>
    <cellStyle name="Normal 2 2 3" xfId="112" xr:uid="{00000000-0005-0000-0000-000073000000}"/>
    <cellStyle name="Normal 2 3" xfId="113" xr:uid="{00000000-0005-0000-0000-000074000000}"/>
    <cellStyle name="Normal 2 4" xfId="114" xr:uid="{00000000-0005-0000-0000-000075000000}"/>
    <cellStyle name="Normal 2 5" xfId="115" xr:uid="{00000000-0005-0000-0000-000076000000}"/>
    <cellStyle name="Normal 3" xfId="116" xr:uid="{00000000-0005-0000-0000-000077000000}"/>
    <cellStyle name="Normal 3 2" xfId="117" xr:uid="{00000000-0005-0000-0000-000078000000}"/>
    <cellStyle name="Normal 3 3" xfId="118" xr:uid="{00000000-0005-0000-0000-000079000000}"/>
    <cellStyle name="Normal 3 4" xfId="119" xr:uid="{00000000-0005-0000-0000-00007A000000}"/>
    <cellStyle name="Normal 4 2" xfId="120" xr:uid="{00000000-0005-0000-0000-00007B000000}"/>
    <cellStyle name="Normal 5" xfId="121" xr:uid="{00000000-0005-0000-0000-00007C000000}"/>
    <cellStyle name="Normal 5 2" xfId="122" xr:uid="{00000000-0005-0000-0000-00007D000000}"/>
    <cellStyle name="Normal 5 3" xfId="123" xr:uid="{00000000-0005-0000-0000-00007E000000}"/>
    <cellStyle name="Normal 5 4" xfId="124" xr:uid="{00000000-0005-0000-0000-00007F000000}"/>
    <cellStyle name="Normal 5 5" xfId="125" xr:uid="{00000000-0005-0000-0000-000080000000}"/>
    <cellStyle name="Normal 5 6" xfId="126" xr:uid="{00000000-0005-0000-0000-000081000000}"/>
    <cellStyle name="Normal 6" xfId="127" xr:uid="{00000000-0005-0000-0000-000082000000}"/>
    <cellStyle name="Normal 7" xfId="128" xr:uid="{00000000-0005-0000-0000-000083000000}"/>
    <cellStyle name="Normal 7 2" xfId="129" xr:uid="{00000000-0005-0000-0000-000084000000}"/>
    <cellStyle name="Normal 8" xfId="130" xr:uid="{00000000-0005-0000-0000-000085000000}"/>
    <cellStyle name="Normal 9" xfId="131" xr:uid="{00000000-0005-0000-0000-000086000000}"/>
    <cellStyle name="Normal_2002 pkg changesMartha" xfId="132" xr:uid="{00000000-0005-0000-0000-000087000000}"/>
    <cellStyle name="Normal_2006NCASexcl" xfId="133" xr:uid="{00000000-0005-0000-0000-000088000000}"/>
    <cellStyle name="Normal_a3p04" xfId="134" xr:uid="{00000000-0005-0000-0000-000089000000}"/>
    <cellStyle name="Normal_a3p04_2002NCASfawhsts" xfId="189" xr:uid="{DBABD91F-8A5F-4583-A070-F1C75E1E1A63}"/>
    <cellStyle name="Normal_a3p06_1" xfId="135" xr:uid="{00000000-0005-0000-0000-00008A000000}"/>
    <cellStyle name="Normal_a3p06_2002NCASfawhsts" xfId="136" xr:uid="{00000000-0005-0000-0000-00008B000000}"/>
    <cellStyle name="Normal_a3p07_attch3" xfId="190" xr:uid="{E2F0D193-A97F-4185-96AF-C9EED60BEF8A}"/>
    <cellStyle name="Normal_a3p08" xfId="137" xr:uid="{00000000-0005-0000-0000-00008C000000}"/>
    <cellStyle name="Normal_a3p09" xfId="138" xr:uid="{00000000-0005-0000-0000-00008D000000}"/>
    <cellStyle name="Normal_a3p10-15" xfId="139" xr:uid="{00000000-0005-0000-0000-00008E000000}"/>
    <cellStyle name="Normal_a3p19" xfId="140" xr:uid="{00000000-0005-0000-0000-00008F000000}"/>
    <cellStyle name="Normal_a4p01" xfId="141" xr:uid="{00000000-0005-0000-0000-000090000000}"/>
    <cellStyle name="Normal_a4p01_CmCoExcl" xfId="142" xr:uid="{00000000-0005-0000-0000-000091000000}"/>
    <cellStyle name="Normal_a4p02" xfId="143" xr:uid="{00000000-0005-0000-0000-000092000000}"/>
    <cellStyle name="Normal_a4p02_CmCoExcl" xfId="144" xr:uid="{00000000-0005-0000-0000-000093000000}"/>
    <cellStyle name="Normal_a4p04" xfId="145" xr:uid="{00000000-0005-0000-0000-000094000000}"/>
    <cellStyle name="Normal_a4p05" xfId="146" xr:uid="{00000000-0005-0000-0000-000095000000}"/>
    <cellStyle name="Normal_a4p06" xfId="147" xr:uid="{00000000-0005-0000-0000-000096000000}"/>
    <cellStyle name="Normal_a4p08" xfId="148" xr:uid="{00000000-0005-0000-0000-000097000000}"/>
    <cellStyle name="Normal_a5p10" xfId="149" xr:uid="{00000000-0005-0000-0000-000098000000}"/>
    <cellStyle name="Normal_a7p02" xfId="150" xr:uid="{00000000-0005-0000-0000-000099000000}"/>
    <cellStyle name="Normal_a7p02 2" xfId="191" xr:uid="{48B2946E-1F09-462F-9640-2E2D843ABE66}"/>
    <cellStyle name="Normal_a7p03" xfId="151" xr:uid="{00000000-0005-0000-0000-00009A000000}"/>
    <cellStyle name="Normal_a7p12" xfId="152" xr:uid="{00000000-0005-0000-0000-00009B000000}"/>
    <cellStyle name="Normal_CapAssetsJune30,2003" xfId="153" xr:uid="{00000000-0005-0000-0000-00009C000000}"/>
    <cellStyle name="Normal_CmCoExcl" xfId="154" xr:uid="{00000000-0005-0000-0000-00009D000000}"/>
    <cellStyle name="Normal_CollFilenames" xfId="155" xr:uid="{00000000-0005-0000-0000-00009E000000}"/>
    <cellStyle name="Normal_Related_Party" xfId="156" xr:uid="{00000000-0005-0000-0000-00009F000000}"/>
    <cellStyle name="Normal_Transfersheetsa" xfId="157" xr:uid="{00000000-0005-0000-0000-0000A0000000}"/>
    <cellStyle name="Normal_UnivExcl" xfId="158" xr:uid="{00000000-0005-0000-0000-0000A1000000}"/>
    <cellStyle name="Note 2" xfId="159" xr:uid="{00000000-0005-0000-0000-0000A2000000}"/>
    <cellStyle name="Note 2 2" xfId="160" xr:uid="{00000000-0005-0000-0000-0000A3000000}"/>
    <cellStyle name="Number$ -" xfId="161" xr:uid="{00000000-0005-0000-0000-0000A4000000}"/>
    <cellStyle name="Number$ - 2" xfId="162" xr:uid="{00000000-0005-0000-0000-0000A5000000}"/>
    <cellStyle name="Number-no $ -" xfId="163" xr:uid="{00000000-0005-0000-0000-0000A6000000}"/>
    <cellStyle name="Number-no $ - 2" xfId="164" xr:uid="{00000000-0005-0000-0000-0000A7000000}"/>
    <cellStyle name="Number-no $ -_2006Agencyproforma" xfId="165" xr:uid="{00000000-0005-0000-0000-0000A8000000}"/>
    <cellStyle name="NumberTotal$ -" xfId="166" xr:uid="{00000000-0005-0000-0000-0000A9000000}"/>
    <cellStyle name="NumberTotal$ - 2" xfId="167" xr:uid="{00000000-0005-0000-0000-0000AA000000}"/>
    <cellStyle name="NumberTotal-no $ -" xfId="168" xr:uid="{00000000-0005-0000-0000-0000AB000000}"/>
    <cellStyle name="NumberTotal-no $ - 2" xfId="169" xr:uid="{00000000-0005-0000-0000-0000AC000000}"/>
    <cellStyle name="NumNo$" xfId="170" xr:uid="{00000000-0005-0000-0000-0000AD000000}"/>
    <cellStyle name="NumNo$ 2" xfId="171" xr:uid="{00000000-0005-0000-0000-0000AE000000}"/>
    <cellStyle name="NumTotD" xfId="172" xr:uid="{00000000-0005-0000-0000-0000AF000000}"/>
    <cellStyle name="NumTotD 2" xfId="173" xr:uid="{00000000-0005-0000-0000-0000B0000000}"/>
    <cellStyle name="NumTotNo$" xfId="174" xr:uid="{00000000-0005-0000-0000-0000B1000000}"/>
    <cellStyle name="NumTotNo$ 2" xfId="175" xr:uid="{00000000-0005-0000-0000-0000B2000000}"/>
    <cellStyle name="Output" xfId="176" builtinId="21" customBuiltin="1"/>
    <cellStyle name="Output 2" xfId="177" xr:uid="{00000000-0005-0000-0000-0000B4000000}"/>
    <cellStyle name="Percent 2" xfId="178" xr:uid="{00000000-0005-0000-0000-0000B5000000}"/>
    <cellStyle name="Percent 2 2" xfId="179" xr:uid="{00000000-0005-0000-0000-0000B6000000}"/>
    <cellStyle name="Percent 3" xfId="180" xr:uid="{00000000-0005-0000-0000-0000B7000000}"/>
    <cellStyle name="Title" xfId="181" builtinId="15" customBuiltin="1"/>
    <cellStyle name="Title 2" xfId="182" xr:uid="{00000000-0005-0000-0000-0000B9000000}"/>
    <cellStyle name="Total" xfId="183" builtinId="25" customBuiltin="1"/>
    <cellStyle name="Total 2" xfId="184" xr:uid="{00000000-0005-0000-0000-0000BB000000}"/>
    <cellStyle name="Warning Text" xfId="185" builtinId="11" customBuiltin="1"/>
  </cellStyles>
  <dxfs count="8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ont>
        <b/>
        <i val="0"/>
        <color rgb="FF0000FF"/>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CCC2"/>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85726</xdr:rowOff>
    </xdr:from>
    <xdr:to>
      <xdr:col>9</xdr:col>
      <xdr:colOff>276225</xdr:colOff>
      <xdr:row>57</xdr:row>
      <xdr:rowOff>171450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305426"/>
          <a:ext cx="6353175" cy="360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u="sng">
              <a:latin typeface="Arial Narrow" panose="020B0606020202030204" pitchFamily="34" charset="0"/>
            </a:rPr>
            <a:t>All Government Combinations </a:t>
          </a:r>
          <a:r>
            <a:rPr lang="en-US" sz="700">
              <a:latin typeface="Arial Narrow" panose="020B0606020202030204" pitchFamily="34" charset="0"/>
            </a:rPr>
            <a:t>(GASB Codification Co10.152)</a:t>
          </a:r>
        </a:p>
        <a:p>
          <a:r>
            <a:rPr lang="en-US" sz="700">
              <a:latin typeface="Arial Narrow" panose="020B0606020202030204" pitchFamily="34" charset="0"/>
            </a:rPr>
            <a:t>For each government combination, the government should disclose the following information for the period in which the combination occurs:</a:t>
          </a:r>
        </a:p>
        <a:p>
          <a:pPr marL="91440" lvl="0" indent="-365760"/>
          <a:r>
            <a:rPr lang="en-US" sz="700">
              <a:latin typeface="Arial Narrow" panose="020B0606020202030204" pitchFamily="34" charset="0"/>
            </a:rPr>
            <a:t>a) A brief description of the government combination, including identification of the entities involved in the combination and whether the participating entities were included within the same financial reporting entity</a:t>
          </a:r>
        </a:p>
        <a:p>
          <a:pPr marL="91440" lvl="0" indent="-274320"/>
          <a:r>
            <a:rPr lang="en-US" sz="700">
              <a:latin typeface="Arial Narrow" panose="020B0606020202030204" pitchFamily="34" charset="0"/>
            </a:rPr>
            <a:t>b) The date of the combination</a:t>
          </a:r>
        </a:p>
        <a:p>
          <a:pPr marL="91440" lvl="0" indent="-274320">
            <a:spcAft>
              <a:spcPts val="400"/>
            </a:spcAft>
          </a:pPr>
          <a:r>
            <a:rPr lang="en-US" sz="700">
              <a:latin typeface="Arial Narrow" panose="020B0606020202030204" pitchFamily="34" charset="0"/>
            </a:rPr>
            <a:t>c)  A brief description of the primary reasons for the combination. </a:t>
          </a:r>
        </a:p>
        <a:p>
          <a:r>
            <a:rPr lang="en-US" sz="700" u="sng">
              <a:latin typeface="Arial Narrow" panose="020B0606020202030204" pitchFamily="34" charset="0"/>
            </a:rPr>
            <a:t>Government Mergers and Transfers of Operations </a:t>
          </a:r>
          <a:r>
            <a:rPr lang="en-US" sz="700">
              <a:latin typeface="Arial Narrow" panose="020B0606020202030204" pitchFamily="34" charset="0"/>
            </a:rPr>
            <a:t>(GASB Codification Co10.153)</a:t>
          </a:r>
        </a:p>
        <a:p>
          <a:pPr marL="91440" indent="-182880"/>
          <a:r>
            <a:rPr lang="en-US" sz="700">
              <a:latin typeface="Arial Narrow" panose="020B0606020202030204" pitchFamily="34" charset="0"/>
            </a:rPr>
            <a:t>The new government or continuing government also should disclose the following information:</a:t>
          </a:r>
        </a:p>
        <a:p>
          <a:pPr marL="91440" indent="-182880"/>
          <a:r>
            <a:rPr lang="en-US" sz="700">
              <a:latin typeface="Arial Narrow" panose="020B0606020202030204" pitchFamily="34" charset="0"/>
            </a:rPr>
            <a:t>a) The amounts recognized as of the merger date or the effective transfer date as follows:</a:t>
          </a:r>
        </a:p>
        <a:p>
          <a:pPr marL="182880" indent="-274320"/>
          <a:r>
            <a:rPr lang="en-US" sz="700">
              <a:latin typeface="Arial Narrow" panose="020B0606020202030204" pitchFamily="34" charset="0"/>
            </a:rPr>
            <a:t>	Total assets—distinguishing between current assets, capital assets, and other assets</a:t>
          </a:r>
        </a:p>
        <a:p>
          <a:pPr marL="182880" indent="-274320"/>
          <a:r>
            <a:rPr lang="en-US" sz="700">
              <a:latin typeface="Arial Narrow" panose="020B0606020202030204" pitchFamily="34" charset="0"/>
            </a:rPr>
            <a:t>	Total deferred outflows of resources</a:t>
          </a:r>
        </a:p>
        <a:p>
          <a:pPr marL="182880" indent="-274320"/>
          <a:r>
            <a:rPr lang="en-US" sz="700">
              <a:latin typeface="Arial Narrow" panose="020B0606020202030204" pitchFamily="34" charset="0"/>
            </a:rPr>
            <a:t>	Total liabilities—distinguishing between current and long-term amounts</a:t>
          </a:r>
        </a:p>
        <a:p>
          <a:pPr marL="182880" indent="-274320"/>
          <a:r>
            <a:rPr lang="en-US" sz="700">
              <a:latin typeface="Arial Narrow" panose="020B0606020202030204" pitchFamily="34" charset="0"/>
            </a:rPr>
            <a:t>	Total deferred inflows of resources</a:t>
          </a:r>
        </a:p>
        <a:p>
          <a:pPr marL="182880" indent="-274320"/>
          <a:r>
            <a:rPr lang="en-US" sz="700">
              <a:latin typeface="Arial Narrow" panose="020B0606020202030204" pitchFamily="34" charset="0"/>
            </a:rPr>
            <a:t>	Total net position by component</a:t>
          </a:r>
        </a:p>
        <a:p>
          <a:pPr marL="91440" indent="-274320"/>
          <a:r>
            <a:rPr lang="en-US" sz="700">
              <a:latin typeface="Arial Narrow" panose="020B0606020202030204" pitchFamily="34" charset="0"/>
            </a:rPr>
            <a:t>b) A brief description of the nature and amount of significant adjustments made to bring into conformity the individual accounting policies or to adjust for impairment of capital assets resulting from the merger or transfer</a:t>
          </a:r>
        </a:p>
        <a:p>
          <a:pPr marL="91440" indent="-274320">
            <a:spcAft>
              <a:spcPts val="400"/>
            </a:spcAft>
          </a:pPr>
          <a:r>
            <a:rPr lang="en-US" sz="700">
              <a:latin typeface="Arial Narrow" panose="020B0606020202030204" pitchFamily="34" charset="0"/>
            </a:rPr>
            <a:t>c) The initial amounts recognized by the new or continuing government, if different from the values in (a) and the differences that arise from modifying the carrying values in (a) by the adjustments in (b).</a:t>
          </a:r>
        </a:p>
        <a:p>
          <a:r>
            <a:rPr lang="en-US" sz="700" u="sng">
              <a:latin typeface="Arial Narrow" panose="020B0606020202030204" pitchFamily="34" charset="0"/>
            </a:rPr>
            <a:t>Government Acquisitions </a:t>
          </a:r>
          <a:r>
            <a:rPr lang="en-US" sz="700">
              <a:latin typeface="Arial Narrow" panose="020B0606020202030204" pitchFamily="34" charset="0"/>
            </a:rPr>
            <a:t>(GASB Codification Co10.154)</a:t>
          </a:r>
        </a:p>
        <a:p>
          <a:r>
            <a:rPr lang="en-US" sz="700">
              <a:latin typeface="Arial Narrow" panose="020B0606020202030204" pitchFamily="34" charset="0"/>
            </a:rPr>
            <a:t>In the period in which an acquisition occurs, the acquiring government also should disclose the following information:</a:t>
          </a:r>
        </a:p>
        <a:p>
          <a:pPr marL="91440" indent="-182880"/>
          <a:r>
            <a:rPr lang="en-US" sz="700">
              <a:latin typeface="Arial Narrow" panose="020B0606020202030204" pitchFamily="34" charset="0"/>
            </a:rPr>
            <a:t>a)  A brief description of the consideration provided</a:t>
          </a:r>
        </a:p>
        <a:p>
          <a:pPr marL="91440" indent="-182880"/>
          <a:r>
            <a:rPr lang="en-US" sz="700">
              <a:latin typeface="Arial Narrow" panose="020B0606020202030204" pitchFamily="34" charset="0"/>
            </a:rPr>
            <a:t>b)  The total amount of net position acquired (based on the provisions set forth in paragraphs 29–36 of this Statement) as of the date of acquisition </a:t>
          </a:r>
        </a:p>
        <a:p>
          <a:pPr marL="91440" indent="-182880">
            <a:spcAft>
              <a:spcPts val="400"/>
            </a:spcAft>
          </a:pPr>
          <a:r>
            <a:rPr lang="en-US" sz="700">
              <a:latin typeface="Arial Narrow" panose="020B0606020202030204" pitchFamily="34" charset="0"/>
            </a:rPr>
            <a:t>c)  A brief description of contingent consideration arrangements, including the basis for determining the amount of payments that are contingent. </a:t>
          </a:r>
        </a:p>
        <a:p>
          <a:r>
            <a:rPr lang="en-US" sz="700" u="sng">
              <a:latin typeface="Arial Narrow" panose="020B0606020202030204" pitchFamily="34" charset="0"/>
            </a:rPr>
            <a:t>Disposals of Government Operations </a:t>
          </a:r>
          <a:r>
            <a:rPr lang="en-US" sz="700">
              <a:latin typeface="Arial Narrow" panose="020B0606020202030204" pitchFamily="34" charset="0"/>
            </a:rPr>
            <a:t>(GASB Codification Co10.155)</a:t>
          </a:r>
        </a:p>
        <a:p>
          <a:r>
            <a:rPr lang="en-US" sz="700">
              <a:latin typeface="Arial Narrow" panose="020B0606020202030204" pitchFamily="34" charset="0"/>
            </a:rPr>
            <a:t>In the period in which operations are transferred or sold, the disposing government should identify the operations and provide a brief description of the facts and circumstances leading to the disposal of those operations. In addition, the disposing government should identify and disclose the following information about the disposed government operations if not separately presented in its financial statements:</a:t>
          </a:r>
        </a:p>
        <a:p>
          <a:r>
            <a:rPr lang="en-US" sz="700">
              <a:latin typeface="Arial Narrow" panose="020B0606020202030204" pitchFamily="34" charset="0"/>
            </a:rPr>
            <a:t>a)  Total expenses, distinguishing between operating and nonoperating, if applicable</a:t>
          </a:r>
        </a:p>
        <a:p>
          <a:r>
            <a:rPr lang="en-US" sz="700">
              <a:latin typeface="Arial Narrow" panose="020B0606020202030204" pitchFamily="34" charset="0"/>
            </a:rPr>
            <a:t>b)  Total revenues, distinguishing between operating and nonoperating, if applicable</a:t>
          </a:r>
        </a:p>
        <a:p>
          <a:pPr>
            <a:spcAft>
              <a:spcPts val="600"/>
            </a:spcAft>
          </a:pPr>
          <a:endParaRPr lang="en-US" sz="750">
            <a:latin typeface="Arial Narrow" panose="020B0606020202030204" pitchFamily="34" charset="0"/>
          </a:endParaRPr>
        </a:p>
        <a:p>
          <a:r>
            <a:rPr lang="en-US" sz="800">
              <a:latin typeface="Arial Narrow" panose="020B0606020202030204" pitchFamily="34" charset="0"/>
            </a:rPr>
            <a:t> </a:t>
          </a:r>
          <a:endParaRPr lang="en-US" sz="1100"/>
        </a:p>
      </xdr:txBody>
    </xdr:sp>
    <xdr:clientData/>
  </xdr:twoCellAnchor>
  <xdr:twoCellAnchor>
    <xdr:from>
      <xdr:col>0</xdr:col>
      <xdr:colOff>28575</xdr:colOff>
      <xdr:row>60</xdr:row>
      <xdr:rowOff>28575</xdr:rowOff>
    </xdr:from>
    <xdr:to>
      <xdr:col>10</xdr:col>
      <xdr:colOff>0</xdr:colOff>
      <xdr:row>62</xdr:row>
      <xdr:rowOff>182880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8575" y="9264015"/>
          <a:ext cx="5922645" cy="535305"/>
        </a:xfrm>
        <a:prstGeom prst="rect">
          <a:avLst/>
        </a:prstGeom>
        <a:solidFill>
          <a:schemeClr val="lt1"/>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74</xdr:row>
      <xdr:rowOff>114300</xdr:rowOff>
    </xdr:from>
    <xdr:to>
      <xdr:col>10</xdr:col>
      <xdr:colOff>329575</xdr:colOff>
      <xdr:row>80</xdr:row>
      <xdr:rowOff>76200</xdr:rowOff>
    </xdr:to>
    <xdr:sp macro="" textlink="">
      <xdr:nvSpPr>
        <xdr:cNvPr id="2049" name="Text Box 1">
          <a:extLst>
            <a:ext uri="{FF2B5EF4-FFF2-40B4-BE49-F238E27FC236}">
              <a16:creationId xmlns:a16="http://schemas.microsoft.com/office/drawing/2014/main" id="{00000000-0008-0000-0A00-000001080000}"/>
            </a:ext>
          </a:extLst>
        </xdr:cNvPr>
        <xdr:cNvSpPr txBox="1">
          <a:spLocks noChangeArrowheads="1"/>
        </xdr:cNvSpPr>
      </xdr:nvSpPr>
      <xdr:spPr bwMode="auto">
        <a:xfrm>
          <a:off x="211455" y="8782050"/>
          <a:ext cx="4023370" cy="933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twoCellAnchor>
    <xdr:from>
      <xdr:col>1</xdr:col>
      <xdr:colOff>47625</xdr:colOff>
      <xdr:row>21</xdr:row>
      <xdr:rowOff>38100</xdr:rowOff>
    </xdr:from>
    <xdr:to>
      <xdr:col>12</xdr:col>
      <xdr:colOff>988691</xdr:colOff>
      <xdr:row>33</xdr:row>
      <xdr:rowOff>133350</xdr:rowOff>
    </xdr:to>
    <xdr:sp macro="" textlink="" fLocksText="0">
      <xdr:nvSpPr>
        <xdr:cNvPr id="2050" name="Text Box 2">
          <a:extLst>
            <a:ext uri="{FF2B5EF4-FFF2-40B4-BE49-F238E27FC236}">
              <a16:creationId xmlns:a16="http://schemas.microsoft.com/office/drawing/2014/main" id="{00000000-0008-0000-0A00-000002080000}"/>
            </a:ext>
          </a:extLst>
        </xdr:cNvPr>
        <xdr:cNvSpPr txBox="1">
          <a:spLocks noChangeArrowheads="1"/>
        </xdr:cNvSpPr>
      </xdr:nvSpPr>
      <xdr:spPr bwMode="auto">
        <a:xfrm>
          <a:off x="247650" y="3543300"/>
          <a:ext cx="5619750" cy="2495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description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40</xdr:row>
      <xdr:rowOff>38100</xdr:rowOff>
    </xdr:from>
    <xdr:to>
      <xdr:col>12</xdr:col>
      <xdr:colOff>988691</xdr:colOff>
      <xdr:row>48</xdr:row>
      <xdr:rowOff>133350</xdr:rowOff>
    </xdr:to>
    <xdr:sp macro="" textlink="" fLocksText="0">
      <xdr:nvSpPr>
        <xdr:cNvPr id="4" name="Text Box 2">
          <a:extLst>
            <a:ext uri="{FF2B5EF4-FFF2-40B4-BE49-F238E27FC236}">
              <a16:creationId xmlns:a16="http://schemas.microsoft.com/office/drawing/2014/main" id="{1322F054-9031-4BAD-9F90-2D41C802AD0D}"/>
            </a:ext>
          </a:extLst>
        </xdr:cNvPr>
        <xdr:cNvSpPr txBox="1">
          <a:spLocks noChangeArrowheads="1"/>
        </xdr:cNvSpPr>
      </xdr:nvSpPr>
      <xdr:spPr bwMode="auto">
        <a:xfrm>
          <a:off x="230505" y="3741420"/>
          <a:ext cx="5284466"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lease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52</xdr:row>
      <xdr:rowOff>38100</xdr:rowOff>
    </xdr:from>
    <xdr:to>
      <xdr:col>12</xdr:col>
      <xdr:colOff>988691</xdr:colOff>
      <xdr:row>60</xdr:row>
      <xdr:rowOff>133350</xdr:rowOff>
    </xdr:to>
    <xdr:sp macro="" textlink="" fLocksText="0">
      <xdr:nvSpPr>
        <xdr:cNvPr id="2" name="Text Box 2">
          <a:extLst>
            <a:ext uri="{FF2B5EF4-FFF2-40B4-BE49-F238E27FC236}">
              <a16:creationId xmlns:a16="http://schemas.microsoft.com/office/drawing/2014/main" id="{E6C43144-EF37-4669-A1D5-9992D11373B7}"/>
            </a:ext>
          </a:extLst>
        </xdr:cNvPr>
        <xdr:cNvSpPr txBox="1">
          <a:spLocks noChangeArrowheads="1"/>
        </xdr:cNvSpPr>
      </xdr:nvSpPr>
      <xdr:spPr bwMode="auto">
        <a:xfrm>
          <a:off x="230505" y="7277100"/>
          <a:ext cx="5292086" cy="16916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subscription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220980</xdr:colOff>
      <xdr:row>60</xdr:row>
      <xdr:rowOff>38100</xdr:rowOff>
    </xdr:from>
    <xdr:to>
      <xdr:col>12</xdr:col>
      <xdr:colOff>897251</xdr:colOff>
      <xdr:row>72</xdr:row>
      <xdr:rowOff>133350</xdr:rowOff>
    </xdr:to>
    <xdr:sp macro="" textlink="" fLocksText="0">
      <xdr:nvSpPr>
        <xdr:cNvPr id="5" name="Text Box 2">
          <a:extLst>
            <a:ext uri="{FF2B5EF4-FFF2-40B4-BE49-F238E27FC236}">
              <a16:creationId xmlns:a16="http://schemas.microsoft.com/office/drawing/2014/main" id="{9BD82901-C012-477E-9312-3584837FB8F5}"/>
            </a:ext>
          </a:extLst>
        </xdr:cNvPr>
        <xdr:cNvSpPr txBox="1">
          <a:spLocks noChangeArrowheads="1"/>
        </xdr:cNvSpPr>
      </xdr:nvSpPr>
      <xdr:spPr bwMode="auto">
        <a:xfrm>
          <a:off x="220980" y="842772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2</xdr:col>
      <xdr:colOff>220980</xdr:colOff>
      <xdr:row>118</xdr:row>
      <xdr:rowOff>38100</xdr:rowOff>
    </xdr:from>
    <xdr:to>
      <xdr:col>12</xdr:col>
      <xdr:colOff>897251</xdr:colOff>
      <xdr:row>130</xdr:row>
      <xdr:rowOff>133350</xdr:rowOff>
    </xdr:to>
    <xdr:sp macro="" textlink="" fLocksText="0">
      <xdr:nvSpPr>
        <xdr:cNvPr id="9" name="Text Box 2">
          <a:extLst>
            <a:ext uri="{FF2B5EF4-FFF2-40B4-BE49-F238E27FC236}">
              <a16:creationId xmlns:a16="http://schemas.microsoft.com/office/drawing/2014/main" id="{DC2943BA-BDAA-4ACE-979C-269C7E81445E}"/>
            </a:ext>
          </a:extLst>
        </xdr:cNvPr>
        <xdr:cNvSpPr txBox="1">
          <a:spLocks noChangeArrowheads="1"/>
        </xdr:cNvSpPr>
      </xdr:nvSpPr>
      <xdr:spPr bwMode="auto">
        <a:xfrm>
          <a:off x="220980" y="851916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Lessor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220980</xdr:colOff>
      <xdr:row>51</xdr:row>
      <xdr:rowOff>38100</xdr:rowOff>
    </xdr:from>
    <xdr:to>
      <xdr:col>12</xdr:col>
      <xdr:colOff>897251</xdr:colOff>
      <xdr:row>63</xdr:row>
      <xdr:rowOff>133350</xdr:rowOff>
    </xdr:to>
    <xdr:sp macro="" textlink="" fLocksText="0">
      <xdr:nvSpPr>
        <xdr:cNvPr id="2" name="Text Box 2">
          <a:extLst>
            <a:ext uri="{FF2B5EF4-FFF2-40B4-BE49-F238E27FC236}">
              <a16:creationId xmlns:a16="http://schemas.microsoft.com/office/drawing/2014/main" id="{94A67E32-20AA-4B41-8702-A337F3761FA5}"/>
            </a:ext>
          </a:extLst>
        </xdr:cNvPr>
        <xdr:cNvSpPr txBox="1">
          <a:spLocks noChangeArrowheads="1"/>
        </xdr:cNvSpPr>
      </xdr:nvSpPr>
      <xdr:spPr bwMode="auto">
        <a:xfrm>
          <a:off x="220980" y="10088880"/>
          <a:ext cx="624649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87</xdr:row>
      <xdr:rowOff>47625</xdr:rowOff>
    </xdr:from>
    <xdr:to>
      <xdr:col>11</xdr:col>
      <xdr:colOff>295274</xdr:colOff>
      <xdr:row>94</xdr:row>
      <xdr:rowOff>152400</xdr:rowOff>
    </xdr:to>
    <xdr:sp macro="" textlink="" fLocksText="0">
      <xdr:nvSpPr>
        <xdr:cNvPr id="5" name="Rectangle 4">
          <a:extLst>
            <a:ext uri="{FF2B5EF4-FFF2-40B4-BE49-F238E27FC236}">
              <a16:creationId xmlns:a16="http://schemas.microsoft.com/office/drawing/2014/main" id="{E7A2C963-3F10-4BB3-8E51-299A9C3AEBC2}"/>
            </a:ext>
          </a:extLst>
        </xdr:cNvPr>
        <xdr:cNvSpPr>
          <a:spLocks noChangeArrowheads="1"/>
        </xdr:cNvSpPr>
      </xdr:nvSpPr>
      <xdr:spPr bwMode="auto">
        <a:xfrm>
          <a:off x="76200" y="15725775"/>
          <a:ext cx="6340474" cy="1196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strike="noStrike" baseline="0">
              <a:solidFill>
                <a:srgbClr val="000000"/>
              </a:solidFill>
              <a:latin typeface="Arial"/>
              <a:cs typeface="Arial"/>
            </a:rPr>
            <a:t>Please provide the required disclosures for AROs in the space provided below. (If more space is needed use the Explanations tab)</a:t>
          </a:r>
          <a:endParaRPr lang="en-US" sz="8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57150</xdr:rowOff>
    </xdr:from>
    <xdr:to>
      <xdr:col>12</xdr:col>
      <xdr:colOff>902970</xdr:colOff>
      <xdr:row>46</xdr:row>
      <xdr:rowOff>11430</xdr:rowOff>
    </xdr:to>
    <xdr:sp macro="" textlink="">
      <xdr:nvSpPr>
        <xdr:cNvPr id="56710" name="Text Box 2">
          <a:extLst>
            <a:ext uri="{FF2B5EF4-FFF2-40B4-BE49-F238E27FC236}">
              <a16:creationId xmlns:a16="http://schemas.microsoft.com/office/drawing/2014/main" id="{00000000-0008-0000-1000-000086DD0000}"/>
            </a:ext>
          </a:extLst>
        </xdr:cNvPr>
        <xdr:cNvSpPr txBox="1">
          <a:spLocks noChangeArrowheads="1"/>
        </xdr:cNvSpPr>
      </xdr:nvSpPr>
      <xdr:spPr bwMode="auto">
        <a:xfrm>
          <a:off x="228600" y="4657725"/>
          <a:ext cx="561975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70485</xdr:colOff>
      <xdr:row>26</xdr:row>
      <xdr:rowOff>66675</xdr:rowOff>
    </xdr:from>
    <xdr:to>
      <xdr:col>12</xdr:col>
      <xdr:colOff>885788</xdr:colOff>
      <xdr:row>43</xdr:row>
      <xdr:rowOff>95250</xdr:rowOff>
    </xdr:to>
    <xdr:sp macro="" textlink="" fLocksText="0">
      <xdr:nvSpPr>
        <xdr:cNvPr id="3" name="Rectangle 3">
          <a:extLst>
            <a:ext uri="{FF2B5EF4-FFF2-40B4-BE49-F238E27FC236}">
              <a16:creationId xmlns:a16="http://schemas.microsoft.com/office/drawing/2014/main" id="{00000000-0008-0000-1000-0000030C0000}"/>
            </a:ext>
          </a:extLst>
        </xdr:cNvPr>
        <xdr:cNvSpPr>
          <a:spLocks noChangeArrowheads="1"/>
        </xdr:cNvSpPr>
      </xdr:nvSpPr>
      <xdr:spPr bwMode="auto">
        <a:xfrm>
          <a:off x="70485" y="4505325"/>
          <a:ext cx="5758778" cy="3390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sng" strike="noStrike">
              <a:solidFill>
                <a:srgbClr val="000000"/>
              </a:solidFill>
              <a:latin typeface="Arial"/>
              <a:cs typeface="Arial"/>
            </a:rPr>
            <a:t>Please fill in the required disclosure for support from foundations as defined above and below:</a:t>
          </a: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Foundation – The (</a:t>
          </a:r>
          <a:r>
            <a:rPr lang="en-US" sz="800" b="1" i="0" u="sng" strike="noStrike">
              <a:solidFill>
                <a:srgbClr val="7030A0"/>
              </a:solidFill>
              <a:latin typeface="Arial"/>
              <a:cs typeface="Arial"/>
            </a:rPr>
            <a:t>name of foundation</a:t>
          </a:r>
          <a:r>
            <a:rPr lang="en-US" sz="800" b="1" i="0" u="sng" strike="noStrike" baseline="0">
              <a:solidFill>
                <a:srgbClr val="7030A0"/>
              </a:solidFill>
              <a:latin typeface="Arial"/>
              <a:cs typeface="Arial"/>
            </a:rPr>
            <a:t> - please fill in name</a:t>
          </a:r>
          <a:r>
            <a:rPr lang="en-US" sz="800" b="0" i="0" strike="noStrike" baseline="0">
              <a:solidFill>
                <a:srgbClr val="000000"/>
              </a:solidFill>
              <a:latin typeface="Arial"/>
              <a:cs typeface="Arial"/>
            </a:rPr>
            <a:t>)</a:t>
          </a:r>
          <a:r>
            <a:rPr lang="en-US" sz="800" b="0" i="0" strike="noStrike">
              <a:solidFill>
                <a:srgbClr val="000000"/>
              </a:solidFill>
              <a:latin typeface="Arial"/>
              <a:cs typeface="Arial"/>
            </a:rPr>
            <a:t> is a separately incorporated nonprofit foundation associated with the College.  This organization serves as a fundraising arm of the College through which individuals, corporations, and other organizations support College programs by providing </a:t>
          </a:r>
          <a:r>
            <a:rPr lang="en-US" sz="800" b="1" i="0" strike="noStrike">
              <a:solidFill>
                <a:srgbClr val="000000"/>
              </a:solidFill>
              <a:latin typeface="Arial"/>
              <a:cs typeface="Arial"/>
            </a:rPr>
            <a:t>scholarships, fellowships, faculty salary supplements, and unrestricted funds to specific departments and the College’s overall academic environment</a:t>
          </a:r>
          <a:r>
            <a:rPr lang="en-US" sz="800" b="0" i="0" strike="noStrike">
              <a:solidFill>
                <a:srgbClr val="000000"/>
              </a:solidFill>
              <a:latin typeface="Arial"/>
              <a:cs typeface="Arial"/>
            </a:rPr>
            <a:t>.  The College’s financial statements do not include the assets, liabilities, net assets, or operational transactions of the Foundation, except for the distributions made and benefits provided by the Foundation.  The distributions received and/or benefits provided approximated </a:t>
          </a:r>
          <a:r>
            <a:rPr lang="en-US" sz="800" b="1" i="0" strike="noStrike">
              <a:solidFill>
                <a:srgbClr val="7030A0"/>
              </a:solidFill>
              <a:latin typeface="Arial"/>
              <a:cs typeface="Arial"/>
            </a:rPr>
            <a:t>$___</a:t>
          </a:r>
          <a:r>
            <a:rPr lang="en-US" sz="800" b="0" i="0" strike="noStrike">
              <a:solidFill>
                <a:srgbClr val="000000"/>
              </a:solidFill>
              <a:latin typeface="Arial"/>
              <a:cs typeface="Arial"/>
            </a:rPr>
            <a:t> </a:t>
          </a:r>
          <a:r>
            <a:rPr lang="en-US" sz="800" b="0" i="0" strike="noStrike">
              <a:solidFill>
                <a:srgbClr val="7030A0"/>
              </a:solidFill>
              <a:latin typeface="Arial"/>
              <a:cs typeface="Arial"/>
            </a:rPr>
            <a:t>(please fill in amount of  support) </a:t>
          </a:r>
          <a:r>
            <a:rPr lang="en-US" sz="800" b="0" i="0" strike="noStrike">
              <a:solidFill>
                <a:srgbClr val="000000"/>
              </a:solidFill>
              <a:latin typeface="Arial"/>
              <a:cs typeface="Arial"/>
            </a:rPr>
            <a:t>for the year ended June 30, 2023.  The</a:t>
          </a:r>
          <a:r>
            <a:rPr lang="en-US" sz="800" b="0" i="0" strike="noStrike" baseline="0">
              <a:solidFill>
                <a:srgbClr val="000000"/>
              </a:solidFill>
              <a:latin typeface="Arial"/>
              <a:cs typeface="Arial"/>
            </a:rPr>
            <a:t> College has receivables from and payables to the related party(ies) of $_______ and $______, respectively, as of June 30, 2023.</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u="sng" strike="noStrike">
              <a:solidFill>
                <a:srgbClr val="000000"/>
              </a:solidFill>
              <a:latin typeface="Arial"/>
              <a:cs typeface="Arial"/>
            </a:rPr>
            <a:t>Describe any other related party transactions that meet the $10 million threshold:</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16</xdr:row>
      <xdr:rowOff>7620</xdr:rowOff>
    </xdr:from>
    <xdr:to>
      <xdr:col>8</xdr:col>
      <xdr:colOff>7620</xdr:colOff>
      <xdr:row>24</xdr:row>
      <xdr:rowOff>112117</xdr:rowOff>
    </xdr:to>
    <xdr:pic>
      <xdr:nvPicPr>
        <xdr:cNvPr id="18" name="Picture 1">
          <a:extLst>
            <a:ext uri="{FF2B5EF4-FFF2-40B4-BE49-F238E27FC236}">
              <a16:creationId xmlns:a16="http://schemas.microsoft.com/office/drawing/2014/main" id="{27C1B597-B1BF-4260-99C9-9B257D78ED1F}"/>
            </a:ext>
          </a:extLst>
        </xdr:cNvPr>
        <xdr:cNvPicPr>
          <a:picLocks noChangeAspect="1"/>
        </xdr:cNvPicPr>
      </xdr:nvPicPr>
      <xdr:blipFill>
        <a:blip xmlns:r="http://schemas.openxmlformats.org/officeDocument/2006/relationships" r:embed="rId1"/>
        <a:stretch>
          <a:fillRect/>
        </a:stretch>
      </xdr:blipFill>
      <xdr:spPr>
        <a:xfrm>
          <a:off x="0" y="3025140"/>
          <a:ext cx="6332220" cy="1169392"/>
        </a:xfrm>
        <a:prstGeom prst="rect">
          <a:avLst/>
        </a:prstGeom>
      </xdr:spPr>
    </xdr:pic>
    <xdr:clientData/>
  </xdr:twoCellAnchor>
  <xdr:twoCellAnchor editAs="oneCell">
    <xdr:from>
      <xdr:col>0</xdr:col>
      <xdr:colOff>1</xdr:colOff>
      <xdr:row>33</xdr:row>
      <xdr:rowOff>0</xdr:rowOff>
    </xdr:from>
    <xdr:to>
      <xdr:col>8</xdr:col>
      <xdr:colOff>0</xdr:colOff>
      <xdr:row>40</xdr:row>
      <xdr:rowOff>121920</xdr:rowOff>
    </xdr:to>
    <xdr:pic>
      <xdr:nvPicPr>
        <xdr:cNvPr id="15" name="Picture 2">
          <a:extLst>
            <a:ext uri="{FF2B5EF4-FFF2-40B4-BE49-F238E27FC236}">
              <a16:creationId xmlns:a16="http://schemas.microsoft.com/office/drawing/2014/main" id="{A1AD2F11-8248-4100-9692-A315C64A1E18}"/>
            </a:ext>
          </a:extLst>
        </xdr:cNvPr>
        <xdr:cNvPicPr>
          <a:picLocks noChangeAspect="1"/>
        </xdr:cNvPicPr>
      </xdr:nvPicPr>
      <xdr:blipFill>
        <a:blip xmlns:r="http://schemas.openxmlformats.org/officeDocument/2006/relationships" r:embed="rId2"/>
        <a:stretch>
          <a:fillRect/>
        </a:stretch>
      </xdr:blipFill>
      <xdr:spPr>
        <a:xfrm>
          <a:off x="1" y="5494020"/>
          <a:ext cx="6324599" cy="1051560"/>
        </a:xfrm>
        <a:prstGeom prst="rect">
          <a:avLst/>
        </a:prstGeom>
      </xdr:spPr>
    </xdr:pic>
    <xdr:clientData/>
  </xdr:twoCellAnchor>
  <xdr:twoCellAnchor editAs="oneCell">
    <xdr:from>
      <xdr:col>0</xdr:col>
      <xdr:colOff>1</xdr:colOff>
      <xdr:row>50</xdr:row>
      <xdr:rowOff>0</xdr:rowOff>
    </xdr:from>
    <xdr:to>
      <xdr:col>7</xdr:col>
      <xdr:colOff>480061</xdr:colOff>
      <xdr:row>58</xdr:row>
      <xdr:rowOff>7620</xdr:rowOff>
    </xdr:to>
    <xdr:pic>
      <xdr:nvPicPr>
        <xdr:cNvPr id="17" name="Picture 3">
          <a:extLst>
            <a:ext uri="{FF2B5EF4-FFF2-40B4-BE49-F238E27FC236}">
              <a16:creationId xmlns:a16="http://schemas.microsoft.com/office/drawing/2014/main" id="{5AB344C0-E81B-499D-BCD6-E72ED6C3D117}"/>
            </a:ext>
          </a:extLst>
        </xdr:cNvPr>
        <xdr:cNvPicPr>
          <a:picLocks noChangeAspect="1"/>
        </xdr:cNvPicPr>
      </xdr:nvPicPr>
      <xdr:blipFill>
        <a:blip xmlns:r="http://schemas.openxmlformats.org/officeDocument/2006/relationships" r:embed="rId3"/>
        <a:stretch>
          <a:fillRect/>
        </a:stretch>
      </xdr:blipFill>
      <xdr:spPr>
        <a:xfrm>
          <a:off x="1" y="7970520"/>
          <a:ext cx="6309360" cy="10744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xdr:colOff>
      <xdr:row>7</xdr:row>
      <xdr:rowOff>76200</xdr:rowOff>
    </xdr:from>
    <xdr:to>
      <xdr:col>22</xdr:col>
      <xdr:colOff>5</xdr:colOff>
      <xdr:row>13</xdr:row>
      <xdr:rowOff>78114</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28575" y="1600200"/>
          <a:ext cx="9258300" cy="11525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$2 million or greater for colleges.</a:t>
          </a:r>
          <a:r>
            <a:rPr lang="en-US" sz="900" b="0" i="0" strike="noStrike" baseline="0">
              <a:solidFill>
                <a:srgbClr val="000000"/>
              </a:solidFill>
              <a:latin typeface="Arial"/>
              <a:cs typeface="Arial"/>
            </a:rPr>
            <a:t> </a:t>
          </a:r>
          <a:r>
            <a:rPr lang="en-US" sz="900" b="0" i="0" strike="noStrike">
              <a:solidFill>
                <a:srgbClr val="000000"/>
              </a:solidFill>
              <a:latin typeface="Arial"/>
              <a:cs typeface="Arial"/>
            </a:rPr>
            <a:t>Start with the operating statement and analyze revenues and expenses. </a:t>
          </a:r>
          <a:r>
            <a:rPr lang="en-US" sz="1000" b="0" i="0">
              <a:effectLst/>
              <a:latin typeface="+mn-lt"/>
              <a:ea typeface="+mn-ea"/>
              <a:cs typeface="+mn-cs"/>
            </a:rPr>
            <a:t>First explain the operating statement variances.   </a:t>
          </a:r>
          <a:r>
            <a:rPr lang="en-US" sz="900" b="0" i="0" strike="noStrike">
              <a:solidFill>
                <a:srgbClr val="000000"/>
              </a:solidFill>
              <a:latin typeface="Arial"/>
              <a:cs typeface="Arial"/>
            </a:rPr>
            <a:t>Then look at assets and liabilities.  Then, explain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a:t>
          </a:r>
          <a:r>
            <a:rPr lang="en-US" sz="900" b="1" i="1" u="sng" strike="noStrike" baseline="0">
              <a:solidFill>
                <a:srgbClr val="000000"/>
              </a:solidFill>
              <a:latin typeface="Arial"/>
              <a:cs typeface="Arial"/>
            </a:rPr>
            <a:t> Student tuition and fees revenue</a:t>
          </a:r>
          <a:r>
            <a:rPr lang="en-US" sz="900" b="1" i="1" u="sng" strike="noStrike">
              <a:solidFill>
                <a:srgbClr val="000000"/>
              </a:solidFill>
              <a:latin typeface="Arial"/>
              <a:cs typeface="Arial"/>
            </a:rPr>
            <a:t> increase? What happened this year to cause this variance?</a:t>
          </a:r>
          <a:r>
            <a:rPr lang="en-US" sz="900" b="0" i="0" strike="noStrike">
              <a:solidFill>
                <a:srgbClr val="000000"/>
              </a:solidFill>
              <a:latin typeface="Arial"/>
              <a:cs typeface="Arial"/>
            </a:rPr>
            <a:t> Variances for net position do not require explanation. The description area is formatted to wrap text, so take as much space as needed to explain, and just increase the height of the row to show the text. Create a copy of this page for more space as needed. To make a copy of this worksheet:</a:t>
          </a:r>
          <a:r>
            <a:rPr lang="en-US" sz="900" b="0" i="0" strike="noStrike" baseline="0">
              <a:solidFill>
                <a:srgbClr val="000000"/>
              </a:solidFill>
              <a:latin typeface="Arial"/>
              <a:cs typeface="Arial"/>
            </a:rPr>
            <a:t> right click on the tab, select </a:t>
          </a:r>
          <a:r>
            <a:rPr lang="en-US" sz="900" b="0" i="0" u="sng" strike="noStrike" baseline="0">
              <a:solidFill>
                <a:srgbClr val="000000"/>
              </a:solidFill>
              <a:latin typeface="Arial"/>
              <a:cs typeface="Arial"/>
            </a:rPr>
            <a:t>Move or Copy</a:t>
          </a:r>
          <a:r>
            <a:rPr lang="en-US" sz="900" b="0" i="0" u="sng" strike="noStrike">
              <a:solidFill>
                <a:srgbClr val="000000"/>
              </a:solidFill>
              <a:latin typeface="Arial"/>
              <a:cs typeface="Arial"/>
            </a:rPr>
            <a:t> , </a:t>
          </a:r>
          <a:r>
            <a:rPr lang="en-US" sz="900" b="0" i="0" u="none" strike="noStrike">
              <a:solidFill>
                <a:srgbClr val="000000"/>
              </a:solidFill>
              <a:latin typeface="Arial"/>
              <a:cs typeface="Arial"/>
            </a:rPr>
            <a:t>click</a:t>
          </a:r>
          <a:r>
            <a:rPr lang="en-US" sz="900" b="0" i="0" u="sng" strike="noStrike">
              <a:solidFill>
                <a:srgbClr val="000000"/>
              </a:solidFill>
              <a:latin typeface="Arial"/>
              <a:cs typeface="Arial"/>
            </a:rPr>
            <a:t> Create a copy,</a:t>
          </a:r>
          <a:r>
            <a:rPr lang="en-US" sz="900" b="0" i="0" u="sng" strike="noStrike" baseline="0">
              <a:solidFill>
                <a:srgbClr val="000000"/>
              </a:solidFill>
              <a:latin typeface="Arial"/>
              <a:cs typeface="Arial"/>
            </a:rPr>
            <a:t> </a:t>
          </a:r>
          <a:r>
            <a:rPr lang="en-US" sz="900" b="0" i="0" u="none" strike="noStrike" baseline="0">
              <a:solidFill>
                <a:srgbClr val="000000"/>
              </a:solidFill>
              <a:latin typeface="Arial"/>
              <a:cs typeface="Arial"/>
            </a:rPr>
            <a:t>etc. Please do not insert a new sheet and copy from the original sheet.  This will not produce a correct copy.   Please call for assistance if needed. </a:t>
          </a:r>
          <a:r>
            <a:rPr lang="en-US" sz="900" b="0" i="0" u="none" strike="noStrike">
              <a:solidFill>
                <a:srgbClr val="000000"/>
              </a:solidFill>
              <a:latin typeface="Arial"/>
              <a:cs typeface="Arial"/>
            </a:rPr>
            <a:t> </a:t>
          </a:r>
          <a:r>
            <a:rPr lang="en-US" sz="900" b="0" i="0" strike="noStrike">
              <a:solidFill>
                <a:srgbClr val="000000"/>
              </a:solidFill>
              <a:latin typeface="Arial"/>
              <a:cs typeface="Arial"/>
            </a:rPr>
            <a:t>This worksheet should include unusual and significant items.  Refer to</a:t>
          </a:r>
          <a:r>
            <a:rPr lang="en-US" sz="900" b="0" i="0" strike="noStrike" baseline="0">
              <a:solidFill>
                <a:srgbClr val="000000"/>
              </a:solidFill>
              <a:latin typeface="Arial"/>
              <a:cs typeface="Arial"/>
            </a:rPr>
            <a:t> the "Analytical Review" tab, </a:t>
          </a:r>
          <a:r>
            <a:rPr lang="en-US" sz="900" b="0" i="0" strike="noStrike">
              <a:solidFill>
                <a:srgbClr val="000000"/>
              </a:solidFill>
              <a:latin typeface="Arial"/>
              <a:cs typeface="Arial"/>
            </a:rPr>
            <a:t>with two-year comparative statements</a:t>
          </a:r>
          <a:r>
            <a:rPr lang="en-US" sz="900" b="0" i="0" strike="noStrike" baseline="0">
              <a:solidFill>
                <a:srgbClr val="000000"/>
              </a:solidFill>
              <a:latin typeface="Arial"/>
              <a:cs typeface="Arial"/>
            </a:rPr>
            <a:t> to determine the variances</a:t>
          </a:r>
          <a:r>
            <a:rPr lang="en-US" sz="900" b="0" i="0" strike="noStrike">
              <a:solidFill>
                <a:srgbClr val="000000"/>
              </a:solidFill>
              <a:latin typeface="Arial"/>
              <a:cs typeface="Arial"/>
            </a:rPr>
            <a:t>. See instructions</a:t>
          </a:r>
          <a:r>
            <a:rPr lang="en-US" sz="900" b="0" i="0" strike="noStrike" baseline="0">
              <a:solidFill>
                <a:srgbClr val="000000"/>
              </a:solidFill>
              <a:latin typeface="Arial"/>
              <a:cs typeface="Arial"/>
            </a:rPr>
            <a:t> for additional details.</a:t>
          </a:r>
          <a:endParaRPr lang="en-US" sz="900" b="0" i="0" strike="noStrike">
            <a:solidFill>
              <a:srgbClr val="000000"/>
            </a:solidFill>
            <a:latin typeface="Arial"/>
            <a:cs typeface="Arial"/>
          </a:endParaRPr>
        </a:p>
      </xdr:txBody>
    </xdr:sp>
    <xdr:clientData/>
  </xdr:twoCellAnchor>
  <xdr:twoCellAnchor>
    <xdr:from>
      <xdr:col>1</xdr:col>
      <xdr:colOff>11430</xdr:colOff>
      <xdr:row>24</xdr:row>
      <xdr:rowOff>0</xdr:rowOff>
    </xdr:from>
    <xdr:to>
      <xdr:col>22</xdr:col>
      <xdr:colOff>4</xdr:colOff>
      <xdr:row>26</xdr:row>
      <xdr:rowOff>114300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a:t>
          </a:r>
          <a:r>
            <a:rPr lang="en-US" sz="1000" b="0" i="0">
              <a:effectLst/>
              <a:latin typeface="+mn-lt"/>
              <a:ea typeface="+mn-ea"/>
              <a:cs typeface="+mn-cs"/>
            </a:rPr>
            <a:t>in the attached </a:t>
          </a:r>
          <a:r>
            <a:rPr lang="en-US" sz="1000" b="1" i="0">
              <a:effectLst/>
              <a:latin typeface="+mn-lt"/>
              <a:ea typeface="+mn-ea"/>
              <a:cs typeface="+mn-cs"/>
            </a:rPr>
            <a:t>CAFR Package Narratives</a:t>
          </a:r>
          <a:r>
            <a:rPr lang="en-US" sz="1000" b="0" i="0">
              <a:effectLst/>
              <a:latin typeface="+mn-lt"/>
              <a:ea typeface="+mn-ea"/>
              <a:cs typeface="+mn-cs"/>
            </a:rPr>
            <a:t>. </a:t>
          </a:r>
          <a:endParaRPr lang="en-US" sz="9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files.nc.gov/ncosc/documents/GASB_Resources/Financial_Reporting_Updates/gasb_standard_69_revised.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ncosc.s3.amazonaws.com/s3fs-public/documents/files/102.13_impairment_of_capital_assets_policy.pdf" TargetMode="External"/><Relationship Id="rId1" Type="http://schemas.openxmlformats.org/officeDocument/2006/relationships/hyperlink" Target="http://www.osc.nc.gov/policy/AFR/102.12%20Transfers%20of%20Capital%20Assets%20Policy.pdf" TargetMode="Externa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IQ122"/>
  <sheetViews>
    <sheetView showGridLines="0" tabSelected="1" zoomScaleNormal="100" workbookViewId="0">
      <selection activeCell="K17" sqref="K17"/>
    </sheetView>
  </sheetViews>
  <sheetFormatPr defaultColWidth="10.7109375" defaultRowHeight="15.6"/>
  <cols>
    <col min="1" max="1" width="15" style="145" customWidth="1"/>
    <col min="2" max="2" width="8.85546875" style="145" customWidth="1"/>
    <col min="3" max="8" width="9.7109375" style="145" customWidth="1"/>
    <col min="9" max="9" width="10.7109375" style="145" customWidth="1"/>
    <col min="10" max="10" width="25.7109375" style="145" customWidth="1"/>
    <col min="11" max="11" width="11" style="145" customWidth="1"/>
    <col min="12" max="12" width="9.7109375" style="145" customWidth="1"/>
    <col min="13" max="15" width="10.7109375" style="145" customWidth="1"/>
    <col min="16" max="16" width="10.7109375" style="145" hidden="1" customWidth="1"/>
    <col min="17" max="16384" width="10.7109375" style="145"/>
  </cols>
  <sheetData>
    <row r="1" spans="1:16" ht="17.399999999999999">
      <c r="A1" s="1057" t="s">
        <v>0</v>
      </c>
      <c r="B1" s="1057"/>
      <c r="C1" s="1057"/>
      <c r="D1" s="1057"/>
      <c r="E1" s="1057"/>
      <c r="F1" s="1057"/>
      <c r="G1" s="1057"/>
      <c r="H1" s="1057"/>
      <c r="I1" s="1057"/>
      <c r="J1" s="1057"/>
      <c r="K1" s="1057"/>
      <c r="L1" s="985"/>
    </row>
    <row r="2" spans="1:16" ht="17.399999999999999">
      <c r="A2" s="1057" t="str">
        <f>CONCATENATE(+YEAR($A$118)," Year-End ACFR Package")</f>
        <v>2023 Year-End ACFR Package</v>
      </c>
      <c r="B2" s="1057"/>
      <c r="C2" s="1057"/>
      <c r="D2" s="1057"/>
      <c r="E2" s="1057"/>
      <c r="F2" s="1057"/>
      <c r="G2" s="1057"/>
      <c r="H2" s="1057"/>
      <c r="I2" s="1057"/>
      <c r="J2" s="1057"/>
      <c r="K2" s="1057"/>
      <c r="L2" s="985"/>
    </row>
    <row r="3" spans="1:16" ht="17.399999999999999">
      <c r="A3" s="1057" t="s">
        <v>1</v>
      </c>
      <c r="B3" s="1057"/>
      <c r="C3" s="1057"/>
      <c r="D3" s="1057"/>
      <c r="E3" s="1057"/>
      <c r="F3" s="1057"/>
      <c r="G3" s="1057"/>
      <c r="H3" s="1057"/>
      <c r="I3" s="1057"/>
      <c r="J3" s="1057"/>
      <c r="K3" s="1057"/>
      <c r="L3" s="985"/>
    </row>
    <row r="4" spans="1:16" ht="15.75" customHeight="1">
      <c r="D4" s="766" t="s">
        <v>1958</v>
      </c>
      <c r="E4" s="767"/>
      <c r="F4" s="767"/>
      <c r="G4" s="767"/>
      <c r="H4" s="767"/>
      <c r="J4" s="1061"/>
      <c r="K4" s="1061"/>
      <c r="L4" s="1061"/>
      <c r="M4" s="190"/>
    </row>
    <row r="5" spans="1:16">
      <c r="A5" s="146" t="s">
        <v>2</v>
      </c>
      <c r="C5" s="190"/>
      <c r="E5" s="344"/>
    </row>
    <row r="6" spans="1:16">
      <c r="A6" s="1060" t="s">
        <v>3</v>
      </c>
      <c r="B6" s="1060"/>
      <c r="C6" s="1060"/>
      <c r="D6" s="1060"/>
      <c r="E6" s="1060"/>
      <c r="F6" s="1060"/>
      <c r="G6" s="1060"/>
      <c r="H6" s="1060"/>
      <c r="I6" s="1060"/>
      <c r="J6" s="1060"/>
    </row>
    <row r="7" spans="1:16">
      <c r="A7" s="1060"/>
      <c r="B7" s="1060"/>
      <c r="C7" s="1060"/>
      <c r="D7" s="1060"/>
      <c r="E7" s="1060"/>
      <c r="F7" s="1060"/>
      <c r="G7" s="1060"/>
      <c r="H7" s="1060"/>
      <c r="I7" s="1060"/>
      <c r="J7" s="1060"/>
    </row>
    <row r="8" spans="1:16" ht="6.75" customHeight="1"/>
    <row r="9" spans="1:16">
      <c r="B9" s="1048" t="s">
        <v>4</v>
      </c>
      <c r="C9" s="1049"/>
      <c r="D9" s="1053" t="s">
        <v>5</v>
      </c>
      <c r="E9" s="1053"/>
      <c r="F9" s="1053"/>
      <c r="G9" s="1053"/>
      <c r="H9" s="1053"/>
      <c r="I9" s="1053"/>
      <c r="K9" s="1059" t="str">
        <f ca="1">IF(P9=P10,"","Invalid filename!  Please rename your file to:")</f>
        <v>Invalid filename!  Please rename your file to:</v>
      </c>
      <c r="L9" s="1059"/>
      <c r="M9" s="1059"/>
      <c r="N9" s="1059"/>
      <c r="O9" s="1059"/>
      <c r="P9" s="213" t="str">
        <f ca="1">MID(CELL("filename"),SEARCH("[",CELL("filename"))+1, SEARCH("]",CELL("filename"))-SEARCH("[",CELL("filename"))-1)</f>
        <v>2023 Comm_Coll_Year-End ACFR Package 6-26-23.xlsx</v>
      </c>
    </row>
    <row r="10" spans="1:16">
      <c r="B10" s="1048" t="s">
        <v>6</v>
      </c>
      <c r="C10" s="1049"/>
      <c r="D10" s="1058" t="str">
        <f>INDEX(CCTable,MATCH(D9,CCNameTable,0),2)</f>
        <v>C0</v>
      </c>
      <c r="E10" s="1058"/>
      <c r="F10" s="1058"/>
      <c r="G10" s="1058"/>
      <c r="H10" s="1058"/>
      <c r="I10" s="1058"/>
      <c r="K10" s="1055" t="str">
        <f ca="1">IF(K9="","",P10)</f>
        <v>CC1.xlsx</v>
      </c>
      <c r="L10" s="1055"/>
      <c r="M10" s="1055"/>
      <c r="N10" s="1055"/>
      <c r="O10" s="1055"/>
      <c r="P10" s="213" t="str">
        <f>INDEX(FileNameTable,MATCH(D10,FileNameAgency,0),5)</f>
        <v>CC1.xlsx</v>
      </c>
    </row>
    <row r="11" spans="1:16">
      <c r="B11" s="1048" t="s">
        <v>7</v>
      </c>
      <c r="C11" s="1049"/>
      <c r="D11" s="1053"/>
      <c r="E11" s="1053"/>
      <c r="F11" s="1053"/>
      <c r="G11" s="1053"/>
      <c r="H11" s="1053"/>
      <c r="I11" s="1053"/>
    </row>
    <row r="12" spans="1:16">
      <c r="B12" s="1048" t="s">
        <v>8</v>
      </c>
      <c r="C12" s="1049"/>
      <c r="D12" s="1053"/>
      <c r="E12" s="1053"/>
      <c r="F12" s="1053"/>
      <c r="G12" s="1053"/>
      <c r="H12" s="1053"/>
      <c r="I12" s="1053"/>
    </row>
    <row r="13" spans="1:16">
      <c r="B13" s="1048" t="s">
        <v>9</v>
      </c>
      <c r="C13" s="1049"/>
      <c r="D13" s="1053"/>
      <c r="E13" s="1053"/>
      <c r="F13" s="1053"/>
      <c r="G13" s="1053"/>
      <c r="H13" s="1053"/>
      <c r="I13" s="1053"/>
    </row>
    <row r="14" spans="1:16" ht="6.75" customHeight="1">
      <c r="C14" s="147"/>
    </row>
    <row r="15" spans="1:16">
      <c r="A15" s="146" t="s">
        <v>10</v>
      </c>
      <c r="C15" s="147"/>
    </row>
    <row r="16" spans="1:16">
      <c r="A16" s="148" t="s">
        <v>11</v>
      </c>
    </row>
    <row r="17" spans="1:251" ht="6.75" customHeight="1">
      <c r="A17" s="148"/>
    </row>
    <row r="18" spans="1:251" s="149" customFormat="1">
      <c r="A18" s="146" t="s">
        <v>12</v>
      </c>
      <c r="C18" s="148"/>
    </row>
    <row r="19" spans="1:251" s="149" customFormat="1">
      <c r="A19" s="149" t="s">
        <v>13</v>
      </c>
      <c r="C19" s="148"/>
    </row>
    <row r="20" spans="1:251" s="149" customFormat="1">
      <c r="A20" s="149" t="s">
        <v>14</v>
      </c>
      <c r="C20" s="148"/>
    </row>
    <row r="21" spans="1:251" s="149" customFormat="1">
      <c r="A21" s="149" t="s">
        <v>15</v>
      </c>
      <c r="C21" s="148"/>
    </row>
    <row r="22" spans="1:251" s="149" customFormat="1">
      <c r="A22" s="149" t="s">
        <v>16</v>
      </c>
      <c r="C22" s="148"/>
    </row>
    <row r="23" spans="1:251" s="149" customFormat="1">
      <c r="A23" s="149" t="s">
        <v>17</v>
      </c>
      <c r="C23" s="148"/>
    </row>
    <row r="24" spans="1:251" s="149" customFormat="1" ht="14.25" customHeight="1">
      <c r="C24" s="148"/>
    </row>
    <row r="25" spans="1:251" s="149" customFormat="1" ht="15" customHeight="1">
      <c r="A25" s="349" t="s">
        <v>18</v>
      </c>
      <c r="B25" s="350"/>
      <c r="C25" s="351"/>
      <c r="D25" s="349"/>
      <c r="E25" s="350"/>
      <c r="F25" s="351"/>
      <c r="G25" s="349"/>
      <c r="H25" s="350"/>
      <c r="I25" s="351"/>
    </row>
    <row r="26" spans="1:251" s="149" customFormat="1" ht="15" customHeight="1">
      <c r="A26" s="190"/>
      <c r="B26" s="190"/>
      <c r="C26" s="190"/>
      <c r="D26" s="190"/>
      <c r="E26" s="190"/>
      <c r="F26" s="190"/>
      <c r="G26" s="190"/>
      <c r="H26" s="190"/>
      <c r="I26" s="190"/>
    </row>
    <row r="27" spans="1:251" s="149" customFormat="1" ht="15" customHeight="1">
      <c r="A27" s="149" t="s">
        <v>19</v>
      </c>
      <c r="C27" s="148"/>
      <c r="K27" s="148"/>
      <c r="S27" s="148"/>
      <c r="AA27" s="148"/>
      <c r="AI27" s="148"/>
      <c r="AQ27" s="148"/>
      <c r="AY27" s="148"/>
      <c r="BG27" s="148"/>
      <c r="BO27" s="148"/>
      <c r="BW27" s="148"/>
      <c r="CE27" s="148"/>
      <c r="CM27" s="148"/>
      <c r="CU27" s="148"/>
      <c r="DC27" s="148"/>
      <c r="DK27" s="148"/>
      <c r="DS27" s="148"/>
      <c r="EA27" s="148"/>
      <c r="EI27" s="148"/>
      <c r="EQ27" s="148"/>
      <c r="EY27" s="148"/>
      <c r="FG27" s="148"/>
      <c r="FO27" s="148"/>
      <c r="FW27" s="148"/>
      <c r="GE27" s="148"/>
      <c r="GM27" s="148"/>
      <c r="GU27" s="148"/>
      <c r="HC27" s="148"/>
      <c r="HK27" s="148"/>
      <c r="HS27" s="148"/>
      <c r="IA27" s="148"/>
      <c r="II27" s="148"/>
      <c r="IQ27" s="148"/>
    </row>
    <row r="28" spans="1:251" s="149" customFormat="1" ht="15" customHeight="1">
      <c r="A28" s="149" t="s">
        <v>20</v>
      </c>
      <c r="C28" s="148"/>
      <c r="K28" s="148"/>
      <c r="S28" s="148"/>
      <c r="AA28" s="148"/>
      <c r="AI28" s="148"/>
      <c r="AQ28" s="148"/>
      <c r="AY28" s="148"/>
      <c r="BG28" s="148"/>
      <c r="BO28" s="148"/>
      <c r="BW28" s="148"/>
      <c r="CE28" s="148"/>
      <c r="CM28" s="148"/>
      <c r="CU28" s="148"/>
      <c r="DC28" s="148"/>
      <c r="DK28" s="148"/>
      <c r="DS28" s="148"/>
      <c r="EA28" s="148"/>
      <c r="EI28" s="148"/>
      <c r="EQ28" s="148"/>
      <c r="EY28" s="148"/>
      <c r="FG28" s="148"/>
      <c r="FO28" s="148"/>
      <c r="FW28" s="148"/>
      <c r="GE28" s="148"/>
      <c r="GM28" s="148"/>
      <c r="GU28" s="148"/>
      <c r="HC28" s="148"/>
      <c r="HK28" s="148"/>
      <c r="HS28" s="148"/>
      <c r="IA28" s="148"/>
      <c r="II28" s="148"/>
      <c r="IQ28" s="148"/>
    </row>
    <row r="29" spans="1:251" s="149" customFormat="1" ht="13.5" customHeight="1">
      <c r="A29" s="149" t="s">
        <v>21</v>
      </c>
    </row>
    <row r="30" spans="1:251" s="149" customFormat="1" ht="11.25" customHeight="1">
      <c r="C30" s="148"/>
    </row>
    <row r="31" spans="1:251" s="149" customFormat="1">
      <c r="A31" s="146" t="s">
        <v>22</v>
      </c>
      <c r="C31" s="148"/>
    </row>
    <row r="32" spans="1:251" s="149" customFormat="1">
      <c r="A32" s="152" t="s">
        <v>23</v>
      </c>
      <c r="C32" s="148"/>
    </row>
    <row r="33" spans="1:10" s="149" customFormat="1">
      <c r="A33" s="152" t="s">
        <v>24</v>
      </c>
      <c r="C33" s="148"/>
    </row>
    <row r="34" spans="1:10" s="149" customFormat="1" ht="6.75" customHeight="1">
      <c r="C34" s="148"/>
    </row>
    <row r="35" spans="1:10">
      <c r="A35" s="190" t="s">
        <v>25</v>
      </c>
      <c r="C35" s="147"/>
    </row>
    <row r="36" spans="1:10">
      <c r="A36" s="190" t="s">
        <v>26</v>
      </c>
      <c r="C36" s="147"/>
    </row>
    <row r="37" spans="1:10">
      <c r="A37" s="145" t="s">
        <v>27</v>
      </c>
      <c r="C37" s="147"/>
    </row>
    <row r="38" spans="1:10">
      <c r="A38" s="145" t="s">
        <v>28</v>
      </c>
    </row>
    <row r="39" spans="1:10" ht="6.75" customHeight="1"/>
    <row r="40" spans="1:10" ht="21.75" customHeight="1">
      <c r="A40" s="984" t="s">
        <v>29</v>
      </c>
      <c r="B40" s="150" t="s">
        <v>30</v>
      </c>
      <c r="C40" s="1054" t="s">
        <v>31</v>
      </c>
      <c r="D40" s="1054"/>
      <c r="E40" s="1054"/>
      <c r="F40" s="1054"/>
      <c r="G40" s="1054"/>
      <c r="H40" s="1054"/>
      <c r="I40" s="1054"/>
      <c r="J40" s="1054"/>
    </row>
    <row r="41" spans="1:10" ht="31.5" customHeight="1">
      <c r="A41" s="178" t="s">
        <v>32</v>
      </c>
      <c r="B41" s="151"/>
      <c r="C41" s="1050" t="s">
        <v>33</v>
      </c>
      <c r="D41" s="1051"/>
      <c r="E41" s="1051"/>
      <c r="F41" s="1051"/>
      <c r="G41" s="1051"/>
      <c r="H41" s="1051"/>
      <c r="I41" s="1051"/>
      <c r="J41" s="1052"/>
    </row>
    <row r="42" spans="1:10" ht="31.5" customHeight="1">
      <c r="A42" s="178" t="s">
        <v>34</v>
      </c>
      <c r="B42" s="151"/>
      <c r="C42" s="1050" t="s">
        <v>35</v>
      </c>
      <c r="D42" s="1051"/>
      <c r="E42" s="1051"/>
      <c r="F42" s="1051"/>
      <c r="G42" s="1051"/>
      <c r="H42" s="1051"/>
      <c r="I42" s="1051"/>
      <c r="J42" s="1052"/>
    </row>
    <row r="43" spans="1:10" ht="31.5" customHeight="1">
      <c r="A43" s="178" t="s">
        <v>36</v>
      </c>
      <c r="B43" s="151"/>
      <c r="C43" s="1050" t="s">
        <v>37</v>
      </c>
      <c r="D43" s="1051"/>
      <c r="E43" s="1051"/>
      <c r="F43" s="1051"/>
      <c r="G43" s="1051"/>
      <c r="H43" s="1051"/>
      <c r="I43" s="1051"/>
      <c r="J43" s="1052"/>
    </row>
    <row r="44" spans="1:10" ht="31.2">
      <c r="A44" s="178" t="s">
        <v>38</v>
      </c>
      <c r="B44" s="151"/>
      <c r="C44" s="1050" t="s">
        <v>39</v>
      </c>
      <c r="D44" s="1051"/>
      <c r="E44" s="1051"/>
      <c r="F44" s="1051"/>
      <c r="G44" s="1051"/>
      <c r="H44" s="1051"/>
      <c r="I44" s="1051"/>
      <c r="J44" s="1052"/>
    </row>
    <row r="45" spans="1:10">
      <c r="A45" s="191">
        <v>101</v>
      </c>
      <c r="B45" s="151"/>
      <c r="C45" s="1043" t="s">
        <v>40</v>
      </c>
      <c r="D45" s="1043"/>
      <c r="E45" s="1043"/>
      <c r="F45" s="1043"/>
      <c r="G45" s="1043"/>
      <c r="H45" s="1043"/>
      <c r="I45" s="1043"/>
      <c r="J45" s="1043"/>
    </row>
    <row r="46" spans="1:10">
      <c r="A46" s="191">
        <v>110</v>
      </c>
      <c r="B46" s="151"/>
      <c r="C46" s="1043" t="s">
        <v>41</v>
      </c>
      <c r="D46" s="1043"/>
      <c r="E46" s="1043"/>
      <c r="F46" s="1043"/>
      <c r="G46" s="1043"/>
      <c r="H46" s="1043"/>
      <c r="I46" s="1043"/>
      <c r="J46" s="1043"/>
    </row>
    <row r="47" spans="1:10">
      <c r="A47" s="191">
        <v>120</v>
      </c>
      <c r="B47" s="151"/>
      <c r="C47" s="1043" t="s">
        <v>42</v>
      </c>
      <c r="D47" s="1044"/>
      <c r="E47" s="1044"/>
      <c r="F47" s="1044"/>
      <c r="G47" s="1044"/>
      <c r="H47" s="1044"/>
      <c r="I47" s="1044"/>
      <c r="J47" s="1044"/>
    </row>
    <row r="48" spans="1:10">
      <c r="A48" s="191">
        <v>215</v>
      </c>
      <c r="B48" s="201"/>
      <c r="C48" s="1038" t="s">
        <v>43</v>
      </c>
      <c r="D48" s="1041"/>
      <c r="E48" s="1041"/>
      <c r="F48" s="1041"/>
      <c r="G48" s="1041"/>
      <c r="H48" s="1041"/>
      <c r="I48" s="1041"/>
      <c r="J48" s="1042"/>
    </row>
    <row r="49" spans="1:11">
      <c r="A49" s="191">
        <v>220</v>
      </c>
      <c r="B49" s="227"/>
      <c r="C49" s="1038" t="s">
        <v>44</v>
      </c>
      <c r="D49" s="1041"/>
      <c r="E49" s="1041"/>
      <c r="F49" s="1041"/>
      <c r="G49" s="1041"/>
      <c r="H49" s="1041"/>
      <c r="I49" s="1041"/>
      <c r="J49" s="1042"/>
    </row>
    <row r="50" spans="1:11">
      <c r="A50" s="191">
        <v>301</v>
      </c>
      <c r="B50" s="201"/>
      <c r="C50" s="1038" t="s">
        <v>45</v>
      </c>
      <c r="D50" s="1041"/>
      <c r="E50" s="1041"/>
      <c r="F50" s="1041"/>
      <c r="G50" s="1041"/>
      <c r="H50" s="1041"/>
      <c r="I50" s="1041"/>
      <c r="J50" s="1042"/>
    </row>
    <row r="51" spans="1:11">
      <c r="A51" s="191">
        <v>302</v>
      </c>
      <c r="B51" s="201"/>
      <c r="C51" s="981" t="s">
        <v>46</v>
      </c>
      <c r="D51" s="982"/>
      <c r="E51" s="982"/>
      <c r="F51" s="982"/>
      <c r="G51" s="982"/>
      <c r="H51" s="982"/>
      <c r="I51" s="982"/>
      <c r="J51" s="983"/>
    </row>
    <row r="52" spans="1:11">
      <c r="A52" s="191">
        <v>303</v>
      </c>
      <c r="B52" s="201"/>
      <c r="C52" s="981" t="s">
        <v>47</v>
      </c>
      <c r="D52" s="982"/>
      <c r="E52" s="982"/>
      <c r="F52" s="982"/>
      <c r="G52" s="982"/>
      <c r="H52" s="982"/>
      <c r="I52" s="982"/>
      <c r="J52" s="983"/>
    </row>
    <row r="53" spans="1:11">
      <c r="A53" s="191">
        <v>323</v>
      </c>
      <c r="B53" s="201"/>
      <c r="C53" s="1045" t="s">
        <v>48</v>
      </c>
      <c r="D53" s="1046"/>
      <c r="E53" s="1046"/>
      <c r="F53" s="1046"/>
      <c r="G53" s="1046"/>
      <c r="H53" s="1046"/>
      <c r="I53" s="1046"/>
      <c r="J53" s="1047"/>
    </row>
    <row r="54" spans="1:11">
      <c r="A54" s="191">
        <v>345</v>
      </c>
      <c r="B54" s="227"/>
      <c r="C54" s="1038" t="s">
        <v>49</v>
      </c>
      <c r="D54" s="1041"/>
      <c r="E54" s="1041"/>
      <c r="F54" s="1041"/>
      <c r="G54" s="1041"/>
      <c r="H54" s="1041"/>
      <c r="I54" s="1041"/>
      <c r="J54" s="1042"/>
    </row>
    <row r="55" spans="1:11">
      <c r="A55" s="191">
        <v>350</v>
      </c>
      <c r="B55" s="201"/>
      <c r="C55" s="1038" t="s">
        <v>50</v>
      </c>
      <c r="D55" s="1041"/>
      <c r="E55" s="1041"/>
      <c r="F55" s="1041"/>
      <c r="G55" s="1041"/>
      <c r="H55" s="1041"/>
      <c r="I55" s="1041"/>
      <c r="J55" s="1042"/>
    </row>
    <row r="56" spans="1:11">
      <c r="A56" s="191">
        <v>355</v>
      </c>
      <c r="B56" s="227"/>
      <c r="C56" s="1038" t="s">
        <v>51</v>
      </c>
      <c r="D56" s="1041"/>
      <c r="E56" s="1041"/>
      <c r="F56" s="1041"/>
      <c r="G56" s="1041"/>
      <c r="H56" s="1041"/>
      <c r="I56" s="1041"/>
      <c r="J56" s="1042"/>
    </row>
    <row r="57" spans="1:11">
      <c r="A57" s="191">
        <v>360</v>
      </c>
      <c r="B57" s="201"/>
      <c r="C57" s="1038" t="s">
        <v>52</v>
      </c>
      <c r="D57" s="1041"/>
      <c r="E57" s="1041"/>
      <c r="F57" s="1041"/>
      <c r="G57" s="1041"/>
      <c r="H57" s="1041"/>
      <c r="I57" s="1041"/>
      <c r="J57" s="1042"/>
    </row>
    <row r="58" spans="1:11">
      <c r="A58" s="191">
        <v>425</v>
      </c>
      <c r="B58" s="227"/>
      <c r="C58" s="1043" t="s">
        <v>53</v>
      </c>
      <c r="D58" s="1043"/>
      <c r="E58" s="1043"/>
      <c r="F58" s="1043"/>
      <c r="G58" s="1043"/>
      <c r="H58" s="1043"/>
      <c r="I58" s="1043"/>
      <c r="J58" s="1043"/>
    </row>
    <row r="59" spans="1:11">
      <c r="A59" s="191">
        <v>430</v>
      </c>
      <c r="B59" s="201"/>
      <c r="C59" s="1043" t="s">
        <v>54</v>
      </c>
      <c r="D59" s="1043"/>
      <c r="E59" s="1043"/>
      <c r="F59" s="1043"/>
      <c r="G59" s="1043"/>
      <c r="H59" s="1043"/>
      <c r="I59" s="1043"/>
      <c r="J59" s="1043"/>
    </row>
    <row r="60" spans="1:11">
      <c r="A60" s="191">
        <v>520</v>
      </c>
      <c r="B60" s="201"/>
      <c r="C60" s="1043" t="s">
        <v>55</v>
      </c>
      <c r="D60" s="1043"/>
      <c r="E60" s="1043"/>
      <c r="F60" s="1043"/>
      <c r="G60" s="1043"/>
      <c r="H60" s="1043"/>
      <c r="I60" s="1043"/>
      <c r="J60" s="1043"/>
    </row>
    <row r="61" spans="1:11">
      <c r="A61" s="191">
        <v>525</v>
      </c>
      <c r="B61" s="201"/>
      <c r="C61" s="1043" t="s">
        <v>56</v>
      </c>
      <c r="D61" s="1043"/>
      <c r="E61" s="1043"/>
      <c r="F61" s="1043"/>
      <c r="G61" s="1043"/>
      <c r="H61" s="1043"/>
      <c r="I61" s="1043"/>
      <c r="J61" s="1043"/>
    </row>
    <row r="62" spans="1:11">
      <c r="A62" s="191">
        <v>530</v>
      </c>
      <c r="B62" s="201"/>
      <c r="C62" s="1043" t="s">
        <v>57</v>
      </c>
      <c r="D62" s="1043"/>
      <c r="E62" s="1043"/>
      <c r="F62" s="1043"/>
      <c r="G62" s="1043"/>
      <c r="H62" s="1043"/>
      <c r="I62" s="1043"/>
      <c r="J62" s="1043"/>
    </row>
    <row r="63" spans="1:11">
      <c r="A63" s="191">
        <v>602</v>
      </c>
      <c r="B63" s="201"/>
      <c r="C63" s="1038" t="s">
        <v>58</v>
      </c>
      <c r="D63" s="1039"/>
      <c r="E63" s="1039"/>
      <c r="F63" s="1039"/>
      <c r="G63" s="1039"/>
      <c r="H63" s="1039"/>
      <c r="I63" s="1039"/>
      <c r="J63" s="1040"/>
    </row>
    <row r="64" spans="1:11" ht="18" customHeight="1">
      <c r="A64" s="192">
        <v>610</v>
      </c>
      <c r="B64" s="227"/>
      <c r="C64" s="1043" t="s">
        <v>59</v>
      </c>
      <c r="D64" s="1043"/>
      <c r="E64" s="1043"/>
      <c r="F64" s="1043"/>
      <c r="G64" s="1043"/>
      <c r="H64" s="1043"/>
      <c r="I64" s="1043"/>
      <c r="J64" s="1043"/>
      <c r="K64" s="193"/>
    </row>
    <row r="65" spans="1:10">
      <c r="A65" s="192">
        <v>616</v>
      </c>
      <c r="B65" s="201"/>
      <c r="C65" s="1043" t="s">
        <v>60</v>
      </c>
      <c r="D65" s="1043"/>
      <c r="E65" s="1043"/>
      <c r="F65" s="1043"/>
      <c r="G65" s="1043"/>
      <c r="H65" s="1043"/>
      <c r="I65" s="1043"/>
      <c r="J65" s="1043"/>
    </row>
    <row r="66" spans="1:10">
      <c r="A66" s="191">
        <v>625</v>
      </c>
      <c r="B66" s="201"/>
      <c r="C66" s="1043" t="s">
        <v>61</v>
      </c>
      <c r="D66" s="1043"/>
      <c r="E66" s="1043"/>
      <c r="F66" s="1043"/>
      <c r="G66" s="1043"/>
      <c r="H66" s="1043"/>
      <c r="I66" s="1043"/>
      <c r="J66" s="1043"/>
    </row>
    <row r="67" spans="1:10">
      <c r="A67" s="191" t="s">
        <v>62</v>
      </c>
      <c r="B67" s="201"/>
      <c r="C67" s="1043" t="s">
        <v>62</v>
      </c>
      <c r="D67" s="1043"/>
      <c r="E67" s="1043"/>
      <c r="F67" s="1043"/>
      <c r="G67" s="1043"/>
      <c r="H67" s="1043"/>
      <c r="I67" s="1043"/>
      <c r="J67" s="1043"/>
    </row>
    <row r="68" spans="1:10">
      <c r="A68" s="191" t="s">
        <v>63</v>
      </c>
      <c r="B68" s="201"/>
      <c r="C68" s="1043" t="s">
        <v>64</v>
      </c>
      <c r="D68" s="1043"/>
      <c r="E68" s="1043"/>
      <c r="F68" s="1043"/>
      <c r="G68" s="1043"/>
      <c r="H68" s="1043"/>
      <c r="I68" s="1043"/>
      <c r="J68" s="1043"/>
    </row>
    <row r="69" spans="1:10">
      <c r="A69" s="303" t="s">
        <v>65</v>
      </c>
      <c r="B69" s="302"/>
      <c r="C69" s="1043" t="s">
        <v>66</v>
      </c>
      <c r="D69" s="1043"/>
      <c r="E69" s="1043"/>
      <c r="F69" s="1043"/>
      <c r="G69" s="1043"/>
      <c r="H69" s="1043"/>
      <c r="I69" s="1043"/>
      <c r="J69" s="1043"/>
    </row>
    <row r="70" spans="1:10">
      <c r="A70" s="191" t="s">
        <v>67</v>
      </c>
      <c r="B70" s="227"/>
      <c r="C70" s="1043" t="s">
        <v>68</v>
      </c>
      <c r="D70" s="1043"/>
      <c r="E70" s="1043"/>
      <c r="F70" s="1043"/>
      <c r="G70" s="1043"/>
      <c r="H70" s="1043"/>
      <c r="I70" s="1043"/>
      <c r="J70" s="1043"/>
    </row>
    <row r="71" spans="1:10" ht="48" customHeight="1">
      <c r="A71" s="329" t="s">
        <v>69</v>
      </c>
      <c r="B71" s="227"/>
      <c r="C71" s="1050" t="s">
        <v>70</v>
      </c>
      <c r="D71" s="1051"/>
      <c r="E71" s="1051"/>
      <c r="F71" s="1051"/>
      <c r="G71" s="1051"/>
      <c r="H71" s="1051"/>
      <c r="I71" s="1051"/>
      <c r="J71" s="1052"/>
    </row>
    <row r="117" spans="1:7">
      <c r="A117" s="157" t="s">
        <v>71</v>
      </c>
      <c r="B117" s="149"/>
      <c r="C117" s="149"/>
    </row>
    <row r="118" spans="1:7">
      <c r="A118" s="1056">
        <v>45107</v>
      </c>
      <c r="B118" s="1056"/>
      <c r="C118" s="149" t="s">
        <v>72</v>
      </c>
      <c r="G118" s="597"/>
    </row>
    <row r="119" spans="1:7">
      <c r="A119" s="1056">
        <v>44743</v>
      </c>
      <c r="B119" s="1056"/>
      <c r="C119" s="149" t="s">
        <v>73</v>
      </c>
      <c r="G119" s="597"/>
    </row>
    <row r="120" spans="1:7">
      <c r="A120" s="1056">
        <v>44742</v>
      </c>
      <c r="B120" s="1056"/>
      <c r="C120" s="149" t="s">
        <v>74</v>
      </c>
      <c r="G120" s="597"/>
    </row>
    <row r="121" spans="1:7">
      <c r="A121" s="1056">
        <v>45108</v>
      </c>
      <c r="B121" s="1056"/>
      <c r="C121" s="149" t="s">
        <v>75</v>
      </c>
      <c r="G121" s="597"/>
    </row>
    <row r="122" spans="1:7">
      <c r="A122" s="1056">
        <v>45473</v>
      </c>
      <c r="B122" s="1056"/>
      <c r="C122" s="149" t="s">
        <v>76</v>
      </c>
      <c r="G122" s="597"/>
    </row>
  </sheetData>
  <sheetProtection algorithmName="SHA-512" hashValue="z2iiBgdE4AzKwNIHXB5ApBt9UDQabuCnLYBVAkyBHrcOc4aHvilruLIb2e7LvjoDkeBh1MdbeBrCWfHUH7YSwA==" saltValue="D6cxl9VtzDJw32ZAVe9AaQ==" spinCount="100000" sheet="1" objects="1" scenarios="1" autoFilter="0"/>
  <mergeCells count="52">
    <mergeCell ref="A1:K1"/>
    <mergeCell ref="A2:K2"/>
    <mergeCell ref="D10:I10"/>
    <mergeCell ref="K9:O9"/>
    <mergeCell ref="A6:J7"/>
    <mergeCell ref="A3:K3"/>
    <mergeCell ref="J4:L4"/>
    <mergeCell ref="D9:I9"/>
    <mergeCell ref="B9:C9"/>
    <mergeCell ref="A122:B122"/>
    <mergeCell ref="C64:J64"/>
    <mergeCell ref="A121:B121"/>
    <mergeCell ref="A118:B118"/>
    <mergeCell ref="A119:B119"/>
    <mergeCell ref="A120:B120"/>
    <mergeCell ref="C71:J71"/>
    <mergeCell ref="C68:J68"/>
    <mergeCell ref="C66:J66"/>
    <mergeCell ref="C65:J65"/>
    <mergeCell ref="C67:J67"/>
    <mergeCell ref="C70:J70"/>
    <mergeCell ref="C69:J69"/>
    <mergeCell ref="B11:C11"/>
    <mergeCell ref="K10:O10"/>
    <mergeCell ref="B12:C12"/>
    <mergeCell ref="B10:C10"/>
    <mergeCell ref="D11:I11"/>
    <mergeCell ref="D12:I12"/>
    <mergeCell ref="B13:C13"/>
    <mergeCell ref="C41:J41"/>
    <mergeCell ref="C42:J42"/>
    <mergeCell ref="C43:J43"/>
    <mergeCell ref="C49:J49"/>
    <mergeCell ref="C45:J45"/>
    <mergeCell ref="D13:I13"/>
    <mergeCell ref="C44:J44"/>
    <mergeCell ref="C40:J40"/>
    <mergeCell ref="C63:J63"/>
    <mergeCell ref="C57:J57"/>
    <mergeCell ref="C46:J46"/>
    <mergeCell ref="C47:J47"/>
    <mergeCell ref="C59:J59"/>
    <mergeCell ref="C48:J48"/>
    <mergeCell ref="C54:J54"/>
    <mergeCell ref="C55:J55"/>
    <mergeCell ref="C56:J56"/>
    <mergeCell ref="C50:J50"/>
    <mergeCell ref="C60:J60"/>
    <mergeCell ref="C61:J61"/>
    <mergeCell ref="C62:J62"/>
    <mergeCell ref="C58:J58"/>
    <mergeCell ref="C53:J53"/>
  </mergeCells>
  <phoneticPr fontId="43" type="noConversion"/>
  <dataValidations xWindow="173" yWindow="905" count="3">
    <dataValidation type="list" allowBlank="1" showInputMessage="1" showErrorMessage="1" sqref="D9:I9" xr:uid="{00000000-0002-0000-0000-000000000000}">
      <formula1>CCNameTable</formula1>
    </dataValidation>
    <dataValidation type="textLength" operator="equal" allowBlank="1" showInputMessage="1" showErrorMessage="1" errorTitle="Input Error!" error="Leave blank or enter NA." prompt="Leave blank or enter NA." sqref="B48 B50:B53 B55 B57 B59:B60 B62:B63 B65:B68" xr:uid="{AE8FD2F9-3990-4859-A205-D2344CC5C558}">
      <formula1>2</formula1>
    </dataValidation>
    <dataValidation type="textLength" operator="equal" allowBlank="1" showInputMessage="1" showErrorMessage="1" errorTitle="Input Error!" error="leave blank or enter NA." prompt="Leave blank or enter NA." sqref="B61" xr:uid="{7611F5B0-75D4-4C74-88E9-F3EDBC85ABED}">
      <formula1>2</formula1>
    </dataValidation>
  </dataValidations>
  <hyperlinks>
    <hyperlink ref="A45" location="'101'!A1" display="'101'!A1" xr:uid="{00000000-0004-0000-0000-000000000000}"/>
    <hyperlink ref="A54" location="'345'!A1" display="'345'!A1" xr:uid="{00000000-0004-0000-0000-000001000000}"/>
    <hyperlink ref="A55" location="'350'!A1" display="'350'!A1" xr:uid="{00000000-0004-0000-0000-000002000000}"/>
    <hyperlink ref="A56" location="'355'!A1" display="'355'!A1" xr:uid="{00000000-0004-0000-0000-000003000000}"/>
    <hyperlink ref="A64" location="'610'!A1" display="'610'!A1" xr:uid="{00000000-0004-0000-0000-000004000000}"/>
    <hyperlink ref="C45:J45" location="'101'!A1" display="Summary of Significant Accounting Policies" xr:uid="{00000000-0004-0000-0000-000005000000}"/>
    <hyperlink ref="A42" location="'Capital Assets'!A1" display="'Capital Assets'!A1" xr:uid="{00000000-0004-0000-0000-000006000000}"/>
    <hyperlink ref="A44" location="'Analytical Review'!A1" display="Analytical Review" xr:uid="{00000000-0004-0000-0000-000007000000}"/>
    <hyperlink ref="C42:J42" location="'Capital Assets'!A1" display="'Capital Assets'!A1" xr:uid="{00000000-0004-0000-0000-000008000000}"/>
    <hyperlink ref="C44:J44" location="'Analytical Review'!A1" display="Worksheet for computing variances for Analytical Review w/s 625" xr:uid="{00000000-0004-0000-0000-000009000000}"/>
    <hyperlink ref="A41" location="'ExhA&amp;B'!A1" display="'ExhA&amp;B'!A1" xr:uid="{00000000-0004-0000-0000-00000A000000}"/>
    <hyperlink ref="C41:J41" location="'ExhA&amp;B'!A1" display="'ExhA&amp;B'!A1" xr:uid="{00000000-0004-0000-0000-00000B000000}"/>
    <hyperlink ref="A50" location="'301'!A1" display="'301'!A1" xr:uid="{00000000-0004-0000-0000-00000C000000}"/>
    <hyperlink ref="A43" location="'Long-Term Liabilities'!A1" display="'Long-Term Liabilities'!A1" xr:uid="{00000000-0004-0000-0000-00000D000000}"/>
    <hyperlink ref="C43:J43" location="'Long-Term Liabilities'!A1" display="'Long-Term Liabilities'!A1" xr:uid="{00000000-0004-0000-0000-00000E000000}"/>
    <hyperlink ref="C64" location="a3p09!a1" display="a3p09!a1" xr:uid="{00000000-0004-0000-0000-00000F000000}"/>
    <hyperlink ref="C64:J64" location="'610'!A1" display="Significant Transactions between Component Units of State of NC and Analysis of Federal Grants and Contracts" xr:uid="{00000000-0004-0000-0000-000010000000}"/>
    <hyperlink ref="A65" location="'616'!A1" display="'616'!A1" xr:uid="{00000000-0004-0000-0000-000011000000}"/>
    <hyperlink ref="C65:H65" location="a5p04!a1" display="a5p04!a1" xr:uid="{00000000-0004-0000-0000-000012000000}"/>
    <hyperlink ref="C59:H59" location="a3p05!a1" display="a3p05!a1" xr:uid="{00000000-0004-0000-0000-000013000000}"/>
    <hyperlink ref="C59:J59" location="'430'!A1" display="Fund Equity Restatement (Prior Period Adjustments)" xr:uid="{00000000-0004-0000-0000-000014000000}"/>
    <hyperlink ref="A59" location="'430'!A1" display="'430'!A1" xr:uid="{00000000-0004-0000-0000-000015000000}"/>
    <hyperlink ref="A60:A62" location="'a5p01-06'!A1" display="'a5p01-06'!A1" xr:uid="{00000000-0004-0000-0000-000016000000}"/>
    <hyperlink ref="A60" location="'520'!A1" display="'520'!A1" xr:uid="{00000000-0004-0000-0000-000017000000}"/>
    <hyperlink ref="A61" location="'525'!A1" display="'525'!A1" xr:uid="{00000000-0004-0000-0000-000018000000}"/>
    <hyperlink ref="A62" location="'530'!A1" display="'530'!A1" xr:uid="{00000000-0004-0000-0000-000019000000}"/>
    <hyperlink ref="C60:H60" location="a5p02!a1" display="a5p02!a1" xr:uid="{00000000-0004-0000-0000-00001A000000}"/>
    <hyperlink ref="C61:H61" location="a5p03!a1" display="a5p03!a1" xr:uid="{00000000-0004-0000-0000-00001B000000}"/>
    <hyperlink ref="C62:H62" location="a5p04!a1" display="a5p04!a1" xr:uid="{00000000-0004-0000-0000-00001C000000}"/>
    <hyperlink ref="C60:J60" location="'520'!A1" display="Schedule of Due to Primary Government" xr:uid="{00000000-0004-0000-0000-00001D000000}"/>
    <hyperlink ref="C61:J61" location="'525'!A1" display="Schedule of Due from State of NC Component Units" xr:uid="{00000000-0004-0000-0000-00001E000000}"/>
    <hyperlink ref="C62:J62" location="'530'!A1" display="Schedule of Due to State of NC Component Units" xr:uid="{00000000-0004-0000-0000-00001F000000}"/>
    <hyperlink ref="A57" location="'360'!A1" display="'360'!A1" xr:uid="{00000000-0004-0000-0000-000020000000}"/>
    <hyperlink ref="A68" location="Comments!A1" display="Comments" xr:uid="{00000000-0004-0000-0000-000021000000}"/>
    <hyperlink ref="C68:H68" location="a5p04!a1" display="a5p04!a1" xr:uid="{00000000-0004-0000-0000-000022000000}"/>
    <hyperlink ref="C68:J68" location="Comments!A1" display="Your Comments and Suggestions" xr:uid="{00000000-0004-0000-0000-000023000000}"/>
    <hyperlink ref="A48" location="'215'!A1" display="'215'!A1" xr:uid="{00000000-0004-0000-0000-000024000000}"/>
    <hyperlink ref="A66" location="'625'!A1" display="'625'!A1" xr:uid="{00000000-0004-0000-0000-000025000000}"/>
    <hyperlink ref="C66:H66" location="a5p04!a1" display="a5p04!a1" xr:uid="{00000000-0004-0000-0000-000026000000}"/>
    <hyperlink ref="C66:J66" location="'625'!A1" display="Analytical Review (replaces MD&amp;A &quot;Comments&quot; sheet from prior yrs)" xr:uid="{00000000-0004-0000-0000-000027000000}"/>
    <hyperlink ref="A69" location="'College Filenames'!A1" display="College Filenames" xr:uid="{00000000-0004-0000-0000-000028000000}"/>
    <hyperlink ref="C69:H69" location="a5p04!a1" display="a5p04!a1" xr:uid="{00000000-0004-0000-0000-000029000000}"/>
    <hyperlink ref="C69:J69" location="'College Filenames'!A1" display="List of all colleges and their agency numbers and CAFR filenames" xr:uid="{00000000-0004-0000-0000-00002A000000}"/>
    <hyperlink ref="A70" location="Agencies!A1" display="Agencies" xr:uid="{00000000-0004-0000-0000-00002B000000}"/>
    <hyperlink ref="C70:H70" location="a5p04!a1" display="a5p04!a1" xr:uid="{00000000-0004-0000-0000-00002C000000}"/>
    <hyperlink ref="C70:J70" location="Agencies!A1" display="List of all agencies in the State of NC Reporting Entity" xr:uid="{00000000-0004-0000-0000-00002D000000}"/>
    <hyperlink ref="C71:H71" location="a5p04!a1" display="a5p04!a1" xr:uid="{00000000-0004-0000-0000-00002E000000}"/>
    <hyperlink ref="C71:J71" location="'ExhA&amp;B-definitions&amp;messages'!A1" display="Example Exhibit A&amp;B showing comment box definitions, error messages and source for pre-populated cells" xr:uid="{00000000-0004-0000-0000-00002F000000}"/>
    <hyperlink ref="A71" location="'ExhA&amp;B-definitions&amp;messages'!A1" display="'ExhA&amp;B-definitions&amp;messages'!A1" xr:uid="{00000000-0004-0000-0000-000030000000}"/>
    <hyperlink ref="C58:H58" location="a3p08!a1" display="a3p08!a1" xr:uid="{00000000-0004-0000-0000-000031000000}"/>
    <hyperlink ref="A58" location="'425'!A1" display="'425'!A1" xr:uid="{00000000-0004-0000-0000-000032000000}"/>
    <hyperlink ref="C58:J58" location="'425'!A1" display="Stewardship, Compliance, and Accountability" xr:uid="{00000000-0004-0000-0000-000033000000}"/>
    <hyperlink ref="A46" location="'110'!A1" display="'110'!A1" xr:uid="{00000000-0004-0000-0000-000034000000}"/>
    <hyperlink ref="C48:J48" location="'215'!A1" display="Capital Asset Impairments " xr:uid="{00000000-0004-0000-0000-000035000000}"/>
    <hyperlink ref="C50:J50" location="'301'!A1" display="Leases - Operating and Capital" xr:uid="{00000000-0004-0000-0000-000036000000}"/>
    <hyperlink ref="C46:J46" location="'110'!A1" display="Service Concession Arrangements" xr:uid="{00000000-0004-0000-0000-000037000000}"/>
    <hyperlink ref="C56:J56" location="'355'!A1" display="Subsequent Events/Other Items" xr:uid="{00000000-0004-0000-0000-000038000000}"/>
    <hyperlink ref="C54:J54" location="'345'!A1" display="Contingencies" xr:uid="{00000000-0004-0000-0000-000039000000}"/>
    <hyperlink ref="C55:J55" location="'350'!A1" display="Construction and Other Significant Commitments" xr:uid="{00000000-0004-0000-0000-00003A000000}"/>
    <hyperlink ref="C57:J57" location="'360'!A1" display="Related Party Transactions" xr:uid="{00000000-0004-0000-0000-00003B000000}"/>
    <hyperlink ref="A47" location="'120'!A1" display="'120'!A1" xr:uid="{00000000-0004-0000-0000-00003C000000}"/>
    <hyperlink ref="C47:J47" location="'120'!A1" display="GOVERNMENT COMBINATIONS AND DISPOSALS OF GOVERNMENT OPERATIONS" xr:uid="{00000000-0004-0000-0000-00003D000000}"/>
    <hyperlink ref="A49" location="'220'!A1" display="'220'!A1" xr:uid="{00000000-0004-0000-0000-00003E000000}"/>
    <hyperlink ref="A67" location="Explanations!A1" display="Explanations" xr:uid="{00000000-0004-0000-0000-00003F000000}"/>
    <hyperlink ref="C67:H67" location="a5p04!a1" display="a5p04!a1" xr:uid="{00000000-0004-0000-0000-000040000000}"/>
    <hyperlink ref="C67:J67" location="Explanations!A1" display="Explanations" xr:uid="{00000000-0004-0000-0000-000041000000}"/>
    <hyperlink ref="C49:J49" location="'220'!A1" display="Capital Asset Statistics " xr:uid="{00000000-0004-0000-0000-000042000000}"/>
    <hyperlink ref="C63:J63" location="'602'!A1" display="Employer Contribution Amounts for TSERS and OPEB (New 2018)" xr:uid="{00000000-0004-0000-0000-000043000000}"/>
    <hyperlink ref="A63" location="'602'!A1" display="'602'!A1" xr:uid="{00000000-0004-0000-0000-000044000000}"/>
    <hyperlink ref="C65:J65" location="'616'!A1" display="Schedule of Due from College Component Units " xr:uid="{00000000-0004-0000-0000-000045000000}"/>
    <hyperlink ref="A53" location="'323'!A1" display="'323'!A1" xr:uid="{73D18D7E-7F9A-4EDD-8A65-49DA76587D65}"/>
    <hyperlink ref="C53:J53" location="'323'!A1" display="Certain Asset Retirement Obligations" xr:uid="{80DB689E-6275-4D8C-A4B3-CAA0FA6B52DC}"/>
    <hyperlink ref="A51" location="'302'!A1" display="'302'!A1" xr:uid="{B0143322-B148-40C5-9FF3-E4801123269F}"/>
    <hyperlink ref="A52" location="'303'!A1" display="'303'!A1" xr:uid="{5A962CEF-F5C4-4820-B7DB-D8A1CAE4AA22}"/>
  </hyperlinks>
  <printOptions horizontalCentered="1"/>
  <pageMargins left="0.5" right="0.25" top="0.5" bottom="0.25" header="0.5" footer="0.25"/>
  <pageSetup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5097-202E-46AB-9A87-5B61DD09EA85}">
  <sheetPr codeName="Sheet36">
    <pageSetUpPr fitToPage="1"/>
  </sheetPr>
  <dimension ref="A1:P101"/>
  <sheetViews>
    <sheetView workbookViewId="0">
      <selection activeCell="Q77" sqref="Q77"/>
    </sheetView>
  </sheetViews>
  <sheetFormatPr defaultRowHeight="13.8"/>
  <cols>
    <col min="1" max="1" width="1.42578125" style="697" customWidth="1"/>
    <col min="2" max="2" width="3.42578125" style="697" customWidth="1"/>
    <col min="3" max="3" width="5.42578125" style="697" customWidth="1"/>
    <col min="4" max="4" width="7.42578125" style="697" customWidth="1"/>
    <col min="5" max="8" width="9.28515625" style="697"/>
    <col min="9" max="9" width="11.42578125" style="697" customWidth="1"/>
    <col min="10" max="10" width="11.85546875" style="697" customWidth="1"/>
    <col min="11" max="11" width="25.85546875" style="697" customWidth="1"/>
    <col min="12" max="12" width="16.42578125" style="697" customWidth="1"/>
    <col min="13" max="13" width="11.42578125" style="697" customWidth="1"/>
    <col min="14" max="14" width="1.85546875" style="697" customWidth="1"/>
    <col min="15" max="15" width="1.42578125" style="697" customWidth="1"/>
    <col min="16" max="256" width="9.28515625" style="697"/>
    <col min="257" max="257" width="1.42578125" style="697" customWidth="1"/>
    <col min="258" max="258" width="3.42578125" style="697" customWidth="1"/>
    <col min="259" max="259" width="5.42578125" style="697" customWidth="1"/>
    <col min="260" max="260" width="7.42578125" style="697" customWidth="1"/>
    <col min="261" max="264" width="9.28515625" style="697"/>
    <col min="265" max="265" width="11.42578125" style="697" customWidth="1"/>
    <col min="266" max="266" width="11.85546875" style="697" customWidth="1"/>
    <col min="267" max="267" width="25.85546875" style="697" customWidth="1"/>
    <col min="268" max="268" width="5.7109375" style="697" customWidth="1"/>
    <col min="269" max="269" width="11.42578125" style="697" customWidth="1"/>
    <col min="270" max="270" width="1.85546875" style="697" customWidth="1"/>
    <col min="271" max="271" width="1.42578125" style="697" customWidth="1"/>
    <col min="272" max="512" width="9.28515625" style="697"/>
    <col min="513" max="513" width="1.42578125" style="697" customWidth="1"/>
    <col min="514" max="514" width="3.42578125" style="697" customWidth="1"/>
    <col min="515" max="515" width="5.42578125" style="697" customWidth="1"/>
    <col min="516" max="516" width="7.42578125" style="697" customWidth="1"/>
    <col min="517" max="520" width="9.28515625" style="697"/>
    <col min="521" max="521" width="11.42578125" style="697" customWidth="1"/>
    <col min="522" max="522" width="11.85546875" style="697" customWidth="1"/>
    <col min="523" max="523" width="25.85546875" style="697" customWidth="1"/>
    <col min="524" max="524" width="5.7109375" style="697" customWidth="1"/>
    <col min="525" max="525" width="11.42578125" style="697" customWidth="1"/>
    <col min="526" max="526" width="1.85546875" style="697" customWidth="1"/>
    <col min="527" max="527" width="1.42578125" style="697" customWidth="1"/>
    <col min="528" max="768" width="9.28515625" style="697"/>
    <col min="769" max="769" width="1.42578125" style="697" customWidth="1"/>
    <col min="770" max="770" width="3.42578125" style="697" customWidth="1"/>
    <col min="771" max="771" width="5.42578125" style="697" customWidth="1"/>
    <col min="772" max="772" width="7.42578125" style="697" customWidth="1"/>
    <col min="773" max="776" width="9.28515625" style="697"/>
    <col min="777" max="777" width="11.42578125" style="697" customWidth="1"/>
    <col min="778" max="778" width="11.85546875" style="697" customWidth="1"/>
    <col min="779" max="779" width="25.85546875" style="697" customWidth="1"/>
    <col min="780" max="780" width="5.7109375" style="697" customWidth="1"/>
    <col min="781" max="781" width="11.42578125" style="697" customWidth="1"/>
    <col min="782" max="782" width="1.85546875" style="697" customWidth="1"/>
    <col min="783" max="783" width="1.42578125" style="697" customWidth="1"/>
    <col min="784" max="1024" width="9.28515625" style="697"/>
    <col min="1025" max="1025" width="1.42578125" style="697" customWidth="1"/>
    <col min="1026" max="1026" width="3.42578125" style="697" customWidth="1"/>
    <col min="1027" max="1027" width="5.42578125" style="697" customWidth="1"/>
    <col min="1028" max="1028" width="7.42578125" style="697" customWidth="1"/>
    <col min="1029" max="1032" width="9.28515625" style="697"/>
    <col min="1033" max="1033" width="11.42578125" style="697" customWidth="1"/>
    <col min="1034" max="1034" width="11.85546875" style="697" customWidth="1"/>
    <col min="1035" max="1035" width="25.85546875" style="697" customWidth="1"/>
    <col min="1036" max="1036" width="5.7109375" style="697" customWidth="1"/>
    <col min="1037" max="1037" width="11.42578125" style="697" customWidth="1"/>
    <col min="1038" max="1038" width="1.85546875" style="697" customWidth="1"/>
    <col min="1039" max="1039" width="1.42578125" style="697" customWidth="1"/>
    <col min="1040" max="1280" width="9.28515625" style="697"/>
    <col min="1281" max="1281" width="1.42578125" style="697" customWidth="1"/>
    <col min="1282" max="1282" width="3.42578125" style="697" customWidth="1"/>
    <col min="1283" max="1283" width="5.42578125" style="697" customWidth="1"/>
    <col min="1284" max="1284" width="7.42578125" style="697" customWidth="1"/>
    <col min="1285" max="1288" width="9.28515625" style="697"/>
    <col min="1289" max="1289" width="11.42578125" style="697" customWidth="1"/>
    <col min="1290" max="1290" width="11.85546875" style="697" customWidth="1"/>
    <col min="1291" max="1291" width="25.85546875" style="697" customWidth="1"/>
    <col min="1292" max="1292" width="5.7109375" style="697" customWidth="1"/>
    <col min="1293" max="1293" width="11.42578125" style="697" customWidth="1"/>
    <col min="1294" max="1294" width="1.85546875" style="697" customWidth="1"/>
    <col min="1295" max="1295" width="1.42578125" style="697" customWidth="1"/>
    <col min="1296" max="1536" width="9.28515625" style="697"/>
    <col min="1537" max="1537" width="1.42578125" style="697" customWidth="1"/>
    <col min="1538" max="1538" width="3.42578125" style="697" customWidth="1"/>
    <col min="1539" max="1539" width="5.42578125" style="697" customWidth="1"/>
    <col min="1540" max="1540" width="7.42578125" style="697" customWidth="1"/>
    <col min="1541" max="1544" width="9.28515625" style="697"/>
    <col min="1545" max="1545" width="11.42578125" style="697" customWidth="1"/>
    <col min="1546" max="1546" width="11.85546875" style="697" customWidth="1"/>
    <col min="1547" max="1547" width="25.85546875" style="697" customWidth="1"/>
    <col min="1548" max="1548" width="5.7109375" style="697" customWidth="1"/>
    <col min="1549" max="1549" width="11.42578125" style="697" customWidth="1"/>
    <col min="1550" max="1550" width="1.85546875" style="697" customWidth="1"/>
    <col min="1551" max="1551" width="1.42578125" style="697" customWidth="1"/>
    <col min="1552" max="1792" width="9.28515625" style="697"/>
    <col min="1793" max="1793" width="1.42578125" style="697" customWidth="1"/>
    <col min="1794" max="1794" width="3.42578125" style="697" customWidth="1"/>
    <col min="1795" max="1795" width="5.42578125" style="697" customWidth="1"/>
    <col min="1796" max="1796" width="7.42578125" style="697" customWidth="1"/>
    <col min="1797" max="1800" width="9.28515625" style="697"/>
    <col min="1801" max="1801" width="11.42578125" style="697" customWidth="1"/>
    <col min="1802" max="1802" width="11.85546875" style="697" customWidth="1"/>
    <col min="1803" max="1803" width="25.85546875" style="697" customWidth="1"/>
    <col min="1804" max="1804" width="5.7109375" style="697" customWidth="1"/>
    <col min="1805" max="1805" width="11.42578125" style="697" customWidth="1"/>
    <col min="1806" max="1806" width="1.85546875" style="697" customWidth="1"/>
    <col min="1807" max="1807" width="1.42578125" style="697" customWidth="1"/>
    <col min="1808" max="2048" width="9.28515625" style="697"/>
    <col min="2049" max="2049" width="1.42578125" style="697" customWidth="1"/>
    <col min="2050" max="2050" width="3.42578125" style="697" customWidth="1"/>
    <col min="2051" max="2051" width="5.42578125" style="697" customWidth="1"/>
    <col min="2052" max="2052" width="7.42578125" style="697" customWidth="1"/>
    <col min="2053" max="2056" width="9.28515625" style="697"/>
    <col min="2057" max="2057" width="11.42578125" style="697" customWidth="1"/>
    <col min="2058" max="2058" width="11.85546875" style="697" customWidth="1"/>
    <col min="2059" max="2059" width="25.85546875" style="697" customWidth="1"/>
    <col min="2060" max="2060" width="5.7109375" style="697" customWidth="1"/>
    <col min="2061" max="2061" width="11.42578125" style="697" customWidth="1"/>
    <col min="2062" max="2062" width="1.85546875" style="697" customWidth="1"/>
    <col min="2063" max="2063" width="1.42578125" style="697" customWidth="1"/>
    <col min="2064" max="2304" width="9.28515625" style="697"/>
    <col min="2305" max="2305" width="1.42578125" style="697" customWidth="1"/>
    <col min="2306" max="2306" width="3.42578125" style="697" customWidth="1"/>
    <col min="2307" max="2307" width="5.42578125" style="697" customWidth="1"/>
    <col min="2308" max="2308" width="7.42578125" style="697" customWidth="1"/>
    <col min="2309" max="2312" width="9.28515625" style="697"/>
    <col min="2313" max="2313" width="11.42578125" style="697" customWidth="1"/>
    <col min="2314" max="2314" width="11.85546875" style="697" customWidth="1"/>
    <col min="2315" max="2315" width="25.85546875" style="697" customWidth="1"/>
    <col min="2316" max="2316" width="5.7109375" style="697" customWidth="1"/>
    <col min="2317" max="2317" width="11.42578125" style="697" customWidth="1"/>
    <col min="2318" max="2318" width="1.85546875" style="697" customWidth="1"/>
    <col min="2319" max="2319" width="1.42578125" style="697" customWidth="1"/>
    <col min="2320" max="2560" width="9.28515625" style="697"/>
    <col min="2561" max="2561" width="1.42578125" style="697" customWidth="1"/>
    <col min="2562" max="2562" width="3.42578125" style="697" customWidth="1"/>
    <col min="2563" max="2563" width="5.42578125" style="697" customWidth="1"/>
    <col min="2564" max="2564" width="7.42578125" style="697" customWidth="1"/>
    <col min="2565" max="2568" width="9.28515625" style="697"/>
    <col min="2569" max="2569" width="11.42578125" style="697" customWidth="1"/>
    <col min="2570" max="2570" width="11.85546875" style="697" customWidth="1"/>
    <col min="2571" max="2571" width="25.85546875" style="697" customWidth="1"/>
    <col min="2572" max="2572" width="5.7109375" style="697" customWidth="1"/>
    <col min="2573" max="2573" width="11.42578125" style="697" customWidth="1"/>
    <col min="2574" max="2574" width="1.85546875" style="697" customWidth="1"/>
    <col min="2575" max="2575" width="1.42578125" style="697" customWidth="1"/>
    <col min="2576" max="2816" width="9.28515625" style="697"/>
    <col min="2817" max="2817" width="1.42578125" style="697" customWidth="1"/>
    <col min="2818" max="2818" width="3.42578125" style="697" customWidth="1"/>
    <col min="2819" max="2819" width="5.42578125" style="697" customWidth="1"/>
    <col min="2820" max="2820" width="7.42578125" style="697" customWidth="1"/>
    <col min="2821" max="2824" width="9.28515625" style="697"/>
    <col min="2825" max="2825" width="11.42578125" style="697" customWidth="1"/>
    <col min="2826" max="2826" width="11.85546875" style="697" customWidth="1"/>
    <col min="2827" max="2827" width="25.85546875" style="697" customWidth="1"/>
    <col min="2828" max="2828" width="5.7109375" style="697" customWidth="1"/>
    <col min="2829" max="2829" width="11.42578125" style="697" customWidth="1"/>
    <col min="2830" max="2830" width="1.85546875" style="697" customWidth="1"/>
    <col min="2831" max="2831" width="1.42578125" style="697" customWidth="1"/>
    <col min="2832" max="3072" width="9.28515625" style="697"/>
    <col min="3073" max="3073" width="1.42578125" style="697" customWidth="1"/>
    <col min="3074" max="3074" width="3.42578125" style="697" customWidth="1"/>
    <col min="3075" max="3075" width="5.42578125" style="697" customWidth="1"/>
    <col min="3076" max="3076" width="7.42578125" style="697" customWidth="1"/>
    <col min="3077" max="3080" width="9.28515625" style="697"/>
    <col min="3081" max="3081" width="11.42578125" style="697" customWidth="1"/>
    <col min="3082" max="3082" width="11.85546875" style="697" customWidth="1"/>
    <col min="3083" max="3083" width="25.85546875" style="697" customWidth="1"/>
    <col min="3084" max="3084" width="5.7109375" style="697" customWidth="1"/>
    <col min="3085" max="3085" width="11.42578125" style="697" customWidth="1"/>
    <col min="3086" max="3086" width="1.85546875" style="697" customWidth="1"/>
    <col min="3087" max="3087" width="1.42578125" style="697" customWidth="1"/>
    <col min="3088" max="3328" width="9.28515625" style="697"/>
    <col min="3329" max="3329" width="1.42578125" style="697" customWidth="1"/>
    <col min="3330" max="3330" width="3.42578125" style="697" customWidth="1"/>
    <col min="3331" max="3331" width="5.42578125" style="697" customWidth="1"/>
    <col min="3332" max="3332" width="7.42578125" style="697" customWidth="1"/>
    <col min="3333" max="3336" width="9.28515625" style="697"/>
    <col min="3337" max="3337" width="11.42578125" style="697" customWidth="1"/>
    <col min="3338" max="3338" width="11.85546875" style="697" customWidth="1"/>
    <col min="3339" max="3339" width="25.85546875" style="697" customWidth="1"/>
    <col min="3340" max="3340" width="5.7109375" style="697" customWidth="1"/>
    <col min="3341" max="3341" width="11.42578125" style="697" customWidth="1"/>
    <col min="3342" max="3342" width="1.85546875" style="697" customWidth="1"/>
    <col min="3343" max="3343" width="1.42578125" style="697" customWidth="1"/>
    <col min="3344" max="3584" width="9.28515625" style="697"/>
    <col min="3585" max="3585" width="1.42578125" style="697" customWidth="1"/>
    <col min="3586" max="3586" width="3.42578125" style="697" customWidth="1"/>
    <col min="3587" max="3587" width="5.42578125" style="697" customWidth="1"/>
    <col min="3588" max="3588" width="7.42578125" style="697" customWidth="1"/>
    <col min="3589" max="3592" width="9.28515625" style="697"/>
    <col min="3593" max="3593" width="11.42578125" style="697" customWidth="1"/>
    <col min="3594" max="3594" width="11.85546875" style="697" customWidth="1"/>
    <col min="3595" max="3595" width="25.85546875" style="697" customWidth="1"/>
    <col min="3596" max="3596" width="5.7109375" style="697" customWidth="1"/>
    <col min="3597" max="3597" width="11.42578125" style="697" customWidth="1"/>
    <col min="3598" max="3598" width="1.85546875" style="697" customWidth="1"/>
    <col min="3599" max="3599" width="1.42578125" style="697" customWidth="1"/>
    <col min="3600" max="3840" width="9.28515625" style="697"/>
    <col min="3841" max="3841" width="1.42578125" style="697" customWidth="1"/>
    <col min="3842" max="3842" width="3.42578125" style="697" customWidth="1"/>
    <col min="3843" max="3843" width="5.42578125" style="697" customWidth="1"/>
    <col min="3844" max="3844" width="7.42578125" style="697" customWidth="1"/>
    <col min="3845" max="3848" width="9.28515625" style="697"/>
    <col min="3849" max="3849" width="11.42578125" style="697" customWidth="1"/>
    <col min="3850" max="3850" width="11.85546875" style="697" customWidth="1"/>
    <col min="3851" max="3851" width="25.85546875" style="697" customWidth="1"/>
    <col min="3852" max="3852" width="5.7109375" style="697" customWidth="1"/>
    <col min="3853" max="3853" width="11.42578125" style="697" customWidth="1"/>
    <col min="3854" max="3854" width="1.85546875" style="697" customWidth="1"/>
    <col min="3855" max="3855" width="1.42578125" style="697" customWidth="1"/>
    <col min="3856" max="4096" width="9.28515625" style="697"/>
    <col min="4097" max="4097" width="1.42578125" style="697" customWidth="1"/>
    <col min="4098" max="4098" width="3.42578125" style="697" customWidth="1"/>
    <col min="4099" max="4099" width="5.42578125" style="697" customWidth="1"/>
    <col min="4100" max="4100" width="7.42578125" style="697" customWidth="1"/>
    <col min="4101" max="4104" width="9.28515625" style="697"/>
    <col min="4105" max="4105" width="11.42578125" style="697" customWidth="1"/>
    <col min="4106" max="4106" width="11.85546875" style="697" customWidth="1"/>
    <col min="4107" max="4107" width="25.85546875" style="697" customWidth="1"/>
    <col min="4108" max="4108" width="5.7109375" style="697" customWidth="1"/>
    <col min="4109" max="4109" width="11.42578125" style="697" customWidth="1"/>
    <col min="4110" max="4110" width="1.85546875" style="697" customWidth="1"/>
    <col min="4111" max="4111" width="1.42578125" style="697" customWidth="1"/>
    <col min="4112" max="4352" width="9.28515625" style="697"/>
    <col min="4353" max="4353" width="1.42578125" style="697" customWidth="1"/>
    <col min="4354" max="4354" width="3.42578125" style="697" customWidth="1"/>
    <col min="4355" max="4355" width="5.42578125" style="697" customWidth="1"/>
    <col min="4356" max="4356" width="7.42578125" style="697" customWidth="1"/>
    <col min="4357" max="4360" width="9.28515625" style="697"/>
    <col min="4361" max="4361" width="11.42578125" style="697" customWidth="1"/>
    <col min="4362" max="4362" width="11.85546875" style="697" customWidth="1"/>
    <col min="4363" max="4363" width="25.85546875" style="697" customWidth="1"/>
    <col min="4364" max="4364" width="5.7109375" style="697" customWidth="1"/>
    <col min="4365" max="4365" width="11.42578125" style="697" customWidth="1"/>
    <col min="4366" max="4366" width="1.85546875" style="697" customWidth="1"/>
    <col min="4367" max="4367" width="1.42578125" style="697" customWidth="1"/>
    <col min="4368" max="4608" width="9.28515625" style="697"/>
    <col min="4609" max="4609" width="1.42578125" style="697" customWidth="1"/>
    <col min="4610" max="4610" width="3.42578125" style="697" customWidth="1"/>
    <col min="4611" max="4611" width="5.42578125" style="697" customWidth="1"/>
    <col min="4612" max="4612" width="7.42578125" style="697" customWidth="1"/>
    <col min="4613" max="4616" width="9.28515625" style="697"/>
    <col min="4617" max="4617" width="11.42578125" style="697" customWidth="1"/>
    <col min="4618" max="4618" width="11.85546875" style="697" customWidth="1"/>
    <col min="4619" max="4619" width="25.85546875" style="697" customWidth="1"/>
    <col min="4620" max="4620" width="5.7109375" style="697" customWidth="1"/>
    <col min="4621" max="4621" width="11.42578125" style="697" customWidth="1"/>
    <col min="4622" max="4622" width="1.85546875" style="697" customWidth="1"/>
    <col min="4623" max="4623" width="1.42578125" style="697" customWidth="1"/>
    <col min="4624" max="4864" width="9.28515625" style="697"/>
    <col min="4865" max="4865" width="1.42578125" style="697" customWidth="1"/>
    <col min="4866" max="4866" width="3.42578125" style="697" customWidth="1"/>
    <col min="4867" max="4867" width="5.42578125" style="697" customWidth="1"/>
    <col min="4868" max="4868" width="7.42578125" style="697" customWidth="1"/>
    <col min="4869" max="4872" width="9.28515625" style="697"/>
    <col min="4873" max="4873" width="11.42578125" style="697" customWidth="1"/>
    <col min="4874" max="4874" width="11.85546875" style="697" customWidth="1"/>
    <col min="4875" max="4875" width="25.85546875" style="697" customWidth="1"/>
    <col min="4876" max="4876" width="5.7109375" style="697" customWidth="1"/>
    <col min="4877" max="4877" width="11.42578125" style="697" customWidth="1"/>
    <col min="4878" max="4878" width="1.85546875" style="697" customWidth="1"/>
    <col min="4879" max="4879" width="1.42578125" style="697" customWidth="1"/>
    <col min="4880" max="5120" width="9.28515625" style="697"/>
    <col min="5121" max="5121" width="1.42578125" style="697" customWidth="1"/>
    <col min="5122" max="5122" width="3.42578125" style="697" customWidth="1"/>
    <col min="5123" max="5123" width="5.42578125" style="697" customWidth="1"/>
    <col min="5124" max="5124" width="7.42578125" style="697" customWidth="1"/>
    <col min="5125" max="5128" width="9.28515625" style="697"/>
    <col min="5129" max="5129" width="11.42578125" style="697" customWidth="1"/>
    <col min="5130" max="5130" width="11.85546875" style="697" customWidth="1"/>
    <col min="5131" max="5131" width="25.85546875" style="697" customWidth="1"/>
    <col min="5132" max="5132" width="5.7109375" style="697" customWidth="1"/>
    <col min="5133" max="5133" width="11.42578125" style="697" customWidth="1"/>
    <col min="5134" max="5134" width="1.85546875" style="697" customWidth="1"/>
    <col min="5135" max="5135" width="1.42578125" style="697" customWidth="1"/>
    <col min="5136" max="5376" width="9.28515625" style="697"/>
    <col min="5377" max="5377" width="1.42578125" style="697" customWidth="1"/>
    <col min="5378" max="5378" width="3.42578125" style="697" customWidth="1"/>
    <col min="5379" max="5379" width="5.42578125" style="697" customWidth="1"/>
    <col min="5380" max="5380" width="7.42578125" style="697" customWidth="1"/>
    <col min="5381" max="5384" width="9.28515625" style="697"/>
    <col min="5385" max="5385" width="11.42578125" style="697" customWidth="1"/>
    <col min="5386" max="5386" width="11.85546875" style="697" customWidth="1"/>
    <col min="5387" max="5387" width="25.85546875" style="697" customWidth="1"/>
    <col min="5388" max="5388" width="5.7109375" style="697" customWidth="1"/>
    <col min="5389" max="5389" width="11.42578125" style="697" customWidth="1"/>
    <col min="5390" max="5390" width="1.85546875" style="697" customWidth="1"/>
    <col min="5391" max="5391" width="1.42578125" style="697" customWidth="1"/>
    <col min="5392" max="5632" width="9.28515625" style="697"/>
    <col min="5633" max="5633" width="1.42578125" style="697" customWidth="1"/>
    <col min="5634" max="5634" width="3.42578125" style="697" customWidth="1"/>
    <col min="5635" max="5635" width="5.42578125" style="697" customWidth="1"/>
    <col min="5636" max="5636" width="7.42578125" style="697" customWidth="1"/>
    <col min="5637" max="5640" width="9.28515625" style="697"/>
    <col min="5641" max="5641" width="11.42578125" style="697" customWidth="1"/>
    <col min="5642" max="5642" width="11.85546875" style="697" customWidth="1"/>
    <col min="5643" max="5643" width="25.85546875" style="697" customWidth="1"/>
    <col min="5644" max="5644" width="5.7109375" style="697" customWidth="1"/>
    <col min="5645" max="5645" width="11.42578125" style="697" customWidth="1"/>
    <col min="5646" max="5646" width="1.85546875" style="697" customWidth="1"/>
    <col min="5647" max="5647" width="1.42578125" style="697" customWidth="1"/>
    <col min="5648" max="5888" width="9.28515625" style="697"/>
    <col min="5889" max="5889" width="1.42578125" style="697" customWidth="1"/>
    <col min="5890" max="5890" width="3.42578125" style="697" customWidth="1"/>
    <col min="5891" max="5891" width="5.42578125" style="697" customWidth="1"/>
    <col min="5892" max="5892" width="7.42578125" style="697" customWidth="1"/>
    <col min="5893" max="5896" width="9.28515625" style="697"/>
    <col min="5897" max="5897" width="11.42578125" style="697" customWidth="1"/>
    <col min="5898" max="5898" width="11.85546875" style="697" customWidth="1"/>
    <col min="5899" max="5899" width="25.85546875" style="697" customWidth="1"/>
    <col min="5900" max="5900" width="5.7109375" style="697" customWidth="1"/>
    <col min="5901" max="5901" width="11.42578125" style="697" customWidth="1"/>
    <col min="5902" max="5902" width="1.85546875" style="697" customWidth="1"/>
    <col min="5903" max="5903" width="1.42578125" style="697" customWidth="1"/>
    <col min="5904" max="6144" width="9.28515625" style="697"/>
    <col min="6145" max="6145" width="1.42578125" style="697" customWidth="1"/>
    <col min="6146" max="6146" width="3.42578125" style="697" customWidth="1"/>
    <col min="6147" max="6147" width="5.42578125" style="697" customWidth="1"/>
    <col min="6148" max="6148" width="7.42578125" style="697" customWidth="1"/>
    <col min="6149" max="6152" width="9.28515625" style="697"/>
    <col min="6153" max="6153" width="11.42578125" style="697" customWidth="1"/>
    <col min="6154" max="6154" width="11.85546875" style="697" customWidth="1"/>
    <col min="6155" max="6155" width="25.85546875" style="697" customWidth="1"/>
    <col min="6156" max="6156" width="5.7109375" style="697" customWidth="1"/>
    <col min="6157" max="6157" width="11.42578125" style="697" customWidth="1"/>
    <col min="6158" max="6158" width="1.85546875" style="697" customWidth="1"/>
    <col min="6159" max="6159" width="1.42578125" style="697" customWidth="1"/>
    <col min="6160" max="6400" width="9.28515625" style="697"/>
    <col min="6401" max="6401" width="1.42578125" style="697" customWidth="1"/>
    <col min="6402" max="6402" width="3.42578125" style="697" customWidth="1"/>
    <col min="6403" max="6403" width="5.42578125" style="697" customWidth="1"/>
    <col min="6404" max="6404" width="7.42578125" style="697" customWidth="1"/>
    <col min="6405" max="6408" width="9.28515625" style="697"/>
    <col min="6409" max="6409" width="11.42578125" style="697" customWidth="1"/>
    <col min="6410" max="6410" width="11.85546875" style="697" customWidth="1"/>
    <col min="6411" max="6411" width="25.85546875" style="697" customWidth="1"/>
    <col min="6412" max="6412" width="5.7109375" style="697" customWidth="1"/>
    <col min="6413" max="6413" width="11.42578125" style="697" customWidth="1"/>
    <col min="6414" max="6414" width="1.85546875" style="697" customWidth="1"/>
    <col min="6415" max="6415" width="1.42578125" style="697" customWidth="1"/>
    <col min="6416" max="6656" width="9.28515625" style="697"/>
    <col min="6657" max="6657" width="1.42578125" style="697" customWidth="1"/>
    <col min="6658" max="6658" width="3.42578125" style="697" customWidth="1"/>
    <col min="6659" max="6659" width="5.42578125" style="697" customWidth="1"/>
    <col min="6660" max="6660" width="7.42578125" style="697" customWidth="1"/>
    <col min="6661" max="6664" width="9.28515625" style="697"/>
    <col min="6665" max="6665" width="11.42578125" style="697" customWidth="1"/>
    <col min="6666" max="6666" width="11.85546875" style="697" customWidth="1"/>
    <col min="6667" max="6667" width="25.85546875" style="697" customWidth="1"/>
    <col min="6668" max="6668" width="5.7109375" style="697" customWidth="1"/>
    <col min="6669" max="6669" width="11.42578125" style="697" customWidth="1"/>
    <col min="6670" max="6670" width="1.85546875" style="697" customWidth="1"/>
    <col min="6671" max="6671" width="1.42578125" style="697" customWidth="1"/>
    <col min="6672" max="6912" width="9.28515625" style="697"/>
    <col min="6913" max="6913" width="1.42578125" style="697" customWidth="1"/>
    <col min="6914" max="6914" width="3.42578125" style="697" customWidth="1"/>
    <col min="6915" max="6915" width="5.42578125" style="697" customWidth="1"/>
    <col min="6916" max="6916" width="7.42578125" style="697" customWidth="1"/>
    <col min="6917" max="6920" width="9.28515625" style="697"/>
    <col min="6921" max="6921" width="11.42578125" style="697" customWidth="1"/>
    <col min="6922" max="6922" width="11.85546875" style="697" customWidth="1"/>
    <col min="6923" max="6923" width="25.85546875" style="697" customWidth="1"/>
    <col min="6924" max="6924" width="5.7109375" style="697" customWidth="1"/>
    <col min="6925" max="6925" width="11.42578125" style="697" customWidth="1"/>
    <col min="6926" max="6926" width="1.85546875" style="697" customWidth="1"/>
    <col min="6927" max="6927" width="1.42578125" style="697" customWidth="1"/>
    <col min="6928" max="7168" width="9.28515625" style="697"/>
    <col min="7169" max="7169" width="1.42578125" style="697" customWidth="1"/>
    <col min="7170" max="7170" width="3.42578125" style="697" customWidth="1"/>
    <col min="7171" max="7171" width="5.42578125" style="697" customWidth="1"/>
    <col min="7172" max="7172" width="7.42578125" style="697" customWidth="1"/>
    <col min="7173" max="7176" width="9.28515625" style="697"/>
    <col min="7177" max="7177" width="11.42578125" style="697" customWidth="1"/>
    <col min="7178" max="7178" width="11.85546875" style="697" customWidth="1"/>
    <col min="7179" max="7179" width="25.85546875" style="697" customWidth="1"/>
    <col min="7180" max="7180" width="5.7109375" style="697" customWidth="1"/>
    <col min="7181" max="7181" width="11.42578125" style="697" customWidth="1"/>
    <col min="7182" max="7182" width="1.85546875" style="697" customWidth="1"/>
    <col min="7183" max="7183" width="1.42578125" style="697" customWidth="1"/>
    <col min="7184" max="7424" width="9.28515625" style="697"/>
    <col min="7425" max="7425" width="1.42578125" style="697" customWidth="1"/>
    <col min="7426" max="7426" width="3.42578125" style="697" customWidth="1"/>
    <col min="7427" max="7427" width="5.42578125" style="697" customWidth="1"/>
    <col min="7428" max="7428" width="7.42578125" style="697" customWidth="1"/>
    <col min="7429" max="7432" width="9.28515625" style="697"/>
    <col min="7433" max="7433" width="11.42578125" style="697" customWidth="1"/>
    <col min="7434" max="7434" width="11.85546875" style="697" customWidth="1"/>
    <col min="7435" max="7435" width="25.85546875" style="697" customWidth="1"/>
    <col min="7436" max="7436" width="5.7109375" style="697" customWidth="1"/>
    <col min="7437" max="7437" width="11.42578125" style="697" customWidth="1"/>
    <col min="7438" max="7438" width="1.85546875" style="697" customWidth="1"/>
    <col min="7439" max="7439" width="1.42578125" style="697" customWidth="1"/>
    <col min="7440" max="7680" width="9.28515625" style="697"/>
    <col min="7681" max="7681" width="1.42578125" style="697" customWidth="1"/>
    <col min="7682" max="7682" width="3.42578125" style="697" customWidth="1"/>
    <col min="7683" max="7683" width="5.42578125" style="697" customWidth="1"/>
    <col min="7684" max="7684" width="7.42578125" style="697" customWidth="1"/>
    <col min="7685" max="7688" width="9.28515625" style="697"/>
    <col min="7689" max="7689" width="11.42578125" style="697" customWidth="1"/>
    <col min="7690" max="7690" width="11.85546875" style="697" customWidth="1"/>
    <col min="7691" max="7691" width="25.85546875" style="697" customWidth="1"/>
    <col min="7692" max="7692" width="5.7109375" style="697" customWidth="1"/>
    <col min="7693" max="7693" width="11.42578125" style="697" customWidth="1"/>
    <col min="7694" max="7694" width="1.85546875" style="697" customWidth="1"/>
    <col min="7695" max="7695" width="1.42578125" style="697" customWidth="1"/>
    <col min="7696" max="7936" width="9.28515625" style="697"/>
    <col min="7937" max="7937" width="1.42578125" style="697" customWidth="1"/>
    <col min="7938" max="7938" width="3.42578125" style="697" customWidth="1"/>
    <col min="7939" max="7939" width="5.42578125" style="697" customWidth="1"/>
    <col min="7940" max="7940" width="7.42578125" style="697" customWidth="1"/>
    <col min="7941" max="7944" width="9.28515625" style="697"/>
    <col min="7945" max="7945" width="11.42578125" style="697" customWidth="1"/>
    <col min="7946" max="7946" width="11.85546875" style="697" customWidth="1"/>
    <col min="7947" max="7947" width="25.85546875" style="697" customWidth="1"/>
    <col min="7948" max="7948" width="5.7109375" style="697" customWidth="1"/>
    <col min="7949" max="7949" width="11.42578125" style="697" customWidth="1"/>
    <col min="7950" max="7950" width="1.85546875" style="697" customWidth="1"/>
    <col min="7951" max="7951" width="1.42578125" style="697" customWidth="1"/>
    <col min="7952" max="8192" width="9.28515625" style="697"/>
    <col min="8193" max="8193" width="1.42578125" style="697" customWidth="1"/>
    <col min="8194" max="8194" width="3.42578125" style="697" customWidth="1"/>
    <col min="8195" max="8195" width="5.42578125" style="697" customWidth="1"/>
    <col min="8196" max="8196" width="7.42578125" style="697" customWidth="1"/>
    <col min="8197" max="8200" width="9.28515625" style="697"/>
    <col min="8201" max="8201" width="11.42578125" style="697" customWidth="1"/>
    <col min="8202" max="8202" width="11.85546875" style="697" customWidth="1"/>
    <col min="8203" max="8203" width="25.85546875" style="697" customWidth="1"/>
    <col min="8204" max="8204" width="5.7109375" style="697" customWidth="1"/>
    <col min="8205" max="8205" width="11.42578125" style="697" customWidth="1"/>
    <col min="8206" max="8206" width="1.85546875" style="697" customWidth="1"/>
    <col min="8207" max="8207" width="1.42578125" style="697" customWidth="1"/>
    <col min="8208" max="8448" width="9.28515625" style="697"/>
    <col min="8449" max="8449" width="1.42578125" style="697" customWidth="1"/>
    <col min="8450" max="8450" width="3.42578125" style="697" customWidth="1"/>
    <col min="8451" max="8451" width="5.42578125" style="697" customWidth="1"/>
    <col min="8452" max="8452" width="7.42578125" style="697" customWidth="1"/>
    <col min="8453" max="8456" width="9.28515625" style="697"/>
    <col min="8457" max="8457" width="11.42578125" style="697" customWidth="1"/>
    <col min="8458" max="8458" width="11.85546875" style="697" customWidth="1"/>
    <col min="8459" max="8459" width="25.85546875" style="697" customWidth="1"/>
    <col min="8460" max="8460" width="5.7109375" style="697" customWidth="1"/>
    <col min="8461" max="8461" width="11.42578125" style="697" customWidth="1"/>
    <col min="8462" max="8462" width="1.85546875" style="697" customWidth="1"/>
    <col min="8463" max="8463" width="1.42578125" style="697" customWidth="1"/>
    <col min="8464" max="8704" width="9.28515625" style="697"/>
    <col min="8705" max="8705" width="1.42578125" style="697" customWidth="1"/>
    <col min="8706" max="8706" width="3.42578125" style="697" customWidth="1"/>
    <col min="8707" max="8707" width="5.42578125" style="697" customWidth="1"/>
    <col min="8708" max="8708" width="7.42578125" style="697" customWidth="1"/>
    <col min="8709" max="8712" width="9.28515625" style="697"/>
    <col min="8713" max="8713" width="11.42578125" style="697" customWidth="1"/>
    <col min="8714" max="8714" width="11.85546875" style="697" customWidth="1"/>
    <col min="8715" max="8715" width="25.85546875" style="697" customWidth="1"/>
    <col min="8716" max="8716" width="5.7109375" style="697" customWidth="1"/>
    <col min="8717" max="8717" width="11.42578125" style="697" customWidth="1"/>
    <col min="8718" max="8718" width="1.85546875" style="697" customWidth="1"/>
    <col min="8719" max="8719" width="1.42578125" style="697" customWidth="1"/>
    <col min="8720" max="8960" width="9.28515625" style="697"/>
    <col min="8961" max="8961" width="1.42578125" style="697" customWidth="1"/>
    <col min="8962" max="8962" width="3.42578125" style="697" customWidth="1"/>
    <col min="8963" max="8963" width="5.42578125" style="697" customWidth="1"/>
    <col min="8964" max="8964" width="7.42578125" style="697" customWidth="1"/>
    <col min="8965" max="8968" width="9.28515625" style="697"/>
    <col min="8969" max="8969" width="11.42578125" style="697" customWidth="1"/>
    <col min="8970" max="8970" width="11.85546875" style="697" customWidth="1"/>
    <col min="8971" max="8971" width="25.85546875" style="697" customWidth="1"/>
    <col min="8972" max="8972" width="5.7109375" style="697" customWidth="1"/>
    <col min="8973" max="8973" width="11.42578125" style="697" customWidth="1"/>
    <col min="8974" max="8974" width="1.85546875" style="697" customWidth="1"/>
    <col min="8975" max="8975" width="1.42578125" style="697" customWidth="1"/>
    <col min="8976" max="9216" width="9.28515625" style="697"/>
    <col min="9217" max="9217" width="1.42578125" style="697" customWidth="1"/>
    <col min="9218" max="9218" width="3.42578125" style="697" customWidth="1"/>
    <col min="9219" max="9219" width="5.42578125" style="697" customWidth="1"/>
    <col min="9220" max="9220" width="7.42578125" style="697" customWidth="1"/>
    <col min="9221" max="9224" width="9.28515625" style="697"/>
    <col min="9225" max="9225" width="11.42578125" style="697" customWidth="1"/>
    <col min="9226" max="9226" width="11.85546875" style="697" customWidth="1"/>
    <col min="9227" max="9227" width="25.85546875" style="697" customWidth="1"/>
    <col min="9228" max="9228" width="5.7109375" style="697" customWidth="1"/>
    <col min="9229" max="9229" width="11.42578125" style="697" customWidth="1"/>
    <col min="9230" max="9230" width="1.85546875" style="697" customWidth="1"/>
    <col min="9231" max="9231" width="1.42578125" style="697" customWidth="1"/>
    <col min="9232" max="9472" width="9.28515625" style="697"/>
    <col min="9473" max="9473" width="1.42578125" style="697" customWidth="1"/>
    <col min="9474" max="9474" width="3.42578125" style="697" customWidth="1"/>
    <col min="9475" max="9475" width="5.42578125" style="697" customWidth="1"/>
    <col min="9476" max="9476" width="7.42578125" style="697" customWidth="1"/>
    <col min="9477" max="9480" width="9.28515625" style="697"/>
    <col min="9481" max="9481" width="11.42578125" style="697" customWidth="1"/>
    <col min="9482" max="9482" width="11.85546875" style="697" customWidth="1"/>
    <col min="9483" max="9483" width="25.85546875" style="697" customWidth="1"/>
    <col min="9484" max="9484" width="5.7109375" style="697" customWidth="1"/>
    <col min="9485" max="9485" width="11.42578125" style="697" customWidth="1"/>
    <col min="9486" max="9486" width="1.85546875" style="697" customWidth="1"/>
    <col min="9487" max="9487" width="1.42578125" style="697" customWidth="1"/>
    <col min="9488" max="9728" width="9.28515625" style="697"/>
    <col min="9729" max="9729" width="1.42578125" style="697" customWidth="1"/>
    <col min="9730" max="9730" width="3.42578125" style="697" customWidth="1"/>
    <col min="9731" max="9731" width="5.42578125" style="697" customWidth="1"/>
    <col min="9732" max="9732" width="7.42578125" style="697" customWidth="1"/>
    <col min="9733" max="9736" width="9.28515625" style="697"/>
    <col min="9737" max="9737" width="11.42578125" style="697" customWidth="1"/>
    <col min="9738" max="9738" width="11.85546875" style="697" customWidth="1"/>
    <col min="9739" max="9739" width="25.85546875" style="697" customWidth="1"/>
    <col min="9740" max="9740" width="5.7109375" style="697" customWidth="1"/>
    <col min="9741" max="9741" width="11.42578125" style="697" customWidth="1"/>
    <col min="9742" max="9742" width="1.85546875" style="697" customWidth="1"/>
    <col min="9743" max="9743" width="1.42578125" style="697" customWidth="1"/>
    <col min="9744" max="9984" width="9.28515625" style="697"/>
    <col min="9985" max="9985" width="1.42578125" style="697" customWidth="1"/>
    <col min="9986" max="9986" width="3.42578125" style="697" customWidth="1"/>
    <col min="9987" max="9987" width="5.42578125" style="697" customWidth="1"/>
    <col min="9988" max="9988" width="7.42578125" style="697" customWidth="1"/>
    <col min="9989" max="9992" width="9.28515625" style="697"/>
    <col min="9993" max="9993" width="11.42578125" style="697" customWidth="1"/>
    <col min="9994" max="9994" width="11.85546875" style="697" customWidth="1"/>
    <col min="9995" max="9995" width="25.85546875" style="697" customWidth="1"/>
    <col min="9996" max="9996" width="5.7109375" style="697" customWidth="1"/>
    <col min="9997" max="9997" width="11.42578125" style="697" customWidth="1"/>
    <col min="9998" max="9998" width="1.85546875" style="697" customWidth="1"/>
    <col min="9999" max="9999" width="1.42578125" style="697" customWidth="1"/>
    <col min="10000" max="10240" width="9.28515625" style="697"/>
    <col min="10241" max="10241" width="1.42578125" style="697" customWidth="1"/>
    <col min="10242" max="10242" width="3.42578125" style="697" customWidth="1"/>
    <col min="10243" max="10243" width="5.42578125" style="697" customWidth="1"/>
    <col min="10244" max="10244" width="7.42578125" style="697" customWidth="1"/>
    <col min="10245" max="10248" width="9.28515625" style="697"/>
    <col min="10249" max="10249" width="11.42578125" style="697" customWidth="1"/>
    <col min="10250" max="10250" width="11.85546875" style="697" customWidth="1"/>
    <col min="10251" max="10251" width="25.85546875" style="697" customWidth="1"/>
    <col min="10252" max="10252" width="5.7109375" style="697" customWidth="1"/>
    <col min="10253" max="10253" width="11.42578125" style="697" customWidth="1"/>
    <col min="10254" max="10254" width="1.85546875" style="697" customWidth="1"/>
    <col min="10255" max="10255" width="1.42578125" style="697" customWidth="1"/>
    <col min="10256" max="10496" width="9.28515625" style="697"/>
    <col min="10497" max="10497" width="1.42578125" style="697" customWidth="1"/>
    <col min="10498" max="10498" width="3.42578125" style="697" customWidth="1"/>
    <col min="10499" max="10499" width="5.42578125" style="697" customWidth="1"/>
    <col min="10500" max="10500" width="7.42578125" style="697" customWidth="1"/>
    <col min="10501" max="10504" width="9.28515625" style="697"/>
    <col min="10505" max="10505" width="11.42578125" style="697" customWidth="1"/>
    <col min="10506" max="10506" width="11.85546875" style="697" customWidth="1"/>
    <col min="10507" max="10507" width="25.85546875" style="697" customWidth="1"/>
    <col min="10508" max="10508" width="5.7109375" style="697" customWidth="1"/>
    <col min="10509" max="10509" width="11.42578125" style="697" customWidth="1"/>
    <col min="10510" max="10510" width="1.85546875" style="697" customWidth="1"/>
    <col min="10511" max="10511" width="1.42578125" style="697" customWidth="1"/>
    <col min="10512" max="10752" width="9.28515625" style="697"/>
    <col min="10753" max="10753" width="1.42578125" style="697" customWidth="1"/>
    <col min="10754" max="10754" width="3.42578125" style="697" customWidth="1"/>
    <col min="10755" max="10755" width="5.42578125" style="697" customWidth="1"/>
    <col min="10756" max="10756" width="7.42578125" style="697" customWidth="1"/>
    <col min="10757" max="10760" width="9.28515625" style="697"/>
    <col min="10761" max="10761" width="11.42578125" style="697" customWidth="1"/>
    <col min="10762" max="10762" width="11.85546875" style="697" customWidth="1"/>
    <col min="10763" max="10763" width="25.85546875" style="697" customWidth="1"/>
    <col min="10764" max="10764" width="5.7109375" style="697" customWidth="1"/>
    <col min="10765" max="10765" width="11.42578125" style="697" customWidth="1"/>
    <col min="10766" max="10766" width="1.85546875" style="697" customWidth="1"/>
    <col min="10767" max="10767" width="1.42578125" style="697" customWidth="1"/>
    <col min="10768" max="11008" width="9.28515625" style="697"/>
    <col min="11009" max="11009" width="1.42578125" style="697" customWidth="1"/>
    <col min="11010" max="11010" width="3.42578125" style="697" customWidth="1"/>
    <col min="11011" max="11011" width="5.42578125" style="697" customWidth="1"/>
    <col min="11012" max="11012" width="7.42578125" style="697" customWidth="1"/>
    <col min="11013" max="11016" width="9.28515625" style="697"/>
    <col min="11017" max="11017" width="11.42578125" style="697" customWidth="1"/>
    <col min="11018" max="11018" width="11.85546875" style="697" customWidth="1"/>
    <col min="11019" max="11019" width="25.85546875" style="697" customWidth="1"/>
    <col min="11020" max="11020" width="5.7109375" style="697" customWidth="1"/>
    <col min="11021" max="11021" width="11.42578125" style="697" customWidth="1"/>
    <col min="11022" max="11022" width="1.85546875" style="697" customWidth="1"/>
    <col min="11023" max="11023" width="1.42578125" style="697" customWidth="1"/>
    <col min="11024" max="11264" width="9.28515625" style="697"/>
    <col min="11265" max="11265" width="1.42578125" style="697" customWidth="1"/>
    <col min="11266" max="11266" width="3.42578125" style="697" customWidth="1"/>
    <col min="11267" max="11267" width="5.42578125" style="697" customWidth="1"/>
    <col min="11268" max="11268" width="7.42578125" style="697" customWidth="1"/>
    <col min="11269" max="11272" width="9.28515625" style="697"/>
    <col min="11273" max="11273" width="11.42578125" style="697" customWidth="1"/>
    <col min="11274" max="11274" width="11.85546875" style="697" customWidth="1"/>
    <col min="11275" max="11275" width="25.85546875" style="697" customWidth="1"/>
    <col min="11276" max="11276" width="5.7109375" style="697" customWidth="1"/>
    <col min="11277" max="11277" width="11.42578125" style="697" customWidth="1"/>
    <col min="11278" max="11278" width="1.85546875" style="697" customWidth="1"/>
    <col min="11279" max="11279" width="1.42578125" style="697" customWidth="1"/>
    <col min="11280" max="11520" width="9.28515625" style="697"/>
    <col min="11521" max="11521" width="1.42578125" style="697" customWidth="1"/>
    <col min="11522" max="11522" width="3.42578125" style="697" customWidth="1"/>
    <col min="11523" max="11523" width="5.42578125" style="697" customWidth="1"/>
    <col min="11524" max="11524" width="7.42578125" style="697" customWidth="1"/>
    <col min="11525" max="11528" width="9.28515625" style="697"/>
    <col min="11529" max="11529" width="11.42578125" style="697" customWidth="1"/>
    <col min="11530" max="11530" width="11.85546875" style="697" customWidth="1"/>
    <col min="11531" max="11531" width="25.85546875" style="697" customWidth="1"/>
    <col min="11532" max="11532" width="5.7109375" style="697" customWidth="1"/>
    <col min="11533" max="11533" width="11.42578125" style="697" customWidth="1"/>
    <col min="11534" max="11534" width="1.85546875" style="697" customWidth="1"/>
    <col min="11535" max="11535" width="1.42578125" style="697" customWidth="1"/>
    <col min="11536" max="11776" width="9.28515625" style="697"/>
    <col min="11777" max="11777" width="1.42578125" style="697" customWidth="1"/>
    <col min="11778" max="11778" width="3.42578125" style="697" customWidth="1"/>
    <col min="11779" max="11779" width="5.42578125" style="697" customWidth="1"/>
    <col min="11780" max="11780" width="7.42578125" style="697" customWidth="1"/>
    <col min="11781" max="11784" width="9.28515625" style="697"/>
    <col min="11785" max="11785" width="11.42578125" style="697" customWidth="1"/>
    <col min="11786" max="11786" width="11.85546875" style="697" customWidth="1"/>
    <col min="11787" max="11787" width="25.85546875" style="697" customWidth="1"/>
    <col min="11788" max="11788" width="5.7109375" style="697" customWidth="1"/>
    <col min="11789" max="11789" width="11.42578125" style="697" customWidth="1"/>
    <col min="11790" max="11790" width="1.85546875" style="697" customWidth="1"/>
    <col min="11791" max="11791" width="1.42578125" style="697" customWidth="1"/>
    <col min="11792" max="12032" width="9.28515625" style="697"/>
    <col min="12033" max="12033" width="1.42578125" style="697" customWidth="1"/>
    <col min="12034" max="12034" width="3.42578125" style="697" customWidth="1"/>
    <col min="12035" max="12035" width="5.42578125" style="697" customWidth="1"/>
    <col min="12036" max="12036" width="7.42578125" style="697" customWidth="1"/>
    <col min="12037" max="12040" width="9.28515625" style="697"/>
    <col min="12041" max="12041" width="11.42578125" style="697" customWidth="1"/>
    <col min="12042" max="12042" width="11.85546875" style="697" customWidth="1"/>
    <col min="12043" max="12043" width="25.85546875" style="697" customWidth="1"/>
    <col min="12044" max="12044" width="5.7109375" style="697" customWidth="1"/>
    <col min="12045" max="12045" width="11.42578125" style="697" customWidth="1"/>
    <col min="12046" max="12046" width="1.85546875" style="697" customWidth="1"/>
    <col min="12047" max="12047" width="1.42578125" style="697" customWidth="1"/>
    <col min="12048" max="12288" width="9.28515625" style="697"/>
    <col min="12289" max="12289" width="1.42578125" style="697" customWidth="1"/>
    <col min="12290" max="12290" width="3.42578125" style="697" customWidth="1"/>
    <col min="12291" max="12291" width="5.42578125" style="697" customWidth="1"/>
    <col min="12292" max="12292" width="7.42578125" style="697" customWidth="1"/>
    <col min="12293" max="12296" width="9.28515625" style="697"/>
    <col min="12297" max="12297" width="11.42578125" style="697" customWidth="1"/>
    <col min="12298" max="12298" width="11.85546875" style="697" customWidth="1"/>
    <col min="12299" max="12299" width="25.85546875" style="697" customWidth="1"/>
    <col min="12300" max="12300" width="5.7109375" style="697" customWidth="1"/>
    <col min="12301" max="12301" width="11.42578125" style="697" customWidth="1"/>
    <col min="12302" max="12302" width="1.85546875" style="697" customWidth="1"/>
    <col min="12303" max="12303" width="1.42578125" style="697" customWidth="1"/>
    <col min="12304" max="12544" width="9.28515625" style="697"/>
    <col min="12545" max="12545" width="1.42578125" style="697" customWidth="1"/>
    <col min="12546" max="12546" width="3.42578125" style="697" customWidth="1"/>
    <col min="12547" max="12547" width="5.42578125" style="697" customWidth="1"/>
    <col min="12548" max="12548" width="7.42578125" style="697" customWidth="1"/>
    <col min="12549" max="12552" width="9.28515625" style="697"/>
    <col min="12553" max="12553" width="11.42578125" style="697" customWidth="1"/>
    <col min="12554" max="12554" width="11.85546875" style="697" customWidth="1"/>
    <col min="12555" max="12555" width="25.85546875" style="697" customWidth="1"/>
    <col min="12556" max="12556" width="5.7109375" style="697" customWidth="1"/>
    <col min="12557" max="12557" width="11.42578125" style="697" customWidth="1"/>
    <col min="12558" max="12558" width="1.85546875" style="697" customWidth="1"/>
    <col min="12559" max="12559" width="1.42578125" style="697" customWidth="1"/>
    <col min="12560" max="12800" width="9.28515625" style="697"/>
    <col min="12801" max="12801" width="1.42578125" style="697" customWidth="1"/>
    <col min="12802" max="12802" width="3.42578125" style="697" customWidth="1"/>
    <col min="12803" max="12803" width="5.42578125" style="697" customWidth="1"/>
    <col min="12804" max="12804" width="7.42578125" style="697" customWidth="1"/>
    <col min="12805" max="12808" width="9.28515625" style="697"/>
    <col min="12809" max="12809" width="11.42578125" style="697" customWidth="1"/>
    <col min="12810" max="12810" width="11.85546875" style="697" customWidth="1"/>
    <col min="12811" max="12811" width="25.85546875" style="697" customWidth="1"/>
    <col min="12812" max="12812" width="5.7109375" style="697" customWidth="1"/>
    <col min="12813" max="12813" width="11.42578125" style="697" customWidth="1"/>
    <col min="12814" max="12814" width="1.85546875" style="697" customWidth="1"/>
    <col min="12815" max="12815" width="1.42578125" style="697" customWidth="1"/>
    <col min="12816" max="13056" width="9.28515625" style="697"/>
    <col min="13057" max="13057" width="1.42578125" style="697" customWidth="1"/>
    <col min="13058" max="13058" width="3.42578125" style="697" customWidth="1"/>
    <col min="13059" max="13059" width="5.42578125" style="697" customWidth="1"/>
    <col min="13060" max="13060" width="7.42578125" style="697" customWidth="1"/>
    <col min="13061" max="13064" width="9.28515625" style="697"/>
    <col min="13065" max="13065" width="11.42578125" style="697" customWidth="1"/>
    <col min="13066" max="13066" width="11.85546875" style="697" customWidth="1"/>
    <col min="13067" max="13067" width="25.85546875" style="697" customWidth="1"/>
    <col min="13068" max="13068" width="5.7109375" style="697" customWidth="1"/>
    <col min="13069" max="13069" width="11.42578125" style="697" customWidth="1"/>
    <col min="13070" max="13070" width="1.85546875" style="697" customWidth="1"/>
    <col min="13071" max="13071" width="1.42578125" style="697" customWidth="1"/>
    <col min="13072" max="13312" width="9.28515625" style="697"/>
    <col min="13313" max="13313" width="1.42578125" style="697" customWidth="1"/>
    <col min="13314" max="13314" width="3.42578125" style="697" customWidth="1"/>
    <col min="13315" max="13315" width="5.42578125" style="697" customWidth="1"/>
    <col min="13316" max="13316" width="7.42578125" style="697" customWidth="1"/>
    <col min="13317" max="13320" width="9.28515625" style="697"/>
    <col min="13321" max="13321" width="11.42578125" style="697" customWidth="1"/>
    <col min="13322" max="13322" width="11.85546875" style="697" customWidth="1"/>
    <col min="13323" max="13323" width="25.85546875" style="697" customWidth="1"/>
    <col min="13324" max="13324" width="5.7109375" style="697" customWidth="1"/>
    <col min="13325" max="13325" width="11.42578125" style="697" customWidth="1"/>
    <col min="13326" max="13326" width="1.85546875" style="697" customWidth="1"/>
    <col min="13327" max="13327" width="1.42578125" style="697" customWidth="1"/>
    <col min="13328" max="13568" width="9.28515625" style="697"/>
    <col min="13569" max="13569" width="1.42578125" style="697" customWidth="1"/>
    <col min="13570" max="13570" width="3.42578125" style="697" customWidth="1"/>
    <col min="13571" max="13571" width="5.42578125" style="697" customWidth="1"/>
    <col min="13572" max="13572" width="7.42578125" style="697" customWidth="1"/>
    <col min="13573" max="13576" width="9.28515625" style="697"/>
    <col min="13577" max="13577" width="11.42578125" style="697" customWidth="1"/>
    <col min="13578" max="13578" width="11.85546875" style="697" customWidth="1"/>
    <col min="13579" max="13579" width="25.85546875" style="697" customWidth="1"/>
    <col min="13580" max="13580" width="5.7109375" style="697" customWidth="1"/>
    <col min="13581" max="13581" width="11.42578125" style="697" customWidth="1"/>
    <col min="13582" max="13582" width="1.85546875" style="697" customWidth="1"/>
    <col min="13583" max="13583" width="1.42578125" style="697" customWidth="1"/>
    <col min="13584" max="13824" width="9.28515625" style="697"/>
    <col min="13825" max="13825" width="1.42578125" style="697" customWidth="1"/>
    <col min="13826" max="13826" width="3.42578125" style="697" customWidth="1"/>
    <col min="13827" max="13827" width="5.42578125" style="697" customWidth="1"/>
    <col min="13828" max="13828" width="7.42578125" style="697" customWidth="1"/>
    <col min="13829" max="13832" width="9.28515625" style="697"/>
    <col min="13833" max="13833" width="11.42578125" style="697" customWidth="1"/>
    <col min="13834" max="13834" width="11.85546875" style="697" customWidth="1"/>
    <col min="13835" max="13835" width="25.85546875" style="697" customWidth="1"/>
    <col min="13836" max="13836" width="5.7109375" style="697" customWidth="1"/>
    <col min="13837" max="13837" width="11.42578125" style="697" customWidth="1"/>
    <col min="13838" max="13838" width="1.85546875" style="697" customWidth="1"/>
    <col min="13839" max="13839" width="1.42578125" style="697" customWidth="1"/>
    <col min="13840" max="14080" width="9.28515625" style="697"/>
    <col min="14081" max="14081" width="1.42578125" style="697" customWidth="1"/>
    <col min="14082" max="14082" width="3.42578125" style="697" customWidth="1"/>
    <col min="14083" max="14083" width="5.42578125" style="697" customWidth="1"/>
    <col min="14084" max="14084" width="7.42578125" style="697" customWidth="1"/>
    <col min="14085" max="14088" width="9.28515625" style="697"/>
    <col min="14089" max="14089" width="11.42578125" style="697" customWidth="1"/>
    <col min="14090" max="14090" width="11.85546875" style="697" customWidth="1"/>
    <col min="14091" max="14091" width="25.85546875" style="697" customWidth="1"/>
    <col min="14092" max="14092" width="5.7109375" style="697" customWidth="1"/>
    <col min="14093" max="14093" width="11.42578125" style="697" customWidth="1"/>
    <col min="14094" max="14094" width="1.85546875" style="697" customWidth="1"/>
    <col min="14095" max="14095" width="1.42578125" style="697" customWidth="1"/>
    <col min="14096" max="14336" width="9.28515625" style="697"/>
    <col min="14337" max="14337" width="1.42578125" style="697" customWidth="1"/>
    <col min="14338" max="14338" width="3.42578125" style="697" customWidth="1"/>
    <col min="14339" max="14339" width="5.42578125" style="697" customWidth="1"/>
    <col min="14340" max="14340" width="7.42578125" style="697" customWidth="1"/>
    <col min="14341" max="14344" width="9.28515625" style="697"/>
    <col min="14345" max="14345" width="11.42578125" style="697" customWidth="1"/>
    <col min="14346" max="14346" width="11.85546875" style="697" customWidth="1"/>
    <col min="14347" max="14347" width="25.85546875" style="697" customWidth="1"/>
    <col min="14348" max="14348" width="5.7109375" style="697" customWidth="1"/>
    <col min="14349" max="14349" width="11.42578125" style="697" customWidth="1"/>
    <col min="14350" max="14350" width="1.85546875" style="697" customWidth="1"/>
    <col min="14351" max="14351" width="1.42578125" style="697" customWidth="1"/>
    <col min="14352" max="14592" width="9.28515625" style="697"/>
    <col min="14593" max="14593" width="1.42578125" style="697" customWidth="1"/>
    <col min="14594" max="14594" width="3.42578125" style="697" customWidth="1"/>
    <col min="14595" max="14595" width="5.42578125" style="697" customWidth="1"/>
    <col min="14596" max="14596" width="7.42578125" style="697" customWidth="1"/>
    <col min="14597" max="14600" width="9.28515625" style="697"/>
    <col min="14601" max="14601" width="11.42578125" style="697" customWidth="1"/>
    <col min="14602" max="14602" width="11.85546875" style="697" customWidth="1"/>
    <col min="14603" max="14603" width="25.85546875" style="697" customWidth="1"/>
    <col min="14604" max="14604" width="5.7109375" style="697" customWidth="1"/>
    <col min="14605" max="14605" width="11.42578125" style="697" customWidth="1"/>
    <col min="14606" max="14606" width="1.85546875" style="697" customWidth="1"/>
    <col min="14607" max="14607" width="1.42578125" style="697" customWidth="1"/>
    <col min="14608" max="14848" width="9.28515625" style="697"/>
    <col min="14849" max="14849" width="1.42578125" style="697" customWidth="1"/>
    <col min="14850" max="14850" width="3.42578125" style="697" customWidth="1"/>
    <col min="14851" max="14851" width="5.42578125" style="697" customWidth="1"/>
    <col min="14852" max="14852" width="7.42578125" style="697" customWidth="1"/>
    <col min="14853" max="14856" width="9.28515625" style="697"/>
    <col min="14857" max="14857" width="11.42578125" style="697" customWidth="1"/>
    <col min="14858" max="14858" width="11.85546875" style="697" customWidth="1"/>
    <col min="14859" max="14859" width="25.85546875" style="697" customWidth="1"/>
    <col min="14860" max="14860" width="5.7109375" style="697" customWidth="1"/>
    <col min="14861" max="14861" width="11.42578125" style="697" customWidth="1"/>
    <col min="14862" max="14862" width="1.85546875" style="697" customWidth="1"/>
    <col min="14863" max="14863" width="1.42578125" style="697" customWidth="1"/>
    <col min="14864" max="15104" width="9.28515625" style="697"/>
    <col min="15105" max="15105" width="1.42578125" style="697" customWidth="1"/>
    <col min="15106" max="15106" width="3.42578125" style="697" customWidth="1"/>
    <col min="15107" max="15107" width="5.42578125" style="697" customWidth="1"/>
    <col min="15108" max="15108" width="7.42578125" style="697" customWidth="1"/>
    <col min="15109" max="15112" width="9.28515625" style="697"/>
    <col min="15113" max="15113" width="11.42578125" style="697" customWidth="1"/>
    <col min="15114" max="15114" width="11.85546875" style="697" customWidth="1"/>
    <col min="15115" max="15115" width="25.85546875" style="697" customWidth="1"/>
    <col min="15116" max="15116" width="5.7109375" style="697" customWidth="1"/>
    <col min="15117" max="15117" width="11.42578125" style="697" customWidth="1"/>
    <col min="15118" max="15118" width="1.85546875" style="697" customWidth="1"/>
    <col min="15119" max="15119" width="1.42578125" style="697" customWidth="1"/>
    <col min="15120" max="15360" width="9.28515625" style="697"/>
    <col min="15361" max="15361" width="1.42578125" style="697" customWidth="1"/>
    <col min="15362" max="15362" width="3.42578125" style="697" customWidth="1"/>
    <col min="15363" max="15363" width="5.42578125" style="697" customWidth="1"/>
    <col min="15364" max="15364" width="7.42578125" style="697" customWidth="1"/>
    <col min="15365" max="15368" width="9.28515625" style="697"/>
    <col min="15369" max="15369" width="11.42578125" style="697" customWidth="1"/>
    <col min="15370" max="15370" width="11.85546875" style="697" customWidth="1"/>
    <col min="15371" max="15371" width="25.85546875" style="697" customWidth="1"/>
    <col min="15372" max="15372" width="5.7109375" style="697" customWidth="1"/>
    <col min="15373" max="15373" width="11.42578125" style="697" customWidth="1"/>
    <col min="15374" max="15374" width="1.85546875" style="697" customWidth="1"/>
    <col min="15375" max="15375" width="1.42578125" style="697" customWidth="1"/>
    <col min="15376" max="15616" width="9.28515625" style="697"/>
    <col min="15617" max="15617" width="1.42578125" style="697" customWidth="1"/>
    <col min="15618" max="15618" width="3.42578125" style="697" customWidth="1"/>
    <col min="15619" max="15619" width="5.42578125" style="697" customWidth="1"/>
    <col min="15620" max="15620" width="7.42578125" style="697" customWidth="1"/>
    <col min="15621" max="15624" width="9.28515625" style="697"/>
    <col min="15625" max="15625" width="11.42578125" style="697" customWidth="1"/>
    <col min="15626" max="15626" width="11.85546875" style="697" customWidth="1"/>
    <col min="15627" max="15627" width="25.85546875" style="697" customWidth="1"/>
    <col min="15628" max="15628" width="5.7109375" style="697" customWidth="1"/>
    <col min="15629" max="15629" width="11.42578125" style="697" customWidth="1"/>
    <col min="15630" max="15630" width="1.85546875" style="697" customWidth="1"/>
    <col min="15631" max="15631" width="1.42578125" style="697" customWidth="1"/>
    <col min="15632" max="15872" width="9.28515625" style="697"/>
    <col min="15873" max="15873" width="1.42578125" style="697" customWidth="1"/>
    <col min="15874" max="15874" width="3.42578125" style="697" customWidth="1"/>
    <col min="15875" max="15875" width="5.42578125" style="697" customWidth="1"/>
    <col min="15876" max="15876" width="7.42578125" style="697" customWidth="1"/>
    <col min="15877" max="15880" width="9.28515625" style="697"/>
    <col min="15881" max="15881" width="11.42578125" style="697" customWidth="1"/>
    <col min="15882" max="15882" width="11.85546875" style="697" customWidth="1"/>
    <col min="15883" max="15883" width="25.85546875" style="697" customWidth="1"/>
    <col min="15884" max="15884" width="5.7109375" style="697" customWidth="1"/>
    <col min="15885" max="15885" width="11.42578125" style="697" customWidth="1"/>
    <col min="15886" max="15886" width="1.85546875" style="697" customWidth="1"/>
    <col min="15887" max="15887" width="1.42578125" style="697" customWidth="1"/>
    <col min="15888" max="16128" width="9.28515625" style="697"/>
    <col min="16129" max="16129" width="1.42578125" style="697" customWidth="1"/>
    <col min="16130" max="16130" width="3.42578125" style="697" customWidth="1"/>
    <col min="16131" max="16131" width="5.42578125" style="697" customWidth="1"/>
    <col min="16132" max="16132" width="7.42578125" style="697" customWidth="1"/>
    <col min="16133" max="16136" width="9.28515625" style="697"/>
    <col min="16137" max="16137" width="11.42578125" style="697" customWidth="1"/>
    <col min="16138" max="16138" width="11.85546875" style="697" customWidth="1"/>
    <col min="16139" max="16139" width="25.85546875" style="697" customWidth="1"/>
    <col min="16140" max="16140" width="5.7109375" style="697" customWidth="1"/>
    <col min="16141" max="16141" width="11.42578125" style="697" customWidth="1"/>
    <col min="16142" max="16142" width="1.85546875" style="697" customWidth="1"/>
    <col min="16143" max="16143" width="1.42578125" style="697" customWidth="1"/>
    <col min="16144" max="16384" width="9.28515625" style="697"/>
  </cols>
  <sheetData>
    <row r="1" spans="1:15">
      <c r="A1" s="687" t="s">
        <v>77</v>
      </c>
      <c r="B1" s="688"/>
      <c r="C1" s="688"/>
      <c r="D1" s="688"/>
      <c r="E1" s="688"/>
      <c r="F1" s="688"/>
      <c r="G1" s="688"/>
      <c r="H1" s="688"/>
      <c r="I1" s="688"/>
      <c r="J1" s="689"/>
      <c r="K1" s="688"/>
      <c r="L1" s="688"/>
      <c r="M1" s="688"/>
      <c r="N1" s="688"/>
      <c r="O1" s="688"/>
    </row>
    <row r="2" spans="1:15">
      <c r="A2" s="687" t="s">
        <v>78</v>
      </c>
      <c r="B2" s="688"/>
      <c r="C2" s="688"/>
      <c r="D2" s="688"/>
      <c r="E2" s="688"/>
      <c r="F2" s="688"/>
      <c r="G2" s="688"/>
      <c r="H2" s="688"/>
      <c r="I2" s="688"/>
      <c r="J2" s="689"/>
      <c r="K2" s="688"/>
      <c r="L2" s="688"/>
      <c r="M2" s="688"/>
      <c r="N2" s="688"/>
      <c r="O2" s="688"/>
    </row>
    <row r="3" spans="1:15">
      <c r="A3" s="687" t="s">
        <v>79</v>
      </c>
      <c r="B3" s="688"/>
      <c r="C3" s="688"/>
      <c r="D3" s="688"/>
      <c r="E3" s="688"/>
      <c r="F3" s="688"/>
      <c r="G3" s="688"/>
      <c r="H3" s="688"/>
      <c r="I3" s="688"/>
      <c r="J3" s="689"/>
      <c r="K3" s="688"/>
      <c r="L3" s="688"/>
      <c r="M3" s="688"/>
      <c r="N3" s="688"/>
      <c r="O3" s="688"/>
    </row>
    <row r="4" spans="1:15">
      <c r="A4" s="687" t="s">
        <v>80</v>
      </c>
      <c r="B4" s="688"/>
      <c r="C4" s="688"/>
      <c r="D4" s="688"/>
      <c r="E4" s="688"/>
      <c r="F4" s="688"/>
      <c r="G4" s="688"/>
      <c r="H4" s="688"/>
      <c r="I4" s="688"/>
      <c r="J4" s="689"/>
      <c r="K4" s="688"/>
      <c r="L4" s="688"/>
      <c r="M4" s="688"/>
      <c r="N4" s="688"/>
      <c r="O4" s="688"/>
    </row>
    <row r="5" spans="1:15">
      <c r="A5" s="687" t="s">
        <v>81</v>
      </c>
      <c r="B5" s="688"/>
      <c r="C5" s="688"/>
      <c r="D5" s="688"/>
      <c r="E5" s="688"/>
      <c r="F5" s="688"/>
      <c r="G5" s="688"/>
      <c r="H5" s="688"/>
      <c r="I5" s="688"/>
      <c r="J5" s="689"/>
      <c r="K5" s="688"/>
      <c r="L5" s="688"/>
      <c r="M5" s="688"/>
      <c r="N5" s="688"/>
      <c r="O5" s="688"/>
    </row>
    <row r="6" spans="1:15" ht="3.9" customHeight="1">
      <c r="A6" s="690"/>
      <c r="B6" s="691"/>
      <c r="C6" s="691"/>
      <c r="D6" s="691"/>
      <c r="E6" s="691"/>
      <c r="F6" s="691"/>
      <c r="G6" s="691"/>
      <c r="H6" s="691"/>
      <c r="I6" s="691"/>
      <c r="J6" s="691"/>
      <c r="K6" s="691"/>
      <c r="L6" s="691"/>
      <c r="M6" s="691"/>
      <c r="N6" s="691"/>
      <c r="O6" s="692"/>
    </row>
    <row r="7" spans="1:15" ht="23.25" customHeight="1">
      <c r="A7" s="693"/>
      <c r="B7" s="32"/>
      <c r="C7" s="694" t="s">
        <v>82</v>
      </c>
      <c r="D7" s="694"/>
      <c r="E7" s="695"/>
      <c r="F7" s="695" t="str">
        <f>+Index!D10</f>
        <v>C0</v>
      </c>
      <c r="G7" s="695"/>
      <c r="H7" s="726"/>
      <c r="I7" s="694" t="s">
        <v>83</v>
      </c>
      <c r="J7" s="731"/>
      <c r="K7" s="695"/>
      <c r="L7" s="695"/>
      <c r="M7" s="695"/>
      <c r="N7" s="696"/>
      <c r="O7" s="693"/>
    </row>
    <row r="8" spans="1:15">
      <c r="A8" s="693"/>
      <c r="B8" s="32"/>
      <c r="C8" s="696"/>
      <c r="O8" s="693"/>
    </row>
    <row r="9" spans="1:15">
      <c r="A9" s="693"/>
      <c r="B9" s="32"/>
      <c r="C9" s="696" t="s">
        <v>84</v>
      </c>
      <c r="E9" s="698"/>
      <c r="F9" s="698" t="str">
        <f>+Index!D9</f>
        <v>Alamance Community College</v>
      </c>
      <c r="G9" s="698"/>
      <c r="H9" s="698"/>
      <c r="I9" s="698"/>
      <c r="J9" s="698"/>
      <c r="K9" s="698"/>
      <c r="L9" s="698"/>
      <c r="M9" s="698"/>
      <c r="N9" s="696"/>
      <c r="O9" s="693"/>
    </row>
    <row r="10" spans="1:15">
      <c r="A10" s="693"/>
      <c r="B10" s="32"/>
      <c r="C10" s="696"/>
      <c r="O10" s="693"/>
    </row>
    <row r="11" spans="1:15" ht="14.4">
      <c r="A11" s="693"/>
      <c r="B11" s="32"/>
      <c r="C11" s="696" t="s">
        <v>85</v>
      </c>
      <c r="E11" s="550">
        <f>+Index!D11</f>
        <v>0</v>
      </c>
      <c r="F11" s="698"/>
      <c r="G11" s="698"/>
      <c r="H11" s="698"/>
      <c r="I11" s="696" t="s">
        <v>86</v>
      </c>
      <c r="J11" s="550">
        <f>+Index!D12</f>
        <v>0</v>
      </c>
      <c r="K11" s="698"/>
      <c r="L11" s="698"/>
      <c r="M11" s="698"/>
      <c r="N11" s="696"/>
      <c r="O11" s="693"/>
    </row>
    <row r="12" spans="1:15" ht="9" customHeight="1">
      <c r="A12" s="693"/>
      <c r="B12" s="32"/>
      <c r="C12" s="696"/>
      <c r="E12" s="696"/>
      <c r="F12" s="696"/>
      <c r="G12" s="696"/>
      <c r="H12" s="696"/>
      <c r="I12" s="696"/>
      <c r="J12" s="696"/>
      <c r="K12" s="696"/>
      <c r="L12" s="696"/>
      <c r="M12" s="696"/>
      <c r="N12" s="696"/>
      <c r="O12" s="693"/>
    </row>
    <row r="13" spans="1:15" ht="15" customHeight="1">
      <c r="A13" s="693"/>
      <c r="B13" s="32"/>
      <c r="C13" s="699" t="s">
        <v>87</v>
      </c>
      <c r="D13" s="699"/>
      <c r="E13" s="699"/>
      <c r="F13" s="732"/>
      <c r="G13" s="699"/>
      <c r="I13" s="699" t="s">
        <v>88</v>
      </c>
      <c r="J13" s="699"/>
      <c r="K13" s="732"/>
      <c r="L13" s="698"/>
      <c r="M13" s="698"/>
      <c r="N13" s="696"/>
      <c r="O13" s="693"/>
    </row>
    <row r="14" spans="1:15">
      <c r="A14" s="693"/>
      <c r="B14" s="700"/>
      <c r="C14" s="696"/>
      <c r="O14" s="693"/>
    </row>
    <row r="15" spans="1:15" ht="0.9" customHeight="1">
      <c r="A15" s="693"/>
      <c r="O15" s="693"/>
    </row>
    <row r="16" spans="1:15" ht="3.9" customHeight="1">
      <c r="A16" s="701"/>
      <c r="B16" s="691"/>
      <c r="C16" s="691"/>
      <c r="D16" s="691"/>
      <c r="E16" s="691"/>
      <c r="F16" s="691"/>
      <c r="G16" s="691"/>
      <c r="H16" s="691"/>
      <c r="I16" s="691"/>
      <c r="J16" s="691"/>
      <c r="K16" s="691"/>
      <c r="L16" s="691"/>
      <c r="M16" s="691"/>
      <c r="N16" s="691"/>
      <c r="O16" s="702"/>
    </row>
    <row r="17" spans="1:15" ht="10.5" customHeight="1">
      <c r="A17" s="693"/>
      <c r="B17" s="703"/>
      <c r="C17" s="694"/>
      <c r="D17" s="694"/>
      <c r="E17" s="694"/>
      <c r="F17" s="694"/>
      <c r="G17" s="694"/>
      <c r="H17" s="694"/>
      <c r="I17" s="694"/>
      <c r="J17" s="694"/>
      <c r="K17" s="694"/>
      <c r="L17" s="694"/>
      <c r="M17" s="694"/>
      <c r="N17" s="694"/>
      <c r="O17" s="693"/>
    </row>
    <row r="18" spans="1:15" ht="13.5" customHeight="1">
      <c r="A18" s="693"/>
      <c r="B18" s="696"/>
      <c r="C18" s="696" t="s">
        <v>89</v>
      </c>
      <c r="D18" s="696"/>
      <c r="E18" s="696"/>
      <c r="F18" s="696"/>
      <c r="G18" s="696"/>
      <c r="H18" s="696"/>
      <c r="I18" s="696"/>
      <c r="J18" s="696"/>
      <c r="K18" s="696"/>
      <c r="L18" s="696"/>
      <c r="M18" s="696" t="str">
        <f>LOOKUP(F7,'College Filenames'!B2:F59,'College Filenames'!E2:E59)</f>
        <v>CC1</v>
      </c>
      <c r="N18" s="696"/>
      <c r="O18" s="693"/>
    </row>
    <row r="19" spans="1:15" ht="13.5" customHeight="1">
      <c r="A19" s="693"/>
      <c r="B19" s="696"/>
      <c r="C19" s="696"/>
      <c r="D19" s="696"/>
      <c r="E19" s="696"/>
      <c r="F19" s="696"/>
      <c r="G19" s="696"/>
      <c r="H19" s="696"/>
      <c r="I19" s="696"/>
      <c r="J19" s="696"/>
      <c r="K19" s="696"/>
      <c r="L19" s="696"/>
      <c r="M19" s="696"/>
      <c r="N19" s="696"/>
      <c r="O19" s="693"/>
    </row>
    <row r="20" spans="1:15" ht="13.5" customHeight="1">
      <c r="A20" s="693"/>
      <c r="B20" s="696"/>
      <c r="C20" s="763" t="s">
        <v>90</v>
      </c>
      <c r="D20" s="696"/>
      <c r="E20" s="696"/>
      <c r="F20" s="696"/>
      <c r="G20" s="696"/>
      <c r="H20" s="696"/>
      <c r="I20" s="696"/>
      <c r="J20" s="696"/>
      <c r="K20" s="696"/>
      <c r="L20" s="696"/>
      <c r="M20" s="698"/>
      <c r="N20" s="696"/>
      <c r="O20" s="693"/>
    </row>
    <row r="21" spans="1:15" ht="13.5" customHeight="1">
      <c r="A21" s="693"/>
      <c r="B21" s="696"/>
      <c r="C21" s="763" t="s">
        <v>91</v>
      </c>
      <c r="D21" s="696"/>
      <c r="E21" s="696"/>
      <c r="F21" s="696"/>
      <c r="G21" s="696"/>
      <c r="H21" s="696"/>
      <c r="I21" s="696"/>
      <c r="J21" s="696"/>
      <c r="K21" s="696"/>
      <c r="L21" s="696"/>
      <c r="M21" s="696"/>
      <c r="N21" s="696"/>
      <c r="O21" s="693"/>
    </row>
    <row r="22" spans="1:15" ht="13.5" customHeight="1">
      <c r="A22" s="693"/>
      <c r="B22" s="696"/>
      <c r="C22" s="763" t="s">
        <v>92</v>
      </c>
      <c r="D22" s="696"/>
      <c r="E22" s="696"/>
      <c r="F22" s="696"/>
      <c r="G22" s="696"/>
      <c r="H22" s="696"/>
      <c r="I22" s="696"/>
      <c r="J22" s="696"/>
      <c r="K22" s="696"/>
      <c r="L22" s="696"/>
      <c r="M22" s="698"/>
      <c r="N22" s="696"/>
      <c r="O22" s="693"/>
    </row>
    <row r="23" spans="1:15" ht="13.5" customHeight="1">
      <c r="A23" s="693"/>
      <c r="B23" s="696"/>
      <c r="C23" s="773" t="s">
        <v>93</v>
      </c>
      <c r="D23" s="696"/>
      <c r="E23" s="696"/>
      <c r="F23" s="696"/>
      <c r="G23" s="696"/>
      <c r="H23" s="696"/>
      <c r="I23" s="696"/>
      <c r="J23" s="696"/>
      <c r="K23" s="696"/>
      <c r="L23" s="696"/>
      <c r="M23" s="696"/>
      <c r="N23" s="696"/>
      <c r="O23" s="693"/>
    </row>
    <row r="24" spans="1:15" ht="13.5" customHeight="1">
      <c r="A24" s="693"/>
      <c r="B24" s="696"/>
      <c r="C24" s="708" t="s">
        <v>94</v>
      </c>
      <c r="D24" s="727"/>
      <c r="E24" s="727"/>
      <c r="F24" s="727"/>
      <c r="G24" s="727"/>
      <c r="H24" s="727"/>
      <c r="I24" s="727"/>
      <c r="J24" s="727"/>
      <c r="K24" s="727"/>
      <c r="L24" s="727"/>
      <c r="M24" s="728" t="str">
        <f>IF('ExhA&amp;B'!D41+'ExhA&amp;B'!D48='ExhA&amp;B'!D66+'ExhA&amp;B'!D76+'ExhA&amp;B'!D91,"OK","ERROR")</f>
        <v>ERROR</v>
      </c>
      <c r="N24" s="704"/>
      <c r="O24" s="693"/>
    </row>
    <row r="25" spans="1:15" ht="13.5" customHeight="1">
      <c r="A25" s="693"/>
      <c r="B25" s="696"/>
      <c r="C25" s="708" t="s">
        <v>95</v>
      </c>
      <c r="D25" s="727"/>
      <c r="E25" s="727"/>
      <c r="F25" s="727"/>
      <c r="G25" s="727"/>
      <c r="H25" s="727"/>
      <c r="I25" s="727"/>
      <c r="J25" s="727"/>
      <c r="K25" s="727"/>
      <c r="L25" s="727"/>
      <c r="M25" s="728" t="str">
        <f>IF('ExhA&amp;B'!H41+'ExhA&amp;B'!H48='ExhA&amp;B'!H66+'ExhA&amp;B'!H76+'ExhA&amp;B'!H91,"OK","ERROR")</f>
        <v>OK</v>
      </c>
      <c r="N25" s="704"/>
      <c r="O25" s="693"/>
    </row>
    <row r="26" spans="1:15" ht="13.5" customHeight="1">
      <c r="A26" s="693"/>
      <c r="B26" s="696"/>
      <c r="C26" s="708" t="s">
        <v>96</v>
      </c>
      <c r="D26" s="727"/>
      <c r="E26" s="727"/>
      <c r="F26" s="727"/>
      <c r="G26" s="727"/>
      <c r="H26" s="727"/>
      <c r="I26" s="727"/>
      <c r="J26" s="727"/>
      <c r="K26" s="727"/>
      <c r="L26" s="727"/>
      <c r="M26" s="728" t="str">
        <f>IF('ExhA&amp;B'!D91='ExhA&amp;B'!D142,"OK","ERROR")</f>
        <v>ERROR</v>
      </c>
      <c r="N26" s="704"/>
      <c r="O26" s="693"/>
    </row>
    <row r="27" spans="1:15" ht="13.5" customHeight="1">
      <c r="A27" s="693"/>
      <c r="B27" s="696"/>
      <c r="C27" s="708" t="s">
        <v>97</v>
      </c>
      <c r="D27" s="727"/>
      <c r="E27" s="708"/>
      <c r="F27" s="708"/>
      <c r="G27" s="708"/>
      <c r="H27" s="708"/>
      <c r="I27" s="727"/>
      <c r="J27" s="708"/>
      <c r="K27" s="727"/>
      <c r="L27" s="727"/>
      <c r="M27" s="728" t="str">
        <f>IF('ExhA&amp;B'!H91='ExhA&amp;B'!H142,"OK","ERROR")</f>
        <v>OK</v>
      </c>
      <c r="N27" s="704"/>
      <c r="O27" s="693"/>
    </row>
    <row r="28" spans="1:15" ht="13.5" customHeight="1">
      <c r="A28" s="693"/>
      <c r="B28" s="696"/>
      <c r="C28" s="708" t="s">
        <v>98</v>
      </c>
      <c r="D28" s="727"/>
      <c r="E28" s="727"/>
      <c r="F28" s="727"/>
      <c r="G28" s="727"/>
      <c r="H28" s="727"/>
      <c r="I28" s="727"/>
      <c r="J28" s="727"/>
      <c r="K28" s="727"/>
      <c r="L28" s="727"/>
      <c r="M28" s="728" t="str">
        <f>IF('ExhA&amp;B'!D38='Capital Assets'!Q24,"OK","ERROR")</f>
        <v>OK</v>
      </c>
      <c r="N28" s="704"/>
      <c r="O28" s="693"/>
    </row>
    <row r="29" spans="1:15" ht="13.5" customHeight="1">
      <c r="A29" s="693"/>
      <c r="B29" s="696"/>
      <c r="C29" s="708" t="s">
        <v>99</v>
      </c>
      <c r="D29" s="727"/>
      <c r="E29" s="727"/>
      <c r="F29" s="727"/>
      <c r="G29" s="727"/>
      <c r="H29" s="727"/>
      <c r="I29" s="727"/>
      <c r="J29" s="727"/>
      <c r="K29" s="727"/>
      <c r="L29" s="727"/>
      <c r="M29" s="728" t="str">
        <f>IF('ExhA&amp;B'!D39='Capital Assets'!Q57,"OK","ERROR")</f>
        <v>OK</v>
      </c>
      <c r="N29" s="704"/>
      <c r="O29" s="693"/>
    </row>
    <row r="30" spans="1:15" ht="13.5" customHeight="1">
      <c r="A30" s="693"/>
      <c r="B30" s="696"/>
      <c r="C30" s="708" t="s">
        <v>100</v>
      </c>
      <c r="D30" s="727"/>
      <c r="E30" s="727"/>
      <c r="F30" s="727"/>
      <c r="G30" s="727"/>
      <c r="H30" s="727"/>
      <c r="I30" s="727"/>
      <c r="J30" s="727"/>
      <c r="K30" s="727"/>
      <c r="L30" s="727"/>
      <c r="M30" s="728" t="str">
        <f>IF('ExhA&amp;B'!D64+'ExhA&amp;B'!D58='Long-Term Liabilities'!O26,"OK","ERROR")</f>
        <v>OK</v>
      </c>
      <c r="N30" s="704"/>
      <c r="O30" s="693"/>
    </row>
    <row r="31" spans="1:15" ht="13.5" customHeight="1">
      <c r="A31" s="693"/>
      <c r="B31" s="696"/>
      <c r="C31" s="708" t="s">
        <v>101</v>
      </c>
      <c r="D31" s="727"/>
      <c r="E31" s="727"/>
      <c r="F31" s="727"/>
      <c r="G31" s="727"/>
      <c r="H31" s="727"/>
      <c r="I31" s="727"/>
      <c r="J31" s="727"/>
      <c r="K31" s="727"/>
      <c r="L31" s="727"/>
      <c r="M31" s="728" t="str">
        <f>IF('ExhA&amp;B'!D58='Long-Term Liabilities'!Q26,"OK","ERROR")</f>
        <v>OK</v>
      </c>
      <c r="N31" s="704"/>
      <c r="O31" s="693"/>
    </row>
    <row r="32" spans="1:15" ht="13.5" customHeight="1">
      <c r="A32" s="693"/>
      <c r="B32" s="696"/>
      <c r="C32" s="708" t="s">
        <v>102</v>
      </c>
      <c r="D32" s="727"/>
      <c r="E32" s="727"/>
      <c r="F32" s="727"/>
      <c r="G32" s="727"/>
      <c r="H32" s="727"/>
      <c r="I32" s="727"/>
      <c r="J32" s="727"/>
      <c r="K32" s="727"/>
      <c r="L32" s="727"/>
      <c r="M32" s="728" t="str">
        <f>IF('Analytical Review'!H39+'Analytical Review'!H46='Analytical Review'!H63+'Analytical Review'!H73+'Analytical Review'!H88,"OK","ERROR")</f>
        <v>ERROR</v>
      </c>
      <c r="N32" s="704"/>
      <c r="O32" s="693"/>
    </row>
    <row r="33" spans="1:15" ht="13.5" customHeight="1">
      <c r="A33" s="693"/>
      <c r="B33" s="696"/>
      <c r="C33" s="708" t="s">
        <v>103</v>
      </c>
      <c r="D33" s="727"/>
      <c r="E33" s="727"/>
      <c r="F33" s="727"/>
      <c r="G33" s="727"/>
      <c r="H33" s="727"/>
      <c r="I33" s="727"/>
      <c r="J33" s="727"/>
      <c r="K33" s="727"/>
      <c r="L33" s="727"/>
      <c r="M33" s="728" t="str">
        <f>IF('Analytical Review'!J39+'Analytical Review'!J46='Analytical Review'!J63+'Analytical Review'!J73+'Analytical Review'!J88,"OK","ERROR")</f>
        <v>OK</v>
      </c>
      <c r="N33" s="704"/>
      <c r="O33" s="693"/>
    </row>
    <row r="34" spans="1:15" ht="13.5" customHeight="1">
      <c r="A34" s="693"/>
      <c r="B34" s="696"/>
      <c r="C34" s="708" t="s">
        <v>104</v>
      </c>
      <c r="D34" s="727"/>
      <c r="E34" s="727"/>
      <c r="F34" s="727"/>
      <c r="G34" s="727"/>
      <c r="H34" s="727"/>
      <c r="I34" s="727"/>
      <c r="J34" s="727"/>
      <c r="K34" s="727"/>
      <c r="L34" s="727"/>
      <c r="M34" s="728" t="str">
        <f>IF('Analytical Review'!H88='Analytical Review'!H139,"OK","ERROR")</f>
        <v>ERROR</v>
      </c>
      <c r="N34" s="704"/>
      <c r="O34" s="693"/>
    </row>
    <row r="35" spans="1:15" ht="13.5" customHeight="1">
      <c r="A35" s="693"/>
      <c r="B35" s="696"/>
      <c r="C35" s="708" t="s">
        <v>105</v>
      </c>
      <c r="D35" s="727"/>
      <c r="E35" s="727"/>
      <c r="F35" s="727"/>
      <c r="G35" s="727"/>
      <c r="H35" s="727"/>
      <c r="I35" s="727"/>
      <c r="J35" s="727"/>
      <c r="K35" s="727"/>
      <c r="L35" s="727"/>
      <c r="M35" s="728" t="str">
        <f>IF('Analytical Review'!J88='Analytical Review'!J139,"OK","ERROR")</f>
        <v>OK</v>
      </c>
      <c r="N35" s="704"/>
      <c r="O35" s="693"/>
    </row>
    <row r="36" spans="1:15" ht="13.5" customHeight="1">
      <c r="A36" s="693"/>
      <c r="B36" s="696"/>
      <c r="C36" s="708" t="s">
        <v>106</v>
      </c>
      <c r="D36" s="727"/>
      <c r="E36" s="727"/>
      <c r="F36" s="727"/>
      <c r="G36" s="727"/>
      <c r="H36" s="727"/>
      <c r="I36" s="727"/>
      <c r="J36" s="727"/>
      <c r="K36" s="727"/>
      <c r="M36" s="728" t="str">
        <f>IF('101'!E16="","ERROR","OK")</f>
        <v>OK</v>
      </c>
      <c r="N36" s="704"/>
      <c r="O36" s="693"/>
    </row>
    <row r="37" spans="1:15" ht="13.5" customHeight="1">
      <c r="A37" s="693"/>
      <c r="B37" s="696"/>
      <c r="C37" s="708" t="s">
        <v>107</v>
      </c>
      <c r="D37" s="727"/>
      <c r="E37" s="727"/>
      <c r="F37" s="727"/>
      <c r="G37" s="727"/>
      <c r="H37" s="727"/>
      <c r="I37" s="727"/>
      <c r="J37" s="727"/>
      <c r="K37" s="727"/>
      <c r="M37" s="728" t="str">
        <f>IF('101'!I25="",IF('101'!K25="","ERROR","OK"),IF('101'!K25="","OK","ERROR"))</f>
        <v>ERROR</v>
      </c>
      <c r="N37" s="704"/>
      <c r="O37" s="693"/>
    </row>
    <row r="38" spans="1:15" ht="13.5" customHeight="1">
      <c r="A38" s="693"/>
      <c r="B38" s="696"/>
      <c r="C38" s="708" t="s">
        <v>108</v>
      </c>
      <c r="D38" s="727"/>
      <c r="E38" s="727"/>
      <c r="F38" s="727"/>
      <c r="G38" s="727"/>
      <c r="H38" s="727"/>
      <c r="I38" s="727"/>
      <c r="J38" s="727"/>
      <c r="K38" s="727"/>
      <c r="M38" s="728" t="str">
        <f>IF('101'!K25="",IF('101'!I25="","ERROR",IF('101'!F26="","OK","ERROR")),IF('101'!F26="","ERROR","OK"))</f>
        <v>ERROR</v>
      </c>
      <c r="N38" s="704"/>
      <c r="O38" s="693"/>
    </row>
    <row r="39" spans="1:15" ht="13.5" customHeight="1">
      <c r="A39" s="693"/>
      <c r="B39" s="696"/>
      <c r="C39" s="708" t="s">
        <v>109</v>
      </c>
      <c r="D39" s="727"/>
      <c r="E39" s="727"/>
      <c r="F39" s="727"/>
      <c r="G39" s="727"/>
      <c r="H39" s="727"/>
      <c r="I39" s="727"/>
      <c r="J39" s="727"/>
      <c r="K39" s="727"/>
      <c r="M39" s="728" t="str">
        <f>IF('101'!I31="",IF('101'!K31="","ERROR","OK"),IF('101'!K31="","OK","ERROR"))</f>
        <v>ERROR</v>
      </c>
      <c r="N39" s="704"/>
      <c r="O39" s="693"/>
    </row>
    <row r="40" spans="1:15" ht="13.5" customHeight="1">
      <c r="A40" s="693"/>
      <c r="B40" s="696"/>
      <c r="C40" s="708" t="s">
        <v>108</v>
      </c>
      <c r="D40" s="727"/>
      <c r="E40" s="727"/>
      <c r="F40" s="727"/>
      <c r="G40" s="727"/>
      <c r="H40" s="727"/>
      <c r="I40" s="727"/>
      <c r="J40" s="727"/>
      <c r="K40" s="727"/>
      <c r="M40" s="728" t="str">
        <f>IF('101'!K31="",IF('101'!I31="","ERROR",IF('101'!F33="","OK","ERROR")),IF('101'!F33="","ERROR","OK"))</f>
        <v>ERROR</v>
      </c>
      <c r="N40" s="704"/>
      <c r="O40" s="693"/>
    </row>
    <row r="41" spans="1:15" ht="13.5" customHeight="1">
      <c r="A41" s="693"/>
      <c r="B41" s="696"/>
      <c r="C41" s="708" t="s">
        <v>110</v>
      </c>
      <c r="D41" s="727"/>
      <c r="E41" s="727"/>
      <c r="F41" s="727"/>
      <c r="G41" s="727"/>
      <c r="H41" s="727"/>
      <c r="I41" s="727"/>
      <c r="J41" s="727"/>
      <c r="K41" s="727"/>
      <c r="M41" s="728" t="str">
        <f>IF('101'!C38="","ERROR","OK")</f>
        <v>ERROR</v>
      </c>
      <c r="N41" s="704"/>
      <c r="O41" s="693"/>
    </row>
    <row r="42" spans="1:15" ht="13.5" customHeight="1">
      <c r="A42" s="693"/>
      <c r="B42" s="696"/>
      <c r="C42" s="708" t="s">
        <v>111</v>
      </c>
      <c r="D42" s="727"/>
      <c r="E42" s="727"/>
      <c r="F42" s="727"/>
      <c r="G42" s="727"/>
      <c r="H42" s="727"/>
      <c r="I42" s="727"/>
      <c r="J42" s="727"/>
      <c r="K42" s="727"/>
      <c r="M42" s="728" t="str">
        <f>IF('101'!I42="",IF('101'!K42="","ERROR","OK"),IF('101'!K42="","OK","ERROR"))</f>
        <v>ERROR</v>
      </c>
      <c r="N42" s="704"/>
      <c r="O42" s="693"/>
    </row>
    <row r="43" spans="1:15" ht="13.5" customHeight="1">
      <c r="A43" s="693"/>
      <c r="B43" s="696"/>
      <c r="C43" s="708" t="s">
        <v>112</v>
      </c>
      <c r="D43" s="727"/>
      <c r="E43" s="727"/>
      <c r="F43" s="727"/>
      <c r="G43" s="727"/>
      <c r="H43" s="727"/>
      <c r="I43" s="727"/>
      <c r="J43" s="727"/>
      <c r="K43" s="727"/>
      <c r="M43" s="728" t="str">
        <f>IF('101'!I42="",IF('101'!K42="","ERROR",IF('101'!B44="","OK","ERROR")),IF('101'!B44="","ERROR","OK"))</f>
        <v>ERROR</v>
      </c>
      <c r="N43" s="704"/>
      <c r="O43" s="693"/>
    </row>
    <row r="44" spans="1:15" ht="13.5" customHeight="1">
      <c r="A44" s="693"/>
      <c r="B44" s="696"/>
      <c r="C44" s="708" t="s">
        <v>113</v>
      </c>
      <c r="D44" s="727"/>
      <c r="E44" s="727"/>
      <c r="F44" s="727"/>
      <c r="G44" s="727"/>
      <c r="H44" s="727"/>
      <c r="I44" s="727"/>
      <c r="J44" s="727"/>
      <c r="K44" s="727"/>
      <c r="M44" s="728" t="str">
        <f>IF('101'!I49="",IF('101'!K49="","ERROR","OK"),IF('101'!K49="","OK","ERROR"))</f>
        <v>ERROR</v>
      </c>
      <c r="N44" s="704"/>
      <c r="O44" s="693"/>
    </row>
    <row r="45" spans="1:15" ht="13.5" customHeight="1">
      <c r="A45" s="693"/>
      <c r="B45" s="696"/>
      <c r="C45" s="708" t="s">
        <v>112</v>
      </c>
      <c r="D45" s="727"/>
      <c r="E45" s="727"/>
      <c r="F45" s="727"/>
      <c r="G45" s="727"/>
      <c r="H45" s="727"/>
      <c r="I45" s="727"/>
      <c r="J45" s="727"/>
      <c r="K45" s="727"/>
      <c r="M45" s="728" t="str">
        <f>IF('101'!I49="",IF('101'!K49="","ERROR",IF('101'!E50="","OK","ERROR")),IF('101'!E50="","ERROR","OK"))</f>
        <v>ERROR</v>
      </c>
      <c r="N45" s="704"/>
      <c r="O45" s="693"/>
    </row>
    <row r="46" spans="1:15" ht="13.5" customHeight="1">
      <c r="A46" s="693"/>
      <c r="B46" s="696"/>
      <c r="C46" s="708" t="s">
        <v>114</v>
      </c>
      <c r="D46" s="727"/>
      <c r="E46" s="727"/>
      <c r="F46" s="727"/>
      <c r="G46" s="727"/>
      <c r="H46" s="727"/>
      <c r="I46" s="727"/>
      <c r="J46" s="727"/>
      <c r="K46" s="727"/>
      <c r="M46" s="728" t="str">
        <f>IF('101'!I57="",IF('101'!K57="","ERROR","OK"),IF('101'!K57="","OK","ERROR"))</f>
        <v>ERROR</v>
      </c>
      <c r="N46" s="704"/>
      <c r="O46" s="693"/>
    </row>
    <row r="47" spans="1:15" ht="13.5" customHeight="1">
      <c r="A47" s="693"/>
      <c r="B47" s="696"/>
      <c r="C47" s="708" t="s">
        <v>115</v>
      </c>
      <c r="D47" s="727"/>
      <c r="E47" s="727"/>
      <c r="F47" s="727"/>
      <c r="G47" s="727"/>
      <c r="H47" s="727"/>
      <c r="I47" s="727"/>
      <c r="J47" s="727"/>
      <c r="K47" s="727"/>
      <c r="M47" s="728" t="str">
        <f>IF('101'!I57="",IF('101'!K57="","ERROR",IF('101'!G58="","OK","ERROR")),IF('101'!G58="","ERROR","OK"))</f>
        <v>ERROR</v>
      </c>
      <c r="N47" s="704"/>
      <c r="O47" s="693"/>
    </row>
    <row r="48" spans="1:15" ht="13.5" customHeight="1">
      <c r="A48" s="693"/>
      <c r="B48" s="696"/>
      <c r="C48" s="708" t="s">
        <v>116</v>
      </c>
      <c r="D48" s="727"/>
      <c r="E48" s="727"/>
      <c r="F48" s="727"/>
      <c r="G48" s="727"/>
      <c r="H48" s="727"/>
      <c r="I48" s="727"/>
      <c r="J48" s="727"/>
      <c r="K48" s="727"/>
      <c r="M48" s="728" t="str">
        <f>IF('101'!I64="",IF('101'!K64="","ERROR","OK"),IF('101'!K64="","OK","ERROR"))</f>
        <v>ERROR</v>
      </c>
      <c r="N48" s="704"/>
      <c r="O48" s="693"/>
    </row>
    <row r="49" spans="1:15" ht="13.5" customHeight="1">
      <c r="A49" s="693"/>
      <c r="B49" s="696"/>
      <c r="C49" s="708" t="s">
        <v>117</v>
      </c>
      <c r="D49" s="727"/>
      <c r="E49" s="727"/>
      <c r="F49" s="727"/>
      <c r="G49" s="727"/>
      <c r="H49" s="727"/>
      <c r="I49" s="727"/>
      <c r="J49" s="727"/>
      <c r="K49" s="727"/>
      <c r="M49" s="728" t="str">
        <f>IF('101'!I64="",IF('101'!K64="","ERROR",IF('101'!G65="","OK","ERROR")),IF('101'!G65="","ERROR","OK"))</f>
        <v>ERROR</v>
      </c>
      <c r="N49" s="704"/>
      <c r="O49" s="693"/>
    </row>
    <row r="50" spans="1:15" ht="13.5" customHeight="1">
      <c r="A50" s="693"/>
      <c r="B50" s="696"/>
      <c r="C50" s="708" t="s">
        <v>118</v>
      </c>
      <c r="D50" s="727"/>
      <c r="E50" s="727"/>
      <c r="F50" s="727"/>
      <c r="G50" s="727"/>
      <c r="H50" s="727"/>
      <c r="I50" s="727"/>
      <c r="J50" s="727"/>
      <c r="K50" s="727"/>
      <c r="L50" s="727"/>
      <c r="M50" s="728" t="str">
        <f>IF('110'!D22="",IF('110'!D23="","ERROR","OK"),IF('110'!D23="","OK","ERROR"))</f>
        <v>ERROR</v>
      </c>
      <c r="N50" s="704"/>
      <c r="O50" s="693"/>
    </row>
    <row r="51" spans="1:15" ht="13.5" customHeight="1">
      <c r="A51" s="693"/>
      <c r="B51" s="696"/>
      <c r="C51" s="708" t="s">
        <v>119</v>
      </c>
      <c r="D51" s="727"/>
      <c r="E51" s="727"/>
      <c r="F51" s="727"/>
      <c r="G51" s="727"/>
      <c r="H51" s="727"/>
      <c r="I51" s="727"/>
      <c r="J51" s="727"/>
      <c r="K51" s="727"/>
      <c r="L51" s="727"/>
      <c r="M51" s="728" t="str">
        <f>IF('120'!D27="",IF('120'!D28="","ERROR","OK"),IF('120'!D28="","OK","ERROR"))</f>
        <v>ERROR</v>
      </c>
      <c r="N51" s="704"/>
      <c r="O51" s="693"/>
    </row>
    <row r="52" spans="1:15" ht="13.5" customHeight="1">
      <c r="A52" s="693"/>
      <c r="B52" s="696"/>
      <c r="C52" s="708" t="s">
        <v>120</v>
      </c>
      <c r="D52" s="727"/>
      <c r="E52" s="727"/>
      <c r="F52" s="727"/>
      <c r="G52" s="727"/>
      <c r="H52" s="727"/>
      <c r="I52" s="727"/>
      <c r="J52" s="727"/>
      <c r="K52" s="727"/>
      <c r="L52" s="727"/>
      <c r="M52" s="728" t="str">
        <f>IF('120'!D27="",IF(COUNTA('120'!C33:C36)&gt;0,"ERROR","OK"),IF(COUNTA('120'!C33:C36)=1,"OK","ERROR"))</f>
        <v>OK</v>
      </c>
      <c r="N52" s="704"/>
      <c r="O52" s="693"/>
    </row>
    <row r="53" spans="1:15" ht="13.5" customHeight="1">
      <c r="A53" s="693"/>
      <c r="B53" s="696"/>
      <c r="C53" s="708" t="s">
        <v>121</v>
      </c>
      <c r="D53" s="727"/>
      <c r="E53" s="727"/>
      <c r="F53" s="727"/>
      <c r="G53" s="727"/>
      <c r="H53" s="727"/>
      <c r="I53" s="727"/>
      <c r="J53" s="727"/>
      <c r="K53" s="727"/>
      <c r="L53" s="727"/>
      <c r="M53" s="728" t="str">
        <f>IF(ISNUMBER('220'!D16)=TRUE,IF('220'!D16&gt;0.99,"OK","ERROR"),"ERROR")</f>
        <v>ERROR</v>
      </c>
      <c r="N53" s="704"/>
      <c r="O53" s="693"/>
    </row>
    <row r="54" spans="1:15" ht="13.5" customHeight="1">
      <c r="A54" s="693"/>
      <c r="B54" s="696"/>
      <c r="C54" s="708" t="s">
        <v>122</v>
      </c>
      <c r="D54" s="727"/>
      <c r="E54" s="727"/>
      <c r="F54" s="727"/>
      <c r="G54" s="727"/>
      <c r="H54" s="727"/>
      <c r="I54" s="727"/>
      <c r="J54" s="727"/>
      <c r="K54" s="727"/>
      <c r="L54" s="727"/>
      <c r="M54" s="728" t="str">
        <f>IF('301'!P1="NA","OK",IF('301'!L32='Long-Term Liabilities'!O17,"OK","ERROR"))</f>
        <v>ERROR</v>
      </c>
      <c r="N54" s="704"/>
      <c r="O54" s="693"/>
    </row>
    <row r="55" spans="1:15" ht="13.5" customHeight="1">
      <c r="A55" s="693"/>
      <c r="B55" s="696"/>
      <c r="C55" s="708" t="s">
        <v>123</v>
      </c>
      <c r="D55" s="727"/>
      <c r="E55" s="727"/>
      <c r="F55" s="727"/>
      <c r="G55" s="727"/>
      <c r="H55" s="727"/>
      <c r="I55" s="727"/>
      <c r="J55" s="727"/>
      <c r="K55" s="727"/>
      <c r="M55" s="728" t="str">
        <f>IF('301'!P1="NA","OK",IF('301'!G76="",IF('301'!K76="","ERROR","OK"),IF('301'!K76="","OK","ERROR")))</f>
        <v>ERROR</v>
      </c>
      <c r="N55" s="704"/>
      <c r="O55" s="693"/>
    </row>
    <row r="56" spans="1:15" ht="13.5" customHeight="1">
      <c r="A56" s="693"/>
      <c r="B56" s="696"/>
      <c r="C56" s="708" t="s">
        <v>124</v>
      </c>
      <c r="D56" s="727"/>
      <c r="E56" s="727"/>
      <c r="F56" s="727"/>
      <c r="G56" s="727"/>
      <c r="H56" s="727"/>
      <c r="I56" s="727"/>
      <c r="J56" s="727"/>
      <c r="K56" s="727"/>
      <c r="M56" s="728" t="str">
        <f>IF('301'!P1="NA","OK",IF('301'!G76="",IF('301'!K76="","ERROR",IF('301'!G78="","OK","ERROR")),IF('301'!G78="","ERROR","OK")))</f>
        <v>ERROR</v>
      </c>
      <c r="N56" s="704"/>
      <c r="O56" s="693"/>
    </row>
    <row r="57" spans="1:15" ht="13.5" customHeight="1">
      <c r="A57" s="693"/>
      <c r="B57" s="696"/>
      <c r="C57" s="708" t="s">
        <v>125</v>
      </c>
      <c r="D57" s="727"/>
      <c r="E57" s="727"/>
      <c r="F57" s="727"/>
      <c r="G57" s="727"/>
      <c r="H57" s="727"/>
      <c r="I57" s="727"/>
      <c r="J57" s="727"/>
      <c r="K57" s="727"/>
      <c r="M57" s="728" t="str">
        <f>IF('301'!P1="NA","OK",IF('301'!G82="",IF('301'!K82="","ERROR","OK"),IF('301'!K82="","OK","ERROR")))</f>
        <v>ERROR</v>
      </c>
      <c r="N57" s="704"/>
      <c r="O57" s="693"/>
    </row>
    <row r="58" spans="1:15" ht="13.5" customHeight="1">
      <c r="A58" s="693"/>
      <c r="B58" s="696"/>
      <c r="C58" s="708" t="s">
        <v>124</v>
      </c>
      <c r="D58" s="727"/>
      <c r="E58" s="727"/>
      <c r="F58" s="727"/>
      <c r="G58" s="727"/>
      <c r="H58" s="727"/>
      <c r="I58" s="727"/>
      <c r="J58" s="727"/>
      <c r="K58" s="727"/>
      <c r="M58" s="728" t="str">
        <f>IF('301'!P1="NA","OK",IF('301'!G82="",IF('301'!K82="","ERROR",IF('301'!G84="","OK","ERROR")),IF('301'!G84="","ERROR","OK")))</f>
        <v>ERROR</v>
      </c>
      <c r="N58" s="704"/>
      <c r="O58" s="693"/>
    </row>
    <row r="59" spans="1:15" ht="13.5" customHeight="1">
      <c r="A59" s="693"/>
      <c r="B59" s="696"/>
      <c r="C59" s="708" t="s">
        <v>126</v>
      </c>
      <c r="D59" s="727"/>
      <c r="E59" s="727"/>
      <c r="F59" s="727"/>
      <c r="G59" s="727"/>
      <c r="H59" s="727"/>
      <c r="I59" s="727"/>
      <c r="J59" s="727"/>
      <c r="K59" s="727"/>
      <c r="M59" s="728" t="str">
        <f>IF('301'!P1="NA","OK",IF('301'!G92="",IF('301'!K92="","ERROR","OK"),IF('301'!K92="","OK","ERROR")))</f>
        <v>ERROR</v>
      </c>
      <c r="N59" s="704"/>
      <c r="O59" s="693"/>
    </row>
    <row r="60" spans="1:15" ht="13.5" customHeight="1">
      <c r="A60" s="693"/>
      <c r="B60" s="696"/>
      <c r="C60" s="708" t="s">
        <v>127</v>
      </c>
      <c r="D60" s="727"/>
      <c r="E60" s="727"/>
      <c r="F60" s="727"/>
      <c r="G60" s="727"/>
      <c r="H60" s="727"/>
      <c r="I60" s="727"/>
      <c r="J60" s="727"/>
      <c r="K60" s="727"/>
      <c r="M60" s="728" t="str">
        <f>IF('301'!P1="NA","OK",IF('301'!G135="",IF('301'!K135="","ERROR","OK"),IF('301'!L135="","OK","ERROR")))</f>
        <v>ERROR</v>
      </c>
      <c r="N60" s="704"/>
      <c r="O60" s="693"/>
    </row>
    <row r="61" spans="1:15" ht="13.5" customHeight="1">
      <c r="A61" s="693"/>
      <c r="B61" s="696"/>
      <c r="C61" s="708" t="s">
        <v>124</v>
      </c>
      <c r="D61" s="727"/>
      <c r="E61" s="727"/>
      <c r="F61" s="727"/>
      <c r="G61" s="727"/>
      <c r="H61" s="727"/>
      <c r="I61" s="727"/>
      <c r="J61" s="727"/>
      <c r="K61" s="727"/>
      <c r="M61" s="728" t="str">
        <f>IF('301'!P1="NA","OK",IF('301'!G135="",IF('301'!K135="","ERROR",IF('301'!H137="","OK","ERROR")),IF('301'!H137="","ERROR","OK")))</f>
        <v>ERROR</v>
      </c>
      <c r="N61" s="704"/>
      <c r="O61" s="693"/>
    </row>
    <row r="62" spans="1:15" ht="13.5" customHeight="1">
      <c r="A62" s="693"/>
      <c r="B62" s="696"/>
      <c r="C62" s="708" t="s">
        <v>128</v>
      </c>
      <c r="D62" s="727"/>
      <c r="E62" s="727"/>
      <c r="F62" s="727"/>
      <c r="G62" s="727"/>
      <c r="H62" s="727"/>
      <c r="I62" s="727"/>
      <c r="J62" s="727"/>
      <c r="K62" s="727"/>
      <c r="M62" s="728" t="str">
        <f>IF('301'!P1="NA","OK",IF('301'!G141="",IF('301'!K141="","ERROR","OK"),IF('301'!K141="","OK","ERROR")))</f>
        <v>ERROR</v>
      </c>
      <c r="N62" s="704"/>
      <c r="O62" s="693"/>
    </row>
    <row r="63" spans="1:15" ht="13.5" customHeight="1">
      <c r="A63" s="693"/>
      <c r="B63" s="696"/>
      <c r="C63" s="708" t="s">
        <v>124</v>
      </c>
      <c r="D63" s="727"/>
      <c r="E63" s="727"/>
      <c r="F63" s="727"/>
      <c r="G63" s="727"/>
      <c r="H63" s="727"/>
      <c r="I63" s="727"/>
      <c r="J63" s="727"/>
      <c r="K63" s="727"/>
      <c r="M63" s="728" t="str">
        <f>IF('301'!P1="NA","OK",IF('301'!G141="",IF('301'!K141="","ERROR",IF('301'!J143="","OK","ERROR")),IF('301'!J143="","ERROR","OK")))</f>
        <v>ERROR</v>
      </c>
      <c r="N63" s="704"/>
      <c r="O63" s="693"/>
    </row>
    <row r="64" spans="1:15" ht="13.5" customHeight="1">
      <c r="A64" s="693"/>
      <c r="B64" s="696"/>
      <c r="C64" s="708" t="s">
        <v>129</v>
      </c>
      <c r="D64" s="727"/>
      <c r="E64" s="727"/>
      <c r="F64" s="727"/>
      <c r="G64" s="727"/>
      <c r="H64" s="727"/>
      <c r="I64" s="727"/>
      <c r="J64" s="727"/>
      <c r="K64" s="727"/>
      <c r="L64" s="960" t="s">
        <v>130</v>
      </c>
      <c r="M64" s="728" t="str">
        <f>IF('302'!P1="NA","OK",IF('302'!L33='Long-Term Liabilities'!O18,"OK","ERROR"))</f>
        <v>OK</v>
      </c>
      <c r="N64" s="704"/>
      <c r="O64" s="693"/>
    </row>
    <row r="65" spans="1:16" ht="13.5" customHeight="1">
      <c r="A65" s="693"/>
      <c r="B65" s="696"/>
      <c r="C65" s="708" t="s">
        <v>131</v>
      </c>
      <c r="D65" s="727"/>
      <c r="E65" s="727"/>
      <c r="F65" s="727"/>
      <c r="G65" s="727"/>
      <c r="H65" s="727"/>
      <c r="I65" s="727"/>
      <c r="J65" s="727"/>
      <c r="K65" s="727"/>
      <c r="L65" s="960" t="s">
        <v>130</v>
      </c>
      <c r="M65" s="728" t="str">
        <f>IF('303'!P1="NA","OK",IF('303'!F24=-'Long-Term Liabilities'!O17,"OK","ERROR"))</f>
        <v>ERROR</v>
      </c>
      <c r="N65" s="704"/>
      <c r="O65" s="693"/>
    </row>
    <row r="66" spans="1:16" ht="13.5" customHeight="1">
      <c r="A66" s="693"/>
      <c r="B66" s="696"/>
      <c r="C66" s="708" t="s">
        <v>132</v>
      </c>
      <c r="D66" s="727"/>
      <c r="E66" s="727"/>
      <c r="F66" s="727"/>
      <c r="G66" s="727"/>
      <c r="H66" s="727"/>
      <c r="I66" s="727"/>
      <c r="J66" s="727"/>
      <c r="K66" s="727"/>
      <c r="L66" s="960" t="s">
        <v>130</v>
      </c>
      <c r="M66" s="728" t="str">
        <f>IF('303'!P1="NA","OK",IF('303'!H24=-'Long-Term Liabilities'!Q17,"OK","ERROR"))</f>
        <v>OK</v>
      </c>
      <c r="N66" s="704"/>
      <c r="O66" s="693"/>
    </row>
    <row r="67" spans="1:16" ht="13.5" customHeight="1">
      <c r="A67" s="693"/>
      <c r="B67" s="696"/>
      <c r="C67" s="708" t="s">
        <v>133</v>
      </c>
      <c r="D67" s="727"/>
      <c r="E67" s="727"/>
      <c r="F67" s="727"/>
      <c r="G67" s="727"/>
      <c r="H67" s="727"/>
      <c r="I67" s="727"/>
      <c r="J67" s="727"/>
      <c r="K67" s="727"/>
      <c r="L67" s="960" t="s">
        <v>130</v>
      </c>
      <c r="M67" s="728" t="str">
        <f>IF('303'!P1="NA","OK",IF('303'!L46='ExhA&amp;B'!D20+'ExhA&amp;B'!D34,"OK","ERROR"))</f>
        <v>OK</v>
      </c>
      <c r="N67" s="704"/>
      <c r="O67" s="693"/>
    </row>
    <row r="68" spans="1:16" ht="13.5" customHeight="1">
      <c r="A68" s="693"/>
      <c r="B68" s="696"/>
      <c r="C68" s="708" t="s">
        <v>134</v>
      </c>
      <c r="D68" s="727"/>
      <c r="E68" s="727"/>
      <c r="F68" s="727"/>
      <c r="G68" s="727"/>
      <c r="H68" s="727"/>
      <c r="I68" s="727"/>
      <c r="J68" s="727"/>
      <c r="K68" s="727"/>
      <c r="L68" s="960" t="s">
        <v>130</v>
      </c>
      <c r="M68" s="728" t="str">
        <f>IF('303'!P1="NA","OK",IF('303'!H34='ExhA&amp;B'!D20,"OK","ERROR"))</f>
        <v>OK</v>
      </c>
      <c r="N68" s="704"/>
      <c r="O68" s="693"/>
    </row>
    <row r="69" spans="1:16" ht="13.5" customHeight="1">
      <c r="A69" s="693"/>
      <c r="B69" s="696"/>
      <c r="C69" s="708" t="s">
        <v>135</v>
      </c>
      <c r="D69" s="727"/>
      <c r="E69" s="727"/>
      <c r="F69" s="727"/>
      <c r="G69" s="727"/>
      <c r="H69" s="727"/>
      <c r="I69" s="727"/>
      <c r="J69" s="727"/>
      <c r="K69" s="727"/>
      <c r="L69" s="960" t="s">
        <v>130</v>
      </c>
      <c r="M69" s="728" t="str">
        <f>IF('303'!P1="NA","OK",IF('303'!F49=-'Long-Term Liabilities'!O18,"OK","ERROR"))</f>
        <v>OK</v>
      </c>
      <c r="N69" s="704"/>
      <c r="O69" s="693"/>
    </row>
    <row r="70" spans="1:16" ht="13.5" customHeight="1">
      <c r="A70" s="693"/>
      <c r="B70" s="696"/>
      <c r="C70" s="708" t="s">
        <v>136</v>
      </c>
      <c r="D70" s="727"/>
      <c r="E70" s="727"/>
      <c r="F70" s="727"/>
      <c r="G70" s="727"/>
      <c r="H70" s="727"/>
      <c r="I70" s="727"/>
      <c r="J70" s="727"/>
      <c r="K70" s="727"/>
      <c r="L70" s="960" t="s">
        <v>130</v>
      </c>
      <c r="M70" s="728" t="str">
        <f>IF('303'!P1="NA","OK",IF('303'!H49=-'Long-Term Liabilities'!Q18,"OK","ERROR"))</f>
        <v>OK</v>
      </c>
      <c r="N70" s="704"/>
      <c r="O70" s="693"/>
    </row>
    <row r="71" spans="1:16" ht="13.5" customHeight="1">
      <c r="A71" s="693"/>
      <c r="B71" s="696"/>
      <c r="C71" s="708" t="s">
        <v>137</v>
      </c>
      <c r="D71" s="727"/>
      <c r="E71" s="727"/>
      <c r="F71" s="727"/>
      <c r="G71" s="727"/>
      <c r="H71" s="727"/>
      <c r="I71" s="727"/>
      <c r="J71" s="727"/>
      <c r="K71" s="727"/>
      <c r="L71" s="727"/>
      <c r="M71" s="728" t="str">
        <f>IF('345'!G27="",IF('345'!I27="","ERROR",IF('345'!G36="",IF('345'!I36="","ERROR",IF('345'!J50="",IF('345'!J51="","ERROR","OK"),IF('345'!J51="","OK","ERROR"))),IF('345'!I36="",IF('345'!J50="",IF('345'!J51="","ERROR","OK"),IF('345'!J51="","OK","ERROR")),"ERROR"))),IF('345'!I27="",IF('345'!G36="",IF('345'!I36="","ERROR",IF('345'!J50="",IF('345'!J51="","ERROR","OK"),IF('345'!J51="","OK","ERROR"))),IF('345'!I36="",IF('345'!J50="",IF('345'!J51="","ERROR","OK"),IF('345'!J51="","OK","ERROR")),"ERROR")),"ERROR"))</f>
        <v>ERROR</v>
      </c>
      <c r="N71" s="704"/>
      <c r="O71" s="693"/>
    </row>
    <row r="72" spans="1:16" ht="13.5" customHeight="1">
      <c r="A72" s="693"/>
      <c r="B72" s="696"/>
      <c r="C72" s="708" t="s">
        <v>138</v>
      </c>
      <c r="D72" s="727"/>
      <c r="E72" s="727"/>
      <c r="F72" s="727"/>
      <c r="G72" s="727"/>
      <c r="H72" s="727"/>
      <c r="I72" s="727"/>
      <c r="J72" s="727"/>
      <c r="K72" s="727"/>
      <c r="L72" s="727"/>
      <c r="M72" s="728" t="str">
        <f>IF('355'!C26="",IF('355'!F26="","ERROR",IF('355'!H49="",IF('355'!J49="","ERROR","OK"),IF('355'!J49="","OK","ERROR"))),IF('355'!F26="",IF('355'!H49="",IF('355'!J49="","ERROR","OK"),IF('355'!J49="","OK","ERROR")),"ERROR"))</f>
        <v>ERROR</v>
      </c>
      <c r="N72" s="704"/>
      <c r="O72" s="693"/>
    </row>
    <row r="73" spans="1:16" ht="13.5" customHeight="1">
      <c r="A73" s="693"/>
      <c r="B73" s="696"/>
      <c r="C73" s="708" t="s">
        <v>139</v>
      </c>
      <c r="D73" s="727"/>
      <c r="E73" s="727"/>
      <c r="F73" s="727"/>
      <c r="G73" s="727"/>
      <c r="H73" s="727"/>
      <c r="I73" s="727"/>
      <c r="J73" s="727"/>
      <c r="K73" s="727"/>
      <c r="L73" s="727"/>
      <c r="M73" s="728" t="str">
        <f>IF('355'!C26="","OK",IF('355'!A31="","ERROR","OK"))</f>
        <v>OK</v>
      </c>
      <c r="N73" s="704"/>
      <c r="O73" s="693"/>
    </row>
    <row r="74" spans="1:16" ht="13.5" customHeight="1">
      <c r="A74" s="693"/>
      <c r="B74" s="696"/>
      <c r="C74" s="708" t="s">
        <v>140</v>
      </c>
      <c r="D74" s="727"/>
      <c r="E74" s="727"/>
      <c r="F74" s="727"/>
      <c r="G74" s="727"/>
      <c r="H74" s="727"/>
      <c r="I74" s="727"/>
      <c r="J74" s="727"/>
      <c r="K74" s="727"/>
      <c r="L74" s="727"/>
      <c r="M74" s="728" t="str">
        <f>IF('355'!H49="","OK",IF('355'!A53="","ERROR","OK"))</f>
        <v>OK</v>
      </c>
      <c r="N74" s="704"/>
      <c r="O74" s="693"/>
    </row>
    <row r="75" spans="1:16" ht="13.5" customHeight="1">
      <c r="A75" s="693"/>
      <c r="B75" s="696"/>
      <c r="C75" s="708" t="s">
        <v>141</v>
      </c>
      <c r="D75" s="708"/>
      <c r="E75" s="708"/>
      <c r="F75" s="708"/>
      <c r="G75" s="708"/>
      <c r="H75" s="708"/>
      <c r="I75" s="708"/>
      <c r="J75" s="708"/>
      <c r="K75" s="708"/>
      <c r="L75" s="708"/>
      <c r="M75" s="728" t="str">
        <f>IF('425'!D13="",IF('425'!H13="","ERROR",IF('425'!B19="","ERROR","OK")),IF('425'!H13="","OK","ERROR"))</f>
        <v>ERROR</v>
      </c>
      <c r="N75" s="704"/>
      <c r="O75" s="693"/>
    </row>
    <row r="76" spans="1:16" ht="13.5" customHeight="1">
      <c r="A76" s="693"/>
      <c r="B76" s="696"/>
      <c r="C76" s="708" t="s">
        <v>142</v>
      </c>
      <c r="D76" s="708"/>
      <c r="E76" s="708"/>
      <c r="F76" s="708"/>
      <c r="G76" s="708"/>
      <c r="H76" s="708"/>
      <c r="I76" s="708"/>
      <c r="J76" s="708"/>
      <c r="K76" s="708"/>
      <c r="L76" s="708"/>
      <c r="M76" s="728" t="str">
        <f>IF('430'!M1="NA","OK",IF('ExhA&amp;B'!D141='430'!F33,"OK","ERROR"))</f>
        <v>OK</v>
      </c>
      <c r="N76" s="704"/>
      <c r="O76" s="693"/>
    </row>
    <row r="77" spans="1:16" ht="13.5" customHeight="1">
      <c r="A77" s="693"/>
      <c r="B77" s="696"/>
      <c r="C77" s="708" t="s">
        <v>143</v>
      </c>
      <c r="D77" s="727"/>
      <c r="E77" s="727"/>
      <c r="F77" s="727"/>
      <c r="G77" s="727"/>
      <c r="H77" s="727"/>
      <c r="I77" s="727"/>
      <c r="J77" s="727"/>
      <c r="K77" s="727"/>
      <c r="L77" s="727"/>
      <c r="M77" s="728" t="str">
        <f>IF('430'!M1="NA","OK",IF(-'Long-Term Liabilities'!I26='430'!D31,"OK","ERROR"))</f>
        <v>OK</v>
      </c>
      <c r="N77" s="704"/>
      <c r="O77" s="693"/>
    </row>
    <row r="78" spans="1:16" ht="13.5" customHeight="1">
      <c r="A78" s="693"/>
      <c r="B78" s="696"/>
      <c r="C78" s="708" t="s">
        <v>144</v>
      </c>
      <c r="D78" s="708"/>
      <c r="E78" s="708"/>
      <c r="F78" s="708"/>
      <c r="G78" s="708"/>
      <c r="H78" s="708"/>
      <c r="I78" s="708"/>
      <c r="J78" s="708"/>
      <c r="K78" s="708"/>
      <c r="L78" s="708"/>
      <c r="M78" s="728" t="str">
        <f>IF('430'!M1="NA","OK",IF('Capital Assets'!K58='430'!B31,"OK","ERROR"))</f>
        <v>OK</v>
      </c>
      <c r="N78" s="704"/>
      <c r="O78" s="693"/>
    </row>
    <row r="79" spans="1:16" ht="13.5" customHeight="1">
      <c r="A79" s="693"/>
      <c r="B79" s="696"/>
      <c r="C79" s="708" t="s">
        <v>145</v>
      </c>
      <c r="D79" s="727"/>
      <c r="E79" s="727"/>
      <c r="F79" s="727"/>
      <c r="G79" s="727"/>
      <c r="H79" s="727"/>
      <c r="I79" s="727"/>
      <c r="J79" s="727"/>
      <c r="K79" s="727"/>
      <c r="L79" s="727"/>
      <c r="M79" s="728" t="str">
        <f>IF(VLOOKUP(F7,RestrDuefromPG!A:C,3,FALSE)='ExhA&amp;B'!D29,"OK","ERROR")</f>
        <v>OK</v>
      </c>
      <c r="N79" s="704"/>
      <c r="O79" s="693"/>
      <c r="P79" s="697" t="s">
        <v>146</v>
      </c>
    </row>
    <row r="80" spans="1:16" ht="13.5" customHeight="1">
      <c r="A80" s="693"/>
      <c r="B80" s="696"/>
      <c r="C80" s="708" t="s">
        <v>147</v>
      </c>
      <c r="M80" s="728" t="str">
        <f>IF('520'!O1="NA","OK",IF('ExhA&amp;B'!D53='520'!E30,"OK","ERROR"))</f>
        <v>OK</v>
      </c>
      <c r="N80" s="704"/>
      <c r="O80" s="693"/>
    </row>
    <row r="81" spans="1:15" ht="13.5" customHeight="1">
      <c r="A81" s="693"/>
      <c r="B81" s="696"/>
      <c r="C81" s="708" t="s">
        <v>148</v>
      </c>
      <c r="M81" s="728" t="str">
        <f>IF('525'!N1="NA","OK",IF('ExhA&amp;B'!D15='525'!E21,"OK","ERROR"))</f>
        <v>OK</v>
      </c>
      <c r="N81" s="704"/>
      <c r="O81" s="693"/>
    </row>
    <row r="82" spans="1:15" ht="13.5" customHeight="1">
      <c r="A82" s="693"/>
      <c r="B82" s="696"/>
      <c r="C82" s="708" t="s">
        <v>149</v>
      </c>
      <c r="M82" s="728" t="str">
        <f>IF('525'!N1="NA","OK",IF('ExhA&amp;B'!D30='525'!E30,"OK","ERROR"))</f>
        <v>OK</v>
      </c>
      <c r="N82" s="704"/>
      <c r="O82" s="693"/>
    </row>
    <row r="83" spans="1:15" ht="13.5" customHeight="1">
      <c r="A83" s="693"/>
      <c r="B83" s="696"/>
      <c r="C83" s="708" t="s">
        <v>150</v>
      </c>
      <c r="M83" s="728" t="str">
        <f>IF('530'!O1="NA","OK",IF('ExhA&amp;B'!D54='530'!E29,"OK","ERROR"))</f>
        <v>OK</v>
      </c>
      <c r="N83" s="704"/>
      <c r="O83" s="693"/>
    </row>
    <row r="84" spans="1:15" ht="13.5" customHeight="1">
      <c r="A84" s="693"/>
      <c r="B84" s="696"/>
      <c r="C84" s="708" t="s">
        <v>151</v>
      </c>
      <c r="D84" s="708"/>
      <c r="E84" s="708"/>
      <c r="F84" s="708"/>
      <c r="G84" s="708"/>
      <c r="H84" s="708"/>
      <c r="I84" s="708"/>
      <c r="J84" s="708"/>
      <c r="K84" s="708"/>
      <c r="L84" s="727"/>
      <c r="M84" s="728" t="str">
        <f>IF('602'!I1="NA","OK",IF('602'!F14&lt;0.01,"ERROR",IF('602'!F31&lt;0.01,"ERROR",IF('602'!F48&lt;0.01,"ERROR","OK"))))</f>
        <v>ERROR</v>
      </c>
      <c r="N84" s="704"/>
      <c r="O84" s="693"/>
    </row>
    <row r="85" spans="1:15" ht="13.5" customHeight="1">
      <c r="A85" s="693"/>
      <c r="B85" s="696"/>
      <c r="C85" s="708" t="s">
        <v>152</v>
      </c>
      <c r="M85" s="728" t="str">
        <f>IF('610'!G31="","ERROR","OK")</f>
        <v>ERROR</v>
      </c>
      <c r="N85" s="704"/>
      <c r="O85" s="693"/>
    </row>
    <row r="86" spans="1:15" ht="13.5" customHeight="1">
      <c r="A86" s="693"/>
      <c r="B86" s="32"/>
      <c r="C86" s="708" t="s">
        <v>153</v>
      </c>
      <c r="D86" s="727"/>
      <c r="E86" s="727"/>
      <c r="F86" s="727"/>
      <c r="G86" s="727"/>
      <c r="H86" s="727"/>
      <c r="I86" s="727"/>
      <c r="J86" s="727"/>
      <c r="K86" s="727"/>
      <c r="L86" s="727"/>
      <c r="M86" s="728" t="str">
        <f>IF('616'!M1="NA","OK",IF('ExhA&amp;B'!D16='616'!D27,"OK","ERROR"))</f>
        <v>OK</v>
      </c>
      <c r="N86" s="704"/>
      <c r="O86" s="693"/>
    </row>
    <row r="87" spans="1:15" ht="14.25" customHeight="1">
      <c r="A87" s="693"/>
      <c r="B87" s="700"/>
      <c r="C87" s="708" t="s">
        <v>154</v>
      </c>
      <c r="M87" s="728" t="str">
        <f>IF('625'!W1="NA","OK",IF('625'!B15="",IF(COUNTA('Analytical Review'!P9:P138)&gt;0,"ERROR","OK"),IF(COUNTA('Analytical Review'!P9:P138)&gt;1,"OK","ERROR")))</f>
        <v>ERROR</v>
      </c>
      <c r="N87" s="704"/>
      <c r="O87" s="693"/>
    </row>
    <row r="88" spans="1:15" ht="13.5" customHeight="1">
      <c r="A88" s="693"/>
      <c r="B88" s="700"/>
      <c r="C88" s="708"/>
      <c r="D88" s="708"/>
      <c r="E88" s="708"/>
      <c r="F88" s="708"/>
      <c r="G88" s="708"/>
      <c r="H88" s="708"/>
      <c r="I88" s="708"/>
      <c r="J88" s="708"/>
      <c r="K88" s="708"/>
      <c r="L88" s="708"/>
      <c r="M88" s="727" t="s">
        <v>146</v>
      </c>
      <c r="N88" s="704"/>
      <c r="O88" s="693"/>
    </row>
    <row r="89" spans="1:15" ht="11.25" customHeight="1">
      <c r="A89" s="693"/>
      <c r="B89" s="700"/>
      <c r="C89" s="32"/>
      <c r="D89" s="32"/>
      <c r="E89" s="32"/>
      <c r="F89" s="32"/>
      <c r="G89" s="32"/>
      <c r="H89" s="32"/>
      <c r="I89" s="32"/>
      <c r="J89" s="32"/>
      <c r="K89" s="32"/>
      <c r="L89" s="32"/>
      <c r="M89" s="32"/>
      <c r="N89" s="725"/>
      <c r="O89" s="693"/>
    </row>
    <row r="90" spans="1:15" ht="7.5" customHeight="1">
      <c r="A90" s="693"/>
      <c r="B90" s="707"/>
      <c r="C90" s="707"/>
      <c r="D90" s="707"/>
      <c r="E90" s="707"/>
      <c r="F90" s="707"/>
      <c r="G90" s="707"/>
      <c r="H90" s="707"/>
      <c r="I90" s="707"/>
      <c r="J90" s="707"/>
      <c r="K90" s="707"/>
      <c r="L90" s="707"/>
      <c r="M90" s="707"/>
      <c r="N90" s="691"/>
      <c r="O90" s="693"/>
    </row>
    <row r="91" spans="1:15" ht="18" customHeight="1">
      <c r="A91" s="693"/>
      <c r="B91" s="32"/>
      <c r="C91" s="696" t="s">
        <v>155</v>
      </c>
      <c r="O91" s="693"/>
    </row>
    <row r="92" spans="1:15" ht="6" customHeight="1">
      <c r="A92" s="693"/>
      <c r="C92" s="696"/>
      <c r="D92" s="699"/>
      <c r="E92" s="699"/>
      <c r="F92" s="699"/>
      <c r="G92" s="699"/>
      <c r="H92" s="699"/>
      <c r="I92" s="699"/>
      <c r="J92" s="699"/>
      <c r="K92" s="699"/>
      <c r="L92" s="699"/>
      <c r="M92" s="699"/>
      <c r="N92" s="699"/>
      <c r="O92" s="693"/>
    </row>
    <row r="93" spans="1:15" ht="20.100000000000001" customHeight="1">
      <c r="A93" s="693"/>
      <c r="B93" s="695"/>
      <c r="C93" s="695"/>
      <c r="D93" s="698"/>
      <c r="E93" s="698"/>
      <c r="F93" s="698"/>
      <c r="G93" s="698"/>
      <c r="H93" s="698"/>
      <c r="I93" s="698"/>
      <c r="J93" s="698"/>
      <c r="K93" s="698"/>
      <c r="L93" s="698"/>
      <c r="M93" s="698"/>
      <c r="N93" s="698"/>
      <c r="O93" s="693"/>
    </row>
    <row r="94" spans="1:15" ht="20.100000000000001" customHeight="1">
      <c r="A94" s="693"/>
      <c r="B94" s="698"/>
      <c r="C94" s="698"/>
      <c r="D94" s="698"/>
      <c r="E94" s="698"/>
      <c r="F94" s="698"/>
      <c r="G94" s="698"/>
      <c r="H94" s="698"/>
      <c r="I94" s="698"/>
      <c r="J94" s="698"/>
      <c r="K94" s="698"/>
      <c r="L94" s="698"/>
      <c r="M94" s="698"/>
      <c r="N94" s="698"/>
      <c r="O94" s="693"/>
    </row>
    <row r="95" spans="1:15" ht="18.75" customHeight="1">
      <c r="A95" s="693"/>
      <c r="B95" s="698"/>
      <c r="C95" s="698"/>
      <c r="D95" s="698"/>
      <c r="E95" s="698"/>
      <c r="F95" s="698"/>
      <c r="G95" s="698"/>
      <c r="H95" s="698"/>
      <c r="I95" s="698"/>
      <c r="J95" s="698"/>
      <c r="K95" s="698"/>
      <c r="L95" s="698"/>
      <c r="M95" s="698"/>
      <c r="N95" s="698"/>
      <c r="O95" s="693"/>
    </row>
    <row r="96" spans="1:15" ht="20.100000000000001" customHeight="1">
      <c r="A96" s="693"/>
      <c r="B96" s="698"/>
      <c r="C96" s="698"/>
      <c r="D96" s="698"/>
      <c r="E96" s="698"/>
      <c r="F96" s="698"/>
      <c r="G96" s="698"/>
      <c r="H96" s="698"/>
      <c r="I96" s="698"/>
      <c r="J96" s="698"/>
      <c r="K96" s="698"/>
      <c r="L96" s="698"/>
      <c r="M96" s="698"/>
      <c r="N96" s="698"/>
      <c r="O96" s="693"/>
    </row>
    <row r="97" spans="1:15" ht="20.100000000000001" customHeight="1">
      <c r="A97" s="693"/>
      <c r="B97" s="698"/>
      <c r="C97" s="698"/>
      <c r="D97" s="698"/>
      <c r="E97" s="698"/>
      <c r="F97" s="698"/>
      <c r="G97" s="698"/>
      <c r="H97" s="698"/>
      <c r="I97" s="698"/>
      <c r="J97" s="698"/>
      <c r="K97" s="698"/>
      <c r="L97" s="698"/>
      <c r="M97" s="698"/>
      <c r="N97" s="698"/>
      <c r="O97" s="693"/>
    </row>
    <row r="98" spans="1:15" ht="6.75" customHeight="1">
      <c r="A98" s="705"/>
      <c r="B98" s="691"/>
      <c r="C98" s="691"/>
      <c r="D98" s="691"/>
      <c r="E98" s="691"/>
      <c r="F98" s="691"/>
      <c r="G98" s="691"/>
      <c r="H98" s="691"/>
      <c r="I98" s="691"/>
      <c r="J98" s="691"/>
      <c r="K98" s="691"/>
      <c r="L98" s="691"/>
      <c r="M98" s="691"/>
      <c r="N98" s="691"/>
      <c r="O98" s="706"/>
    </row>
    <row r="101" spans="1:15">
      <c r="C101" s="696"/>
    </row>
  </sheetData>
  <sheetProtection algorithmName="SHA-512" hashValue="M8ho27UNWYni6OKUGL25LIRQmkfA18kkLHvrHIYGHWOzCvZndFnJfypWcE5oyRnVgHJMIykFuJJmKgZi3I068g==" saltValue="38ealevFt6i5NLsXotmu9g==" spinCount="100000" sheet="1" objects="1" scenarios="1" autoFilter="0"/>
  <phoneticPr fontId="0" type="noConversion"/>
  <conditionalFormatting sqref="M24:M87">
    <cfRule type="cellIs" dxfId="88" priority="3" operator="equal">
      <formula>"ERROR"</formula>
    </cfRule>
    <cfRule type="cellIs" dxfId="87" priority="4" operator="equal">
      <formula>"OK"</formula>
    </cfRule>
  </conditionalFormatting>
  <printOptions horizontalCentered="1"/>
  <pageMargins left="0.5" right="0.25" top="0.5" bottom="0.25" header="0.5" footer="0.25"/>
  <pageSetup scale="61" orientation="portrait" r:id="rId1"/>
  <headerFooter alignWithMargins="0"/>
  <ignoredErrors>
    <ignoredError sqref="M7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K45"/>
  <sheetViews>
    <sheetView showGridLines="0" zoomScaleNormal="100" workbookViewId="0">
      <selection activeCell="C17" sqref="C17"/>
    </sheetView>
  </sheetViews>
  <sheetFormatPr defaultColWidth="9.28515625" defaultRowHeight="10.199999999999999"/>
  <cols>
    <col min="1" max="1" width="13.28515625" style="26" customWidth="1"/>
    <col min="2" max="2" width="2.28515625" style="26" customWidth="1"/>
    <col min="3" max="3" width="44.140625" style="26" customWidth="1"/>
    <col min="4" max="4" width="2.28515625" style="26" customWidth="1"/>
    <col min="5" max="5" width="70.85546875" style="26" customWidth="1"/>
    <col min="6" max="6" width="3.42578125" style="26" customWidth="1"/>
    <col min="7" max="7" width="12.85546875" style="26" hidden="1" customWidth="1"/>
    <col min="8" max="8" width="11" style="26" hidden="1" customWidth="1"/>
    <col min="9" max="9" width="12.28515625" style="26" hidden="1" customWidth="1"/>
    <col min="10" max="10" width="13" style="26" hidden="1" customWidth="1"/>
    <col min="11" max="16384" width="9.28515625" style="26"/>
  </cols>
  <sheetData>
    <row r="1" spans="1:11" s="145" customFormat="1" ht="17.399999999999999">
      <c r="A1" s="1057" t="s">
        <v>0</v>
      </c>
      <c r="B1" s="1057"/>
      <c r="C1" s="1057"/>
      <c r="D1" s="1057"/>
      <c r="E1" s="1057"/>
      <c r="F1" s="26"/>
      <c r="G1" s="26"/>
    </row>
    <row r="2" spans="1:11" s="145" customFormat="1" ht="15.6">
      <c r="A2" s="1063" t="s">
        <v>156</v>
      </c>
      <c r="B2" s="1063"/>
      <c r="C2" s="1063"/>
      <c r="D2" s="1063"/>
      <c r="E2" s="1063"/>
      <c r="F2" s="589"/>
      <c r="G2" s="589"/>
    </row>
    <row r="3" spans="1:11" ht="15.75" customHeight="1">
      <c r="A3" s="590"/>
      <c r="B3" s="591"/>
      <c r="C3" s="590"/>
      <c r="D3" s="591"/>
      <c r="E3" s="592"/>
      <c r="F3" s="592"/>
      <c r="G3" s="592"/>
    </row>
    <row r="4" spans="1:11" ht="15.75" customHeight="1" thickBot="1">
      <c r="G4" s="1062" t="s">
        <v>157</v>
      </c>
      <c r="H4" s="1062"/>
      <c r="I4" s="1062"/>
      <c r="J4" s="1062"/>
    </row>
    <row r="5" spans="1:11" ht="95.1" customHeight="1" thickBot="1">
      <c r="A5" s="593" t="s">
        <v>158</v>
      </c>
      <c r="C5" s="593" t="s">
        <v>159</v>
      </c>
      <c r="E5" s="986" t="s">
        <v>160</v>
      </c>
      <c r="G5" s="986" t="s">
        <v>161</v>
      </c>
      <c r="H5" s="593" t="s">
        <v>162</v>
      </c>
      <c r="I5" s="593" t="s">
        <v>163</v>
      </c>
      <c r="J5" s="593" t="s">
        <v>164</v>
      </c>
    </row>
    <row r="6" spans="1:11" ht="13.95" customHeight="1">
      <c r="A6" s="675">
        <v>45083</v>
      </c>
      <c r="B6" s="676"/>
      <c r="C6" s="680" t="s">
        <v>34</v>
      </c>
      <c r="D6" s="676"/>
      <c r="E6" s="677" t="s">
        <v>1950</v>
      </c>
      <c r="F6" s="592"/>
      <c r="G6" s="683"/>
      <c r="H6" s="675"/>
      <c r="I6" s="675"/>
      <c r="J6" s="675"/>
    </row>
    <row r="7" spans="1:11" ht="15" customHeight="1">
      <c r="A7" s="679">
        <v>45083</v>
      </c>
      <c r="B7" s="678"/>
      <c r="C7" s="1034" t="s">
        <v>1951</v>
      </c>
      <c r="D7" s="678"/>
      <c r="E7" s="765" t="s">
        <v>1950</v>
      </c>
      <c r="F7" s="592"/>
      <c r="G7" s="683"/>
      <c r="H7" s="596"/>
      <c r="I7" s="596"/>
      <c r="J7" s="684"/>
    </row>
    <row r="8" spans="1:11" ht="28.2" customHeight="1">
      <c r="A8" s="1035">
        <v>45083</v>
      </c>
      <c r="B8" s="678"/>
      <c r="C8" s="1036" t="s">
        <v>1952</v>
      </c>
      <c r="D8" s="678"/>
      <c r="E8" s="765" t="s">
        <v>1953</v>
      </c>
      <c r="F8" s="592"/>
      <c r="G8" s="683" t="s">
        <v>165</v>
      </c>
      <c r="H8" s="596">
        <v>44707</v>
      </c>
      <c r="I8" s="596">
        <v>44707</v>
      </c>
      <c r="J8" s="596"/>
    </row>
    <row r="9" spans="1:11" ht="15" customHeight="1">
      <c r="A9" s="734">
        <v>45103</v>
      </c>
      <c r="B9" s="591"/>
      <c r="C9" s="681" t="s">
        <v>1955</v>
      </c>
      <c r="D9" s="591"/>
      <c r="E9" s="682" t="s">
        <v>1956</v>
      </c>
      <c r="F9" s="592"/>
      <c r="G9" s="683" t="s">
        <v>165</v>
      </c>
      <c r="H9" s="596">
        <v>44707</v>
      </c>
      <c r="I9" s="596">
        <v>44707</v>
      </c>
      <c r="J9" s="596"/>
    </row>
    <row r="10" spans="1:11" ht="15" customHeight="1">
      <c r="A10" s="734">
        <v>45112</v>
      </c>
      <c r="B10" s="591"/>
      <c r="C10" s="681" t="s">
        <v>1959</v>
      </c>
      <c r="D10" s="788"/>
      <c r="E10" s="682" t="s">
        <v>1960</v>
      </c>
      <c r="F10" s="788"/>
      <c r="G10" s="792"/>
      <c r="H10" s="792"/>
      <c r="I10" s="792"/>
      <c r="J10" s="792"/>
      <c r="K10" s="792"/>
    </row>
    <row r="11" spans="1:11" ht="15" customHeight="1">
      <c r="A11" s="734"/>
      <c r="B11" s="591"/>
      <c r="C11" s="681"/>
      <c r="D11" s="788"/>
      <c r="E11" s="682"/>
      <c r="F11" s="592"/>
      <c r="G11" s="595"/>
      <c r="H11" s="596"/>
      <c r="I11" s="596"/>
      <c r="J11" s="596"/>
    </row>
    <row r="12" spans="1:11" ht="15" customHeight="1">
      <c r="A12" s="734"/>
      <c r="B12" s="591"/>
      <c r="C12" s="820"/>
      <c r="D12" s="591"/>
      <c r="E12" s="682"/>
      <c r="F12" s="592"/>
      <c r="G12" s="595" t="s">
        <v>165</v>
      </c>
      <c r="H12" s="596">
        <v>44760</v>
      </c>
      <c r="I12" s="596">
        <v>44760</v>
      </c>
      <c r="J12" s="596"/>
    </row>
    <row r="13" spans="1:11" ht="15" customHeight="1">
      <c r="A13" s="734"/>
      <c r="B13" s="591"/>
      <c r="C13" s="820"/>
      <c r="D13" s="591"/>
      <c r="E13" s="682"/>
      <c r="F13" s="592"/>
      <c r="G13" s="595"/>
      <c r="H13" s="596"/>
      <c r="I13" s="596"/>
      <c r="J13" s="596"/>
    </row>
    <row r="14" spans="1:11" ht="15" customHeight="1">
      <c r="A14" s="734"/>
      <c r="B14" s="591"/>
      <c r="C14" s="820"/>
      <c r="D14" s="591"/>
      <c r="E14" s="682"/>
      <c r="F14" s="592"/>
      <c r="G14" s="595"/>
      <c r="H14" s="596"/>
      <c r="I14" s="596"/>
      <c r="J14" s="596"/>
    </row>
    <row r="15" spans="1:11" ht="15" customHeight="1">
      <c r="A15" s="734"/>
      <c r="B15" s="591"/>
      <c r="C15" s="820"/>
      <c r="D15" s="591"/>
      <c r="E15" s="682"/>
      <c r="F15" s="592"/>
      <c r="G15" s="595"/>
      <c r="H15" s="596"/>
      <c r="I15" s="596"/>
      <c r="J15" s="596"/>
    </row>
    <row r="16" spans="1:11" ht="15" customHeight="1">
      <c r="A16" s="734"/>
      <c r="B16" s="591"/>
      <c r="C16" s="820"/>
      <c r="D16" s="591"/>
      <c r="E16" s="682"/>
      <c r="F16" s="592"/>
      <c r="G16" s="595"/>
      <c r="H16" s="596"/>
      <c r="I16" s="596"/>
      <c r="J16" s="596"/>
    </row>
    <row r="17" spans="1:10" ht="15" customHeight="1">
      <c r="A17" s="590"/>
      <c r="B17" s="591"/>
      <c r="C17" s="590"/>
      <c r="D17" s="591"/>
      <c r="E17" s="594"/>
      <c r="F17" s="592"/>
      <c r="G17" s="595"/>
      <c r="H17" s="596"/>
      <c r="I17" s="596"/>
      <c r="J17" s="596"/>
    </row>
    <row r="18" spans="1:10" ht="15" customHeight="1">
      <c r="A18" s="590"/>
      <c r="B18" s="591"/>
      <c r="C18" s="590"/>
      <c r="D18" s="591"/>
      <c r="E18" s="594"/>
      <c r="F18" s="592"/>
      <c r="G18" s="595"/>
      <c r="H18" s="596"/>
      <c r="I18" s="596"/>
      <c r="J18" s="596"/>
    </row>
    <row r="19" spans="1:10" ht="15" customHeight="1">
      <c r="A19" s="590"/>
      <c r="B19" s="591"/>
      <c r="C19" s="590"/>
      <c r="D19" s="591"/>
      <c r="E19" s="594"/>
      <c r="F19" s="592"/>
      <c r="G19" s="595"/>
      <c r="H19" s="596"/>
      <c r="I19" s="596"/>
      <c r="J19" s="596"/>
    </row>
    <row r="20" spans="1:10" ht="33" customHeight="1">
      <c r="A20" s="590"/>
      <c r="B20" s="591"/>
      <c r="C20" s="590"/>
      <c r="D20" s="591"/>
      <c r="E20" s="594"/>
      <c r="F20" s="592"/>
      <c r="G20" s="595"/>
      <c r="H20" s="596"/>
      <c r="I20" s="596"/>
      <c r="J20" s="596"/>
    </row>
    <row r="21" spans="1:10" ht="33" customHeight="1">
      <c r="A21" s="590"/>
      <c r="B21" s="591"/>
      <c r="C21" s="590"/>
      <c r="D21" s="591"/>
      <c r="E21" s="594"/>
      <c r="F21" s="592"/>
      <c r="G21" s="595"/>
      <c r="H21" s="596"/>
      <c r="I21" s="596"/>
      <c r="J21" s="596"/>
    </row>
    <row r="22" spans="1:10" ht="33" customHeight="1">
      <c r="A22" s="590"/>
      <c r="B22" s="591"/>
      <c r="C22" s="590"/>
      <c r="D22" s="591"/>
      <c r="E22" s="594"/>
      <c r="F22" s="592"/>
      <c r="G22" s="595"/>
      <c r="H22" s="596"/>
      <c r="I22" s="596"/>
      <c r="J22" s="596"/>
    </row>
    <row r="23" spans="1:10" ht="33" customHeight="1">
      <c r="A23" s="590"/>
      <c r="B23" s="591"/>
      <c r="C23" s="590"/>
      <c r="D23" s="591"/>
      <c r="E23" s="594"/>
      <c r="F23" s="592"/>
      <c r="G23" s="595"/>
      <c r="H23" s="596"/>
      <c r="I23" s="596"/>
      <c r="J23" s="596"/>
    </row>
    <row r="24" spans="1:10" ht="33" customHeight="1">
      <c r="A24" s="590"/>
      <c r="B24" s="591"/>
      <c r="C24" s="590"/>
      <c r="D24" s="591"/>
      <c r="E24" s="594"/>
      <c r="F24" s="592"/>
      <c r="G24" s="595"/>
      <c r="H24" s="596"/>
      <c r="I24" s="596"/>
      <c r="J24" s="596"/>
    </row>
    <row r="25" spans="1:10" ht="33" customHeight="1">
      <c r="A25" s="590"/>
      <c r="B25" s="591"/>
      <c r="C25" s="590"/>
      <c r="D25" s="591"/>
      <c r="E25" s="594"/>
      <c r="F25" s="592"/>
      <c r="G25" s="595"/>
      <c r="H25" s="596"/>
      <c r="I25" s="596"/>
      <c r="J25" s="596"/>
    </row>
    <row r="26" spans="1:10" ht="33" customHeight="1">
      <c r="A26" s="590"/>
      <c r="B26" s="591"/>
      <c r="C26" s="590"/>
      <c r="D26" s="591"/>
      <c r="E26" s="594"/>
      <c r="F26" s="592"/>
      <c r="G26" s="595"/>
      <c r="H26" s="596"/>
      <c r="I26" s="596"/>
      <c r="J26" s="596"/>
    </row>
    <row r="27" spans="1:10" ht="33" customHeight="1">
      <c r="A27" s="590"/>
      <c r="B27" s="591"/>
      <c r="C27" s="590"/>
      <c r="D27" s="591"/>
      <c r="E27" s="594"/>
      <c r="F27" s="592"/>
      <c r="G27" s="595"/>
      <c r="H27" s="596"/>
      <c r="I27" s="596"/>
      <c r="J27" s="596"/>
    </row>
    <row r="28" spans="1:10" ht="33" customHeight="1">
      <c r="A28" s="590"/>
      <c r="B28" s="591"/>
      <c r="C28" s="590"/>
      <c r="D28" s="591"/>
      <c r="E28" s="594"/>
      <c r="F28" s="592"/>
      <c r="G28" s="595"/>
      <c r="H28" s="596"/>
      <c r="I28" s="596"/>
      <c r="J28" s="596"/>
    </row>
    <row r="29" spans="1:10" ht="33" customHeight="1">
      <c r="A29" s="590"/>
      <c r="B29" s="591"/>
      <c r="C29" s="590"/>
      <c r="D29" s="591"/>
      <c r="E29" s="594"/>
      <c r="F29" s="592"/>
      <c r="G29" s="595"/>
      <c r="H29" s="596"/>
      <c r="I29" s="596"/>
      <c r="J29" s="596"/>
    </row>
    <row r="30" spans="1:10" ht="33" customHeight="1">
      <c r="A30" s="590"/>
      <c r="B30" s="591"/>
      <c r="C30" s="590"/>
      <c r="D30" s="591"/>
      <c r="E30" s="594"/>
      <c r="F30" s="592"/>
      <c r="G30" s="595"/>
      <c r="H30" s="596"/>
      <c r="I30" s="596"/>
      <c r="J30" s="596"/>
    </row>
    <row r="31" spans="1:10" ht="33" customHeight="1">
      <c r="A31" s="590"/>
      <c r="B31" s="591"/>
      <c r="C31" s="590"/>
      <c r="D31" s="591"/>
      <c r="E31" s="594"/>
      <c r="F31" s="592"/>
      <c r="G31" s="595"/>
      <c r="H31" s="596"/>
      <c r="I31" s="596"/>
      <c r="J31" s="596"/>
    </row>
    <row r="32" spans="1:10" ht="33" customHeight="1">
      <c r="A32" s="590"/>
      <c r="B32" s="591"/>
      <c r="C32" s="590"/>
      <c r="D32" s="591"/>
      <c r="E32" s="594"/>
      <c r="F32" s="592"/>
      <c r="G32" s="595"/>
      <c r="H32" s="596"/>
      <c r="I32" s="596"/>
      <c r="J32" s="596"/>
    </row>
    <row r="33" spans="1:10" ht="33" customHeight="1">
      <c r="A33" s="590"/>
      <c r="B33" s="591"/>
      <c r="C33" s="590"/>
      <c r="D33" s="591"/>
      <c r="E33" s="594"/>
      <c r="F33" s="592"/>
      <c r="G33" s="595"/>
      <c r="H33" s="596"/>
      <c r="I33" s="596"/>
      <c r="J33" s="596"/>
    </row>
    <row r="34" spans="1:10" ht="33" customHeight="1">
      <c r="A34" s="590"/>
      <c r="B34" s="591"/>
      <c r="C34" s="590"/>
      <c r="D34" s="591"/>
      <c r="E34" s="594"/>
      <c r="F34" s="592"/>
      <c r="G34" s="595"/>
      <c r="H34" s="596"/>
      <c r="I34" s="596"/>
      <c r="J34" s="596"/>
    </row>
    <row r="35" spans="1:10" ht="13.8">
      <c r="A35" s="590"/>
      <c r="B35" s="591"/>
      <c r="C35" s="590"/>
      <c r="D35" s="591"/>
      <c r="E35" s="592"/>
      <c r="F35" s="592"/>
      <c r="G35" s="592"/>
    </row>
    <row r="36" spans="1:10" ht="13.8">
      <c r="A36" s="590"/>
      <c r="B36" s="591"/>
      <c r="C36" s="590"/>
      <c r="D36" s="591"/>
      <c r="E36" s="592"/>
      <c r="F36" s="592"/>
      <c r="G36" s="592"/>
    </row>
    <row r="37" spans="1:10" ht="13.8">
      <c r="A37" s="590"/>
      <c r="B37" s="591"/>
      <c r="C37" s="590"/>
      <c r="D37" s="591"/>
      <c r="E37" s="592"/>
      <c r="F37" s="592"/>
      <c r="G37" s="592"/>
    </row>
    <row r="38" spans="1:10" ht="13.8">
      <c r="A38" s="590"/>
      <c r="B38" s="591"/>
      <c r="C38" s="590"/>
      <c r="D38" s="591"/>
      <c r="E38" s="592"/>
      <c r="F38" s="592"/>
      <c r="G38" s="592"/>
    </row>
    <row r="39" spans="1:10" ht="13.8">
      <c r="A39" s="590"/>
      <c r="B39" s="591"/>
      <c r="C39" s="590"/>
      <c r="D39" s="591"/>
      <c r="E39" s="592"/>
      <c r="F39" s="592"/>
      <c r="G39" s="592"/>
    </row>
    <row r="40" spans="1:10" ht="13.8">
      <c r="A40" s="590"/>
      <c r="B40" s="591"/>
      <c r="C40" s="590"/>
      <c r="D40" s="591"/>
      <c r="E40" s="592"/>
      <c r="F40" s="592"/>
      <c r="G40" s="592"/>
    </row>
    <row r="41" spans="1:10" ht="13.8">
      <c r="A41" s="590"/>
      <c r="B41" s="591"/>
      <c r="C41" s="590"/>
      <c r="D41" s="591"/>
      <c r="E41" s="592"/>
      <c r="F41" s="592"/>
      <c r="G41" s="592"/>
    </row>
    <row r="42" spans="1:10" ht="13.8">
      <c r="A42" s="590"/>
      <c r="B42" s="591"/>
      <c r="C42" s="590"/>
      <c r="D42" s="591"/>
      <c r="E42" s="592"/>
      <c r="F42" s="592"/>
      <c r="G42" s="592"/>
    </row>
    <row r="43" spans="1:10" ht="13.8">
      <c r="A43" s="590"/>
      <c r="B43" s="591"/>
      <c r="C43" s="590"/>
      <c r="D43" s="591"/>
      <c r="E43" s="592"/>
      <c r="F43" s="592"/>
      <c r="G43" s="592"/>
    </row>
    <row r="44" spans="1:10" ht="13.8">
      <c r="A44" s="590"/>
      <c r="B44" s="591"/>
      <c r="C44" s="590"/>
      <c r="D44" s="591"/>
      <c r="E44" s="592"/>
      <c r="F44" s="592"/>
      <c r="G44" s="592"/>
    </row>
    <row r="45" spans="1:10" ht="13.8">
      <c r="A45" s="590"/>
      <c r="B45" s="591"/>
      <c r="C45" s="590"/>
      <c r="D45" s="591"/>
      <c r="E45" s="592"/>
      <c r="F45" s="592"/>
      <c r="G45" s="592"/>
    </row>
  </sheetData>
  <sheetProtection algorithmName="SHA-512" hashValue="HXkeMrHeoSxmN2RbVSqpGu9H0vbmsBOREFsT/cQGZJRPVkuZ9u03H6QMFr06mla6+N/YdQJWbrXgdJ1OgJ5WKQ==" saltValue="Gs2kvXx4MQ7zGoe5Tm3STg==" spinCount="100000" sheet="1" objects="1" scenarios="1" autoFilter="0"/>
  <mergeCells count="3">
    <mergeCell ref="G4:J4"/>
    <mergeCell ref="A1:E1"/>
    <mergeCell ref="A2:E2"/>
  </mergeCells>
  <printOptions horizontalCentered="1"/>
  <pageMargins left="0.5" right="0.25" top="0.5" bottom="0.25" header="0.5" footer="0.25"/>
  <pageSetup scale="94" orientation="portrait" r:id="rId1"/>
  <headerFooter alignWithMargins="0"/>
  <ignoredErrors>
    <ignoredError sqref="C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252"/>
  <sheetViews>
    <sheetView showGridLines="0" zoomScaleNormal="100" workbookViewId="0">
      <pane xSplit="2" ySplit="4" topLeftCell="C5" activePane="bottomRight" state="frozenSplit"/>
      <selection pane="topRight" activeCell="K24" sqref="K24"/>
      <selection pane="bottomLeft" activeCell="K24" sqref="K24"/>
      <selection pane="bottomRight" activeCell="O24" sqref="O24"/>
    </sheetView>
  </sheetViews>
  <sheetFormatPr defaultColWidth="9.28515625" defaultRowHeight="13.8"/>
  <cols>
    <col min="1" max="1" width="9.140625" style="375" customWidth="1"/>
    <col min="2" max="2" width="58.140625" style="34" customWidth="1"/>
    <col min="3" max="3" width="2.85546875" style="35" customWidth="1"/>
    <col min="4" max="4" width="17.42578125" style="34" customWidth="1"/>
    <col min="5" max="5" width="14.85546875" style="36" customWidth="1"/>
    <col min="6" max="6" width="30.140625" style="36" customWidth="1"/>
    <col min="7" max="7" width="4.140625" style="36" customWidth="1"/>
    <col min="8" max="8" width="19.42578125" style="36" customWidth="1"/>
    <col min="9" max="9" width="4.140625" style="36" customWidth="1"/>
    <col min="10" max="10" width="12.42578125" style="36" bestFit="1" customWidth="1"/>
    <col min="11" max="11" width="47.7109375" style="36" bestFit="1" customWidth="1"/>
    <col min="12" max="12" width="16.42578125" style="749" customWidth="1"/>
    <col min="13" max="13" width="9.28515625" style="750"/>
    <col min="14" max="14" width="9.28515625" style="36"/>
    <col min="15" max="15" width="18" style="36" customWidth="1"/>
    <col min="16" max="16" width="11.85546875" style="36" bestFit="1" customWidth="1"/>
    <col min="17" max="17" width="9.28515625" style="36"/>
    <col min="18" max="18" width="12.42578125" style="36" bestFit="1" customWidth="1"/>
    <col min="19" max="16384" width="9.28515625" style="36"/>
  </cols>
  <sheetData>
    <row r="1" spans="1:17" ht="17.399999999999999" customHeight="1">
      <c r="A1" s="374"/>
      <c r="B1" s="81"/>
      <c r="C1" s="335"/>
      <c r="D1" s="81"/>
      <c r="O1" s="761" t="s">
        <v>166</v>
      </c>
      <c r="P1" s="760" t="s">
        <v>167</v>
      </c>
      <c r="Q1" s="751"/>
    </row>
    <row r="2" spans="1:17" ht="14.4">
      <c r="A2" s="378" t="s">
        <v>168</v>
      </c>
      <c r="B2" s="158" t="str">
        <f>Index!D10</f>
        <v>C0</v>
      </c>
      <c r="C2" s="335"/>
      <c r="D2" s="336"/>
      <c r="E2" s="337" t="s">
        <v>169</v>
      </c>
      <c r="F2" s="550">
        <f>+Index!D11</f>
        <v>0</v>
      </c>
      <c r="G2" s="81"/>
      <c r="O2" s="761" t="s">
        <v>170</v>
      </c>
      <c r="P2" s="760" t="str">
        <f>College_Number</f>
        <v>C0</v>
      </c>
      <c r="Q2" s="751" t="s">
        <v>171</v>
      </c>
    </row>
    <row r="3" spans="1:17">
      <c r="A3" s="378" t="s">
        <v>172</v>
      </c>
      <c r="B3" s="158" t="str">
        <f>IF(ISNA(MATCH('ExhA&amp;B'!$B$2,EquityDataRow,0)),"College Name",INDEX(EquityData,MATCH('ExhA&amp;B'!$B$2,EquityDataRow,0),2))</f>
        <v>Alamance Community College</v>
      </c>
      <c r="C3" s="335"/>
      <c r="D3" s="37"/>
      <c r="E3" s="337" t="s">
        <v>173</v>
      </c>
      <c r="F3" s="551">
        <f>+Index!D12</f>
        <v>0</v>
      </c>
      <c r="G3" s="354"/>
    </row>
    <row r="4" spans="1:17" ht="12" customHeight="1">
      <c r="A4" s="378" t="s">
        <v>174</v>
      </c>
      <c r="B4" s="62">
        <f>+Index!$A$118</f>
        <v>45107</v>
      </c>
      <c r="C4" s="327"/>
      <c r="D4" s="37"/>
      <c r="E4" s="338" t="s">
        <v>9</v>
      </c>
      <c r="F4" s="551">
        <f>+Index!D13</f>
        <v>0</v>
      </c>
      <c r="G4" s="354"/>
    </row>
    <row r="5" spans="1:17" ht="16.95" customHeight="1">
      <c r="A5" s="374"/>
      <c r="B5" s="444"/>
      <c r="C5" s="327"/>
      <c r="D5" s="37"/>
    </row>
    <row r="6" spans="1:17" ht="12.75" customHeight="1">
      <c r="A6" s="374"/>
      <c r="B6" s="38" t="s">
        <v>175</v>
      </c>
      <c r="C6" s="327"/>
      <c r="D6" s="37"/>
      <c r="E6" s="32"/>
      <c r="G6" s="355"/>
      <c r="H6" s="356" t="s">
        <v>176</v>
      </c>
      <c r="I6" s="355"/>
    </row>
    <row r="7" spans="1:17" ht="12" customHeight="1">
      <c r="B7" s="39" t="s">
        <v>177</v>
      </c>
      <c r="C7" s="335"/>
      <c r="D7" s="81"/>
      <c r="E7" s="183"/>
      <c r="H7" s="443">
        <f>+Index!$A$120</f>
        <v>44742</v>
      </c>
    </row>
    <row r="8" spans="1:17" s="40" customFormat="1" ht="12" customHeight="1">
      <c r="A8" s="376"/>
      <c r="B8" s="39" t="s">
        <v>178</v>
      </c>
      <c r="C8" s="340"/>
      <c r="D8" s="82"/>
      <c r="E8" s="184"/>
      <c r="H8" s="340"/>
      <c r="L8" s="749"/>
      <c r="M8" s="752"/>
    </row>
    <row r="9" spans="1:17" ht="12" customHeight="1">
      <c r="A9" s="377">
        <v>1000</v>
      </c>
      <c r="B9" s="43" t="s">
        <v>179</v>
      </c>
      <c r="C9" s="340"/>
      <c r="D9" s="83">
        <v>0</v>
      </c>
      <c r="E9" s="164" t="str">
        <f>IF(D9&lt;0,"Problem: Cash should not be negative"," ")</f>
        <v xml:space="preserve"> </v>
      </c>
      <c r="H9" s="12">
        <f>HLOOKUP($B$2,'2022PKG'!$1:$145,9,FALSE)</f>
        <v>1868430.28</v>
      </c>
      <c r="L9" s="753">
        <v>11111000</v>
      </c>
    </row>
    <row r="10" spans="1:17" ht="12" customHeight="1">
      <c r="A10" s="377">
        <v>1020</v>
      </c>
      <c r="B10" s="43" t="s">
        <v>180</v>
      </c>
      <c r="C10" s="340"/>
      <c r="D10" s="84">
        <v>0</v>
      </c>
      <c r="E10" s="164" t="str">
        <f>IF(D10&lt;0,"Problem: Cash should not be negative"," ")</f>
        <v xml:space="preserve"> </v>
      </c>
      <c r="H10" s="12">
        <f>HLOOKUP($B$2,'2022PKG'!$1:$145,10,FALSE)</f>
        <v>5005564.17</v>
      </c>
      <c r="L10" s="753" t="s">
        <v>181</v>
      </c>
    </row>
    <row r="11" spans="1:17" ht="12" customHeight="1">
      <c r="A11" s="377">
        <v>1050</v>
      </c>
      <c r="B11" s="43" t="s">
        <v>182</v>
      </c>
      <c r="C11" s="335"/>
      <c r="D11" s="84">
        <v>0</v>
      </c>
      <c r="H11" s="84">
        <f>HLOOKUP($B$2,'2022PKG'!$1:$145,11,FALSE)</f>
        <v>0</v>
      </c>
      <c r="L11" s="753">
        <v>11210100</v>
      </c>
    </row>
    <row r="12" spans="1:17" ht="12" customHeight="1">
      <c r="A12" s="377">
        <v>1070</v>
      </c>
      <c r="B12" s="43" t="s">
        <v>183</v>
      </c>
      <c r="C12" s="335"/>
      <c r="D12" s="84">
        <v>0</v>
      </c>
      <c r="H12" s="12">
        <f>HLOOKUP($B$2,'2022PKG'!$1:$145,12,FALSE)</f>
        <v>0</v>
      </c>
      <c r="L12" s="753">
        <v>11212500</v>
      </c>
    </row>
    <row r="13" spans="1:17" ht="12" customHeight="1">
      <c r="A13" s="377">
        <v>1110</v>
      </c>
      <c r="B13" s="43" t="s">
        <v>184</v>
      </c>
      <c r="C13" s="335"/>
      <c r="D13" s="84">
        <v>0</v>
      </c>
      <c r="H13" s="12">
        <f>HLOOKUP($B$2,'2022PKG'!$1:$145,14,FALSE)</f>
        <v>1175742.1399999999</v>
      </c>
      <c r="L13" s="753">
        <v>11320000</v>
      </c>
    </row>
    <row r="14" spans="1:17" ht="12" customHeight="1">
      <c r="A14" s="377">
        <v>1200</v>
      </c>
      <c r="B14" s="43" t="s">
        <v>185</v>
      </c>
      <c r="C14" s="335"/>
      <c r="D14" s="84">
        <v>0</v>
      </c>
      <c r="E14" s="164" t="str">
        <f>IF(AND(D14&gt;=1,D14&lt;1000000),"Problem: Under $1 million threshold - reclassify to A/R"," ")</f>
        <v xml:space="preserve"> </v>
      </c>
      <c r="H14" s="12">
        <f>HLOOKUP($B$2,'2022PKG'!$1:$145,15,FALSE)</f>
        <v>0</v>
      </c>
      <c r="L14" s="753">
        <v>11460000</v>
      </c>
    </row>
    <row r="15" spans="1:17" ht="12" customHeight="1">
      <c r="A15" s="377">
        <v>1190</v>
      </c>
      <c r="B15" s="43" t="s">
        <v>186</v>
      </c>
      <c r="C15" s="335"/>
      <c r="D15" s="800">
        <f>'525'!E21</f>
        <v>0</v>
      </c>
      <c r="E15" s="189" t="str">
        <f>IF(D15='525'!E21," ","Problem: Must agree to Sched of Due from State of NC Comp Unit, w/s 525 total")</f>
        <v xml:space="preserve"> </v>
      </c>
      <c r="H15" s="12">
        <f>HLOOKUP($B$2,'2022PKG'!$1:$145,16,FALSE)</f>
        <v>0</v>
      </c>
      <c r="L15" s="753">
        <v>11470000</v>
      </c>
    </row>
    <row r="16" spans="1:17" ht="12" customHeight="1">
      <c r="A16" s="377">
        <v>1195</v>
      </c>
      <c r="B16" s="43" t="s">
        <v>187</v>
      </c>
      <c r="C16" s="335"/>
      <c r="D16" s="800">
        <f>'616'!D27</f>
        <v>0</v>
      </c>
      <c r="E16" s="189" t="str">
        <f>IF(D16='616'!D27," ","Problem: Must agree to Sched of Due from College Comp Unit,w/s 615 total")</f>
        <v xml:space="preserve"> </v>
      </c>
      <c r="H16" s="12">
        <f>HLOOKUP($B$2,'2022PKG'!$1:$145,17,FALSE)</f>
        <v>0</v>
      </c>
      <c r="L16" s="753">
        <v>11480000</v>
      </c>
    </row>
    <row r="17" spans="1:12" ht="12" customHeight="1">
      <c r="A17" s="377">
        <v>1220</v>
      </c>
      <c r="B17" s="43" t="s">
        <v>188</v>
      </c>
      <c r="C17" s="335"/>
      <c r="D17" s="84">
        <v>0</v>
      </c>
      <c r="H17" s="12">
        <f>HLOOKUP($B$2,'2022PKG'!$1:$145,18,FALSE)</f>
        <v>343662.79</v>
      </c>
      <c r="L17" s="753">
        <v>11611000</v>
      </c>
    </row>
    <row r="18" spans="1:12" ht="12" customHeight="1">
      <c r="A18" s="377">
        <v>1230</v>
      </c>
      <c r="B18" s="43" t="s">
        <v>189</v>
      </c>
      <c r="C18" s="335"/>
      <c r="D18" s="84">
        <v>0</v>
      </c>
      <c r="H18" s="12">
        <f>HLOOKUP($B$2,'2022PKG'!$1:$145,19,FALSE)</f>
        <v>0</v>
      </c>
      <c r="L18" s="753">
        <v>11910000</v>
      </c>
    </row>
    <row r="19" spans="1:12" ht="12" customHeight="1">
      <c r="A19" s="377">
        <v>1210</v>
      </c>
      <c r="B19" s="43" t="s">
        <v>190</v>
      </c>
      <c r="C19" s="335"/>
      <c r="D19" s="84">
        <v>0</v>
      </c>
      <c r="H19" s="12">
        <f>HLOOKUP($B$2,'2022PKG'!$1:$145,20,FALSE)</f>
        <v>0</v>
      </c>
      <c r="L19" s="753">
        <v>11510000</v>
      </c>
    </row>
    <row r="20" spans="1:12" ht="12" customHeight="1">
      <c r="A20" s="377">
        <v>1211</v>
      </c>
      <c r="B20" s="43" t="s">
        <v>191</v>
      </c>
      <c r="C20" s="335"/>
      <c r="D20" s="84">
        <v>0</v>
      </c>
      <c r="E20" s="783" t="s">
        <v>146</v>
      </c>
      <c r="H20" s="12">
        <f>HLOOKUP($B$2,'2022PKG'!$1:$145,21,FALSE)</f>
        <v>0</v>
      </c>
      <c r="L20" s="753">
        <v>11530000</v>
      </c>
    </row>
    <row r="21" spans="1:12" ht="12" customHeight="1">
      <c r="A21" s="377">
        <v>1215</v>
      </c>
      <c r="B21" s="961" t="s">
        <v>192</v>
      </c>
      <c r="C21" s="335"/>
      <c r="D21" s="84">
        <v>0</v>
      </c>
      <c r="E21" s="783" t="s">
        <v>193</v>
      </c>
      <c r="H21" s="12">
        <v>0</v>
      </c>
      <c r="L21" s="753">
        <v>11540000</v>
      </c>
    </row>
    <row r="22" spans="1:12" ht="12" customHeight="1">
      <c r="A22" s="377">
        <v>1234</v>
      </c>
      <c r="B22" s="43" t="s">
        <v>194</v>
      </c>
      <c r="C22" s="335"/>
      <c r="D22" s="84">
        <v>0</v>
      </c>
      <c r="H22" s="12">
        <f>HLOOKUP($B$2,'2022PKG'!$1:$145,22,FALSE)</f>
        <v>0</v>
      </c>
      <c r="L22" s="753">
        <v>61100002</v>
      </c>
    </row>
    <row r="23" spans="1:12" ht="12" customHeight="1">
      <c r="A23" s="377">
        <v>1233</v>
      </c>
      <c r="B23" s="43" t="s">
        <v>195</v>
      </c>
      <c r="C23" s="335"/>
      <c r="D23" s="84">
        <v>0</v>
      </c>
      <c r="H23" s="12">
        <f>HLOOKUP($B$2,'2022PKG'!$1:$145,23,FALSE)</f>
        <v>0</v>
      </c>
      <c r="L23" s="753">
        <v>11978000</v>
      </c>
    </row>
    <row r="24" spans="1:12" ht="12" customHeight="1">
      <c r="A24" s="377"/>
      <c r="B24" s="43" t="s">
        <v>196</v>
      </c>
      <c r="C24" s="335"/>
      <c r="D24" s="85">
        <f>SUM(D9:D23)</f>
        <v>0</v>
      </c>
      <c r="H24" s="85">
        <f>SUM(H9:H23)</f>
        <v>8393399.3800000008</v>
      </c>
    </row>
    <row r="25" spans="1:12" ht="12" customHeight="1">
      <c r="A25" s="377"/>
      <c r="B25" s="43"/>
      <c r="C25" s="335"/>
      <c r="D25" s="86"/>
    </row>
    <row r="26" spans="1:12" ht="12" customHeight="1">
      <c r="A26" s="377"/>
      <c r="B26" s="39" t="s">
        <v>197</v>
      </c>
      <c r="C26" s="335"/>
      <c r="D26" s="86"/>
    </row>
    <row r="27" spans="1:12" ht="12" customHeight="1">
      <c r="A27" s="377">
        <v>1270</v>
      </c>
      <c r="B27" s="43" t="s">
        <v>180</v>
      </c>
      <c r="C27" s="335"/>
      <c r="D27" s="163">
        <v>0</v>
      </c>
      <c r="E27" s="164" t="str">
        <f>IF(D27&lt;0,"Problem: Cash should not be negative"," ")</f>
        <v xml:space="preserve"> </v>
      </c>
      <c r="H27" s="12">
        <f>HLOOKUP($B$2,'2022PKG'!$1:$145,27,FALSE)</f>
        <v>0</v>
      </c>
      <c r="L27" s="753">
        <v>12111000</v>
      </c>
    </row>
    <row r="28" spans="1:12" ht="12" customHeight="1">
      <c r="A28" s="377">
        <v>1340</v>
      </c>
      <c r="B28" s="43" t="s">
        <v>184</v>
      </c>
      <c r="C28" s="335"/>
      <c r="D28" s="84">
        <v>0</v>
      </c>
      <c r="H28" s="12">
        <f>HLOOKUP($B$2,'2022PKG'!$1:$145,28,FALSE)</f>
        <v>0</v>
      </c>
      <c r="L28" s="753">
        <v>12320000</v>
      </c>
    </row>
    <row r="29" spans="1:12" ht="12" customHeight="1">
      <c r="A29" s="377">
        <v>1390</v>
      </c>
      <c r="B29" s="43" t="s">
        <v>198</v>
      </c>
      <c r="C29" s="335"/>
      <c r="D29" s="358">
        <f>IF(ISNA(MATCH('ExhA&amp;B'!$B$2,DF_PGRow,0)),0,INDEX(DF_PGData,MATCH('ExhA&amp;B'!$B$2,DF_PGRow,0),3))</f>
        <v>0</v>
      </c>
      <c r="H29" s="12">
        <f>HLOOKUP($B$2,'2022PKG'!$1:$145,29,FALSE)</f>
        <v>0</v>
      </c>
      <c r="L29" s="753">
        <v>12410000</v>
      </c>
    </row>
    <row r="30" spans="1:12" ht="12" customHeight="1">
      <c r="A30" s="377">
        <v>1395</v>
      </c>
      <c r="B30" s="43" t="s">
        <v>199</v>
      </c>
      <c r="C30" s="335"/>
      <c r="D30" s="800">
        <f>'525'!E30</f>
        <v>0</v>
      </c>
      <c r="E30" s="189" t="str">
        <f>IF(D30='525'!E30," ","Problem: Must agree to Sched of Restr Due Frm  State of NC Comp Unit, w/s 525 total")</f>
        <v xml:space="preserve"> </v>
      </c>
      <c r="H30" s="12">
        <f>HLOOKUP($B$2,'2022PKG'!$1:$145,30,FALSE)</f>
        <v>0</v>
      </c>
      <c r="L30" s="753">
        <v>12420000</v>
      </c>
    </row>
    <row r="31" spans="1:12" ht="12" customHeight="1">
      <c r="A31" s="377">
        <v>1410</v>
      </c>
      <c r="B31" s="43" t="s">
        <v>200</v>
      </c>
      <c r="C31" s="335"/>
      <c r="D31" s="84">
        <v>0</v>
      </c>
      <c r="H31" s="12">
        <f>HLOOKUP($B$2,'2022PKG'!$1:$145,31,FALSE)</f>
        <v>0</v>
      </c>
      <c r="L31" s="753">
        <v>12212500</v>
      </c>
    </row>
    <row r="32" spans="1:12" ht="12" customHeight="1">
      <c r="A32" s="377">
        <v>1300</v>
      </c>
      <c r="B32" s="43" t="s">
        <v>201</v>
      </c>
      <c r="C32" s="335"/>
      <c r="D32" s="84">
        <v>0</v>
      </c>
      <c r="H32" s="12">
        <f>HLOOKUP($B$2,'2022PKG'!$1:$145,32,FALSE)</f>
        <v>0</v>
      </c>
      <c r="L32" s="753">
        <v>12210100</v>
      </c>
    </row>
    <row r="33" spans="1:12" ht="12" customHeight="1">
      <c r="A33" s="377">
        <v>1400</v>
      </c>
      <c r="B33" s="43" t="s">
        <v>190</v>
      </c>
      <c r="C33" s="335"/>
      <c r="D33" s="84">
        <v>0</v>
      </c>
      <c r="H33" s="12">
        <f>HLOOKUP($B$2,'2022PKG'!$1:$145,33,FALSE)</f>
        <v>0</v>
      </c>
      <c r="L33" s="753">
        <v>12510000</v>
      </c>
    </row>
    <row r="34" spans="1:12" ht="12" customHeight="1">
      <c r="A34" s="377">
        <v>1405</v>
      </c>
      <c r="B34" s="43" t="s">
        <v>191</v>
      </c>
      <c r="C34" s="335"/>
      <c r="D34" s="84">
        <v>0</v>
      </c>
      <c r="E34" s="783" t="s">
        <v>146</v>
      </c>
      <c r="H34" s="12">
        <f>HLOOKUP($B$2,'2022PKG'!$1:$145,34,FALSE)</f>
        <v>0</v>
      </c>
      <c r="L34" s="753">
        <v>12530000</v>
      </c>
    </row>
    <row r="35" spans="1:12" ht="12" customHeight="1">
      <c r="A35" s="377">
        <v>1410</v>
      </c>
      <c r="B35" s="961" t="s">
        <v>192</v>
      </c>
      <c r="C35" s="335"/>
      <c r="D35" s="84">
        <v>0</v>
      </c>
      <c r="E35" s="783" t="s">
        <v>193</v>
      </c>
      <c r="H35" s="12">
        <v>0</v>
      </c>
      <c r="L35" s="753">
        <v>12540000</v>
      </c>
    </row>
    <row r="36" spans="1:12" ht="12" customHeight="1">
      <c r="A36" s="377">
        <v>1434</v>
      </c>
      <c r="B36" s="43" t="s">
        <v>194</v>
      </c>
      <c r="C36" s="335"/>
      <c r="D36" s="84">
        <v>0</v>
      </c>
      <c r="H36" s="12">
        <f>HLOOKUP($B$2,'2022PKG'!$1:$145,35,FALSE)</f>
        <v>0</v>
      </c>
      <c r="L36" s="753">
        <v>12491000</v>
      </c>
    </row>
    <row r="37" spans="1:12" ht="12" customHeight="1">
      <c r="A37" s="377">
        <v>1433</v>
      </c>
      <c r="B37" s="43" t="s">
        <v>195</v>
      </c>
      <c r="C37" s="335"/>
      <c r="D37" s="358">
        <f>VLOOKUP(College_Number,'Pension_OPEB EndBal'!A3:I63,7,)</f>
        <v>21106</v>
      </c>
      <c r="H37" s="12">
        <f>HLOOKUP($B$2,'2022PKG'!$1:$145,36,FALSE)</f>
        <v>11627</v>
      </c>
      <c r="L37" s="753">
        <v>12978000</v>
      </c>
    </row>
    <row r="38" spans="1:12" ht="12" customHeight="1">
      <c r="A38" s="377">
        <v>1470</v>
      </c>
      <c r="B38" s="43" t="s">
        <v>202</v>
      </c>
      <c r="C38" s="335"/>
      <c r="D38" s="358">
        <f>'Capital Assets'!Q24</f>
        <v>20942769.91</v>
      </c>
      <c r="F38" s="185"/>
      <c r="G38" s="185"/>
      <c r="H38" s="12">
        <f>HLOOKUP($B$2,'2022PKG'!$1:$145,37,FALSE)</f>
        <v>20942769.91</v>
      </c>
      <c r="L38" s="753"/>
    </row>
    <row r="39" spans="1:12" ht="12" customHeight="1">
      <c r="A39" s="377">
        <v>1510</v>
      </c>
      <c r="B39" s="43" t="s">
        <v>203</v>
      </c>
      <c r="C39" s="335"/>
      <c r="D39" s="358">
        <f>'Capital Assets'!Q57</f>
        <v>47305098.560000002</v>
      </c>
      <c r="E39" s="19"/>
      <c r="F39" s="341"/>
      <c r="G39" s="341"/>
      <c r="H39" s="12">
        <f>HLOOKUP($B$2,'2022PKG'!$1:$145,38,FALSE)</f>
        <v>47305098.560000002</v>
      </c>
      <c r="L39" s="753"/>
    </row>
    <row r="40" spans="1:12" ht="12" customHeight="1">
      <c r="A40" s="377"/>
      <c r="B40" s="43" t="s">
        <v>204</v>
      </c>
      <c r="C40" s="335"/>
      <c r="D40" s="85">
        <f>SUM(D27:D39)</f>
        <v>68268974.469999999</v>
      </c>
      <c r="F40" s="185"/>
      <c r="G40" s="185"/>
      <c r="H40" s="469">
        <f>SUM(H27:H39)</f>
        <v>68259495.469999999</v>
      </c>
      <c r="L40" s="36"/>
    </row>
    <row r="41" spans="1:12" ht="12" customHeight="1">
      <c r="A41" s="377"/>
      <c r="B41" s="43" t="s">
        <v>205</v>
      </c>
      <c r="C41" s="335"/>
      <c r="D41" s="85">
        <f>D24+D40</f>
        <v>68268974.469999999</v>
      </c>
      <c r="H41" s="821">
        <f>H24+H40</f>
        <v>76652894.849999994</v>
      </c>
    </row>
    <row r="42" spans="1:12" ht="12" customHeight="1">
      <c r="A42" s="377"/>
      <c r="B42" s="43"/>
      <c r="C42" s="335"/>
      <c r="D42" s="91"/>
    </row>
    <row r="43" spans="1:12" ht="12" customHeight="1">
      <c r="A43" s="377"/>
      <c r="B43" s="39" t="s">
        <v>206</v>
      </c>
      <c r="C43" s="335"/>
      <c r="D43" s="91"/>
    </row>
    <row r="44" spans="1:12" ht="12" customHeight="1">
      <c r="A44" s="377">
        <v>1242</v>
      </c>
      <c r="B44" s="43" t="s">
        <v>207</v>
      </c>
      <c r="C44" s="335"/>
      <c r="D44" s="84">
        <v>0</v>
      </c>
      <c r="H44" s="12">
        <f>HLOOKUP($B$2,'2022PKG'!$1:$145,43,FALSE)</f>
        <v>0</v>
      </c>
      <c r="L44" s="753">
        <v>61100007</v>
      </c>
    </row>
    <row r="45" spans="1:12" ht="12" customHeight="1">
      <c r="A45" s="377">
        <v>1237</v>
      </c>
      <c r="B45" s="43" t="s">
        <v>208</v>
      </c>
      <c r="C45" s="335"/>
      <c r="D45" s="84">
        <v>0</v>
      </c>
      <c r="H45" s="12">
        <f>HLOOKUP($B$2,'2022PKG'!$1:$145,44,FALSE)</f>
        <v>4031638</v>
      </c>
      <c r="L45" s="753">
        <v>61100008</v>
      </c>
    </row>
    <row r="46" spans="1:12" ht="12" customHeight="1">
      <c r="A46" s="377">
        <v>1240</v>
      </c>
      <c r="B46" s="43" t="s">
        <v>209</v>
      </c>
      <c r="C46" s="335"/>
      <c r="D46" s="84">
        <v>0</v>
      </c>
      <c r="H46" s="12">
        <f>HLOOKUP($B$2,'2022PKG'!$1:$145,45,FALSE)</f>
        <v>3988050</v>
      </c>
      <c r="L46" s="753">
        <v>61100009</v>
      </c>
    </row>
    <row r="47" spans="1:12" ht="12" customHeight="1">
      <c r="A47" s="377">
        <v>1239</v>
      </c>
      <c r="B47" s="43" t="s">
        <v>210</v>
      </c>
      <c r="C47" s="335"/>
      <c r="D47" s="84">
        <v>0</v>
      </c>
      <c r="E47" s="988">
        <f>IF((D47)&gt;0, "Contact OSC", 0)</f>
        <v>0</v>
      </c>
      <c r="H47" s="12">
        <f>HLOOKUP($B$2,'2022PKG'!$1:$145,46,FALSE)</f>
        <v>0</v>
      </c>
      <c r="L47" s="753">
        <v>61100004</v>
      </c>
    </row>
    <row r="48" spans="1:12" ht="12" customHeight="1">
      <c r="A48" s="377"/>
      <c r="B48" s="43" t="s">
        <v>211</v>
      </c>
      <c r="C48" s="335"/>
      <c r="D48" s="85">
        <f>SUM(D44:D47)</f>
        <v>0</v>
      </c>
      <c r="H48" s="85">
        <f>SUM(H44:H47)</f>
        <v>8019688</v>
      </c>
    </row>
    <row r="49" spans="1:12" ht="12" customHeight="1">
      <c r="A49" s="377"/>
      <c r="B49" s="43"/>
      <c r="C49" s="335"/>
      <c r="D49" s="91"/>
    </row>
    <row r="50" spans="1:12" ht="12" customHeight="1">
      <c r="A50" s="377"/>
      <c r="B50" s="39" t="s">
        <v>212</v>
      </c>
      <c r="C50" s="335"/>
      <c r="D50" s="86"/>
    </row>
    <row r="51" spans="1:12" ht="12" customHeight="1">
      <c r="A51" s="377"/>
      <c r="B51" s="41" t="s">
        <v>213</v>
      </c>
      <c r="C51" s="335"/>
      <c r="D51" s="86"/>
    </row>
    <row r="52" spans="1:12" ht="12" customHeight="1">
      <c r="A52" s="377">
        <v>1640</v>
      </c>
      <c r="B52" s="43" t="s">
        <v>214</v>
      </c>
      <c r="C52" s="335"/>
      <c r="D52" s="84">
        <v>0</v>
      </c>
      <c r="H52" s="12">
        <f>HLOOKUP($B$2,'2022PKG'!$1:$145,51,FALSE)</f>
        <v>3437286.48</v>
      </c>
      <c r="L52" s="753">
        <v>21110000</v>
      </c>
    </row>
    <row r="53" spans="1:12" ht="12" customHeight="1">
      <c r="A53" s="377">
        <v>1740</v>
      </c>
      <c r="B53" s="43" t="s">
        <v>215</v>
      </c>
      <c r="C53" s="335"/>
      <c r="D53" s="799">
        <f>'520'!E30</f>
        <v>0</v>
      </c>
      <c r="E53" s="189" t="str">
        <f>IF(D53='520'!E30," ","Problem: Must agree to Sched of Due to Primary Gov, worksheet 520 total")</f>
        <v xml:space="preserve"> </v>
      </c>
      <c r="H53" s="12">
        <f>HLOOKUP($B$2,'2022PKG'!$1:$145,52,FALSE)</f>
        <v>0</v>
      </c>
      <c r="L53" s="753">
        <v>21250000</v>
      </c>
    </row>
    <row r="54" spans="1:12" ht="12" customHeight="1">
      <c r="A54" s="377">
        <v>1730</v>
      </c>
      <c r="B54" s="43" t="s">
        <v>216</v>
      </c>
      <c r="C54" s="335"/>
      <c r="D54" s="799">
        <f>'530'!E29</f>
        <v>0</v>
      </c>
      <c r="E54" s="164" t="str">
        <f>IF(AND(D54&gt;=1,D54&lt;1000000),"Problem: Under $1 million threshold - reclassify to A/P"," ")</f>
        <v xml:space="preserve"> </v>
      </c>
      <c r="F54" s="164"/>
      <c r="G54" s="164"/>
      <c r="H54" s="12">
        <f>HLOOKUP($B$2,'2022PKG'!$1:$145,53,FALSE)</f>
        <v>0</v>
      </c>
      <c r="L54" s="753">
        <v>21260000</v>
      </c>
    </row>
    <row r="55" spans="1:12" ht="12" customHeight="1">
      <c r="A55" s="377">
        <v>1760</v>
      </c>
      <c r="B55" s="43" t="s">
        <v>217</v>
      </c>
      <c r="C55" s="335"/>
      <c r="D55" s="359"/>
      <c r="E55" s="164"/>
      <c r="F55" s="164"/>
      <c r="G55" s="164"/>
      <c r="H55" s="12">
        <f>HLOOKUP($B$2,'2022PKG'!$1:$145,54,FALSE)</f>
        <v>0</v>
      </c>
      <c r="L55" s="753"/>
    </row>
    <row r="56" spans="1:12" ht="12" customHeight="1">
      <c r="A56" s="377">
        <v>1890</v>
      </c>
      <c r="B56" s="43" t="s">
        <v>218</v>
      </c>
      <c r="C56" s="335"/>
      <c r="D56" s="84">
        <v>0</v>
      </c>
      <c r="H56" s="12">
        <f>HLOOKUP($B$2,'2022PKG'!$1:$145,55,FALSE)</f>
        <v>282371.31</v>
      </c>
      <c r="L56" s="753">
        <v>21811000</v>
      </c>
    </row>
    <row r="57" spans="1:12" ht="12" customHeight="1">
      <c r="A57" s="377">
        <v>1880</v>
      </c>
      <c r="B57" s="43" t="s">
        <v>219</v>
      </c>
      <c r="C57" s="335"/>
      <c r="D57" s="84">
        <v>0</v>
      </c>
      <c r="H57" s="12">
        <f>HLOOKUP($B$2,'2022PKG'!$1:$145,56,FALSE)</f>
        <v>356712.9</v>
      </c>
      <c r="L57" s="753">
        <v>21719000</v>
      </c>
    </row>
    <row r="58" spans="1:12" ht="12" customHeight="1">
      <c r="A58" s="377">
        <v>1895</v>
      </c>
      <c r="B58" s="43" t="s">
        <v>220</v>
      </c>
      <c r="C58" s="335"/>
      <c r="D58" s="358">
        <f>'Long-Term Liabilities'!Q26</f>
        <v>682171.27</v>
      </c>
      <c r="E58" s="19"/>
      <c r="H58" s="12">
        <f>HLOOKUP($B$2,'2022PKG'!$1:$145,57,FALSE)</f>
        <v>164290.47</v>
      </c>
    </row>
    <row r="59" spans="1:12" ht="12" customHeight="1">
      <c r="A59" s="377"/>
      <c r="B59" s="43" t="s">
        <v>221</v>
      </c>
      <c r="C59" s="335"/>
      <c r="D59" s="87">
        <f>SUM(D52:D58)</f>
        <v>682171.27</v>
      </c>
      <c r="H59" s="357">
        <f>SUM(H52:H58)</f>
        <v>4240661.16</v>
      </c>
    </row>
    <row r="60" spans="1:12" ht="12" customHeight="1">
      <c r="A60" s="377"/>
      <c r="B60" s="43"/>
      <c r="C60" s="335"/>
      <c r="D60" s="822"/>
    </row>
    <row r="61" spans="1:12" ht="12" customHeight="1">
      <c r="A61" s="377"/>
      <c r="B61" s="41" t="s">
        <v>222</v>
      </c>
      <c r="C61" s="335"/>
      <c r="D61" s="86"/>
    </row>
    <row r="62" spans="1:12" ht="12" customHeight="1">
      <c r="A62" s="377">
        <v>2080</v>
      </c>
      <c r="B62" s="43" t="s">
        <v>219</v>
      </c>
      <c r="C62" s="335"/>
      <c r="D62" s="88">
        <v>0</v>
      </c>
      <c r="H62" s="12">
        <f>HLOOKUP($B$2,'2022PKG'!$1:$145,61,FALSE)</f>
        <v>0</v>
      </c>
      <c r="L62" s="753">
        <v>22719000</v>
      </c>
    </row>
    <row r="63" spans="1:12" ht="12" customHeight="1">
      <c r="A63" s="377">
        <v>1950</v>
      </c>
      <c r="B63" s="43" t="s">
        <v>223</v>
      </c>
      <c r="C63" s="335"/>
      <c r="D63" s="88">
        <v>0</v>
      </c>
      <c r="H63" s="12">
        <f>HLOOKUP($B$2,'2022PKG'!$1:$145,62,FALSE)</f>
        <v>0</v>
      </c>
      <c r="L63" s="753">
        <v>22132000</v>
      </c>
    </row>
    <row r="64" spans="1:12" ht="12" customHeight="1">
      <c r="A64" s="377">
        <v>1995</v>
      </c>
      <c r="B64" s="43" t="s">
        <v>224</v>
      </c>
      <c r="C64" s="335"/>
      <c r="D64" s="360">
        <f>'Long-Term Liabilities'!O26-'Long-Term Liabilities'!Q26</f>
        <v>28890680.32</v>
      </c>
      <c r="H64" s="12">
        <f>HLOOKUP($B$2,'2022PKG'!$1:$145,63,FALSE)</f>
        <v>25961354.120000001</v>
      </c>
    </row>
    <row r="65" spans="1:13" ht="12" customHeight="1">
      <c r="A65" s="377"/>
      <c r="B65" s="43" t="s">
        <v>225</v>
      </c>
      <c r="C65" s="335"/>
      <c r="D65" s="86">
        <f>SUM(D62:D64)</f>
        <v>28890680.32</v>
      </c>
      <c r="E65" s="19"/>
      <c r="H65" s="469">
        <f>SUM(H61:H64)</f>
        <v>25961354.120000001</v>
      </c>
    </row>
    <row r="66" spans="1:13" ht="12" customHeight="1">
      <c r="A66" s="377"/>
      <c r="B66" s="43" t="s">
        <v>226</v>
      </c>
      <c r="C66" s="335"/>
      <c r="D66" s="87">
        <f>D59+D65</f>
        <v>29572851.59</v>
      </c>
      <c r="H66" s="823">
        <f>H59+H65</f>
        <v>30202015.280000001</v>
      </c>
    </row>
    <row r="67" spans="1:13" ht="12" customHeight="1">
      <c r="A67" s="377"/>
      <c r="B67" s="43"/>
      <c r="C67" s="335"/>
      <c r="D67" s="89"/>
    </row>
    <row r="68" spans="1:13" ht="12" customHeight="1">
      <c r="A68" s="377"/>
      <c r="B68" s="39" t="s">
        <v>227</v>
      </c>
      <c r="C68" s="335"/>
      <c r="D68" s="91"/>
    </row>
    <row r="69" spans="1:13" ht="12" customHeight="1">
      <c r="A69" s="377">
        <v>2026</v>
      </c>
      <c r="B69" s="962" t="s">
        <v>228</v>
      </c>
      <c r="C69" s="335"/>
      <c r="D69" s="84">
        <v>0</v>
      </c>
      <c r="E69" s="783" t="s">
        <v>229</v>
      </c>
      <c r="H69" s="12">
        <v>0</v>
      </c>
      <c r="L69" s="753">
        <v>71100004</v>
      </c>
    </row>
    <row r="70" spans="1:13" ht="12" customHeight="1">
      <c r="A70" s="377">
        <v>1768</v>
      </c>
      <c r="B70" s="43" t="s">
        <v>230</v>
      </c>
      <c r="C70" s="335"/>
      <c r="D70" s="84">
        <v>0</v>
      </c>
      <c r="H70" s="12">
        <f>HLOOKUP($B$2,'2022PKG'!$1:$145,69,FALSE)</f>
        <v>0</v>
      </c>
      <c r="L70" s="753">
        <v>71100006</v>
      </c>
    </row>
    <row r="71" spans="1:13" ht="12" customHeight="1">
      <c r="A71" s="377">
        <v>1772</v>
      </c>
      <c r="B71" s="43" t="s">
        <v>231</v>
      </c>
      <c r="C71" s="335"/>
      <c r="D71" s="84">
        <v>0</v>
      </c>
      <c r="H71" s="12">
        <f>HLOOKUP($B$2,'2022PKG'!$1:$145,70,FALSE)</f>
        <v>0</v>
      </c>
      <c r="L71" s="753">
        <v>71100009</v>
      </c>
    </row>
    <row r="72" spans="1:13" ht="12" customHeight="1">
      <c r="A72" s="377">
        <v>1767</v>
      </c>
      <c r="B72" s="43" t="s">
        <v>232</v>
      </c>
      <c r="C72" s="335"/>
      <c r="D72" s="720">
        <f>VLOOKUP(College_Number,'Pension_OPEB EndBal'!A3:I63,4,)</f>
        <v>295327</v>
      </c>
      <c r="H72" s="12">
        <f>HLOOKUP($B$2,'2022PKG'!$1:$145,71,FALSE)</f>
        <v>5147245</v>
      </c>
      <c r="L72" s="753">
        <v>71100010</v>
      </c>
    </row>
    <row r="73" spans="1:13" ht="12" customHeight="1">
      <c r="A73" s="377">
        <v>1771</v>
      </c>
      <c r="B73" s="43" t="s">
        <v>233</v>
      </c>
      <c r="C73" s="335"/>
      <c r="D73" s="720">
        <f>VLOOKUP(College_Number,'Pension_OPEB EndBal'!A3:I63,9,)</f>
        <v>9171874</v>
      </c>
      <c r="H73" s="12">
        <f>HLOOKUP($B$2,'2022PKG'!$1:$145,72,FALSE)</f>
        <v>7824713</v>
      </c>
      <c r="L73" s="753">
        <v>71100011</v>
      </c>
    </row>
    <row r="74" spans="1:13" ht="12" customHeight="1">
      <c r="A74" s="377">
        <v>1773</v>
      </c>
      <c r="B74" s="43" t="s">
        <v>234</v>
      </c>
      <c r="C74" s="335"/>
      <c r="D74" s="84">
        <v>0</v>
      </c>
      <c r="E74" s="783" t="s">
        <v>146</v>
      </c>
      <c r="H74" s="12">
        <f>HLOOKUP($B$2,'2022PKG'!$1:$145,73,FALSE)</f>
        <v>0</v>
      </c>
      <c r="L74" s="753">
        <v>71100012</v>
      </c>
    </row>
    <row r="75" spans="1:13" ht="12" customHeight="1">
      <c r="A75" s="377">
        <v>1769</v>
      </c>
      <c r="B75" s="43" t="s">
        <v>235</v>
      </c>
      <c r="C75" s="335"/>
      <c r="D75" s="84">
        <v>0</v>
      </c>
      <c r="E75" s="988">
        <f>IF((D75)&gt;0, "Contact OSC", 0)</f>
        <v>0</v>
      </c>
      <c r="F75"/>
      <c r="H75" s="12">
        <f>HLOOKUP($B$2,'2022PKG'!$1:$145,74,FALSE)</f>
        <v>0</v>
      </c>
      <c r="L75" s="753">
        <v>71100007</v>
      </c>
    </row>
    <row r="76" spans="1:13" ht="12" customHeight="1">
      <c r="A76" s="377"/>
      <c r="B76" s="43" t="s">
        <v>236</v>
      </c>
      <c r="C76" s="335"/>
      <c r="D76" s="85">
        <f>SUM(D69:D75)</f>
        <v>9467201</v>
      </c>
      <c r="H76" s="85">
        <f>SUM(H69:H75)</f>
        <v>12971958</v>
      </c>
    </row>
    <row r="77" spans="1:13" ht="12" customHeight="1">
      <c r="A77" s="377"/>
      <c r="B77" s="43"/>
      <c r="C77" s="335"/>
      <c r="D77" s="89"/>
    </row>
    <row r="78" spans="1:13" ht="12" customHeight="1">
      <c r="A78" s="377"/>
      <c r="B78" s="39" t="s">
        <v>237</v>
      </c>
      <c r="C78" s="335"/>
      <c r="D78" s="89"/>
    </row>
    <row r="79" spans="1:13" ht="12" customHeight="1">
      <c r="A79" s="377">
        <v>2130</v>
      </c>
      <c r="B79" s="43" t="s">
        <v>238</v>
      </c>
      <c r="C79" s="335"/>
      <c r="D79" s="163">
        <v>0</v>
      </c>
      <c r="E79" s="164" t="str">
        <f>IF(D79&lt;=D38+D39," ","Problem: Must be less than or equal to total capital assets, deprec &amp; nondeprec")</f>
        <v xml:space="preserve"> </v>
      </c>
      <c r="H79" s="12">
        <f>HLOOKUP($B$2,'2022PKG'!$1:$145,78,FALSE)</f>
        <v>68050602.769999996</v>
      </c>
      <c r="L79" s="753" t="s">
        <v>239</v>
      </c>
      <c r="M79" s="750" t="s">
        <v>240</v>
      </c>
    </row>
    <row r="80" spans="1:13" ht="12" customHeight="1">
      <c r="A80" s="377"/>
      <c r="B80" s="81" t="s">
        <v>241</v>
      </c>
      <c r="C80" s="335"/>
      <c r="D80" s="86"/>
      <c r="H80" s="12"/>
      <c r="L80" s="753"/>
    </row>
    <row r="81" spans="1:13" ht="12" customHeight="1">
      <c r="A81" s="377"/>
      <c r="B81" s="81" t="s">
        <v>242</v>
      </c>
      <c r="C81" s="335"/>
      <c r="D81" s="86"/>
      <c r="H81" s="12"/>
    </row>
    <row r="82" spans="1:13" ht="12" customHeight="1">
      <c r="A82" s="377">
        <v>2141</v>
      </c>
      <c r="B82" s="342" t="s">
        <v>243</v>
      </c>
      <c r="C82" s="335"/>
      <c r="D82" s="163">
        <v>0</v>
      </c>
      <c r="E82" s="189" t="str">
        <f>IF(D82&lt;0,"Problem: Restricted net position cannot be negative - see Net Position Policy in instructions"," ")</f>
        <v xml:space="preserve"> </v>
      </c>
      <c r="H82" s="12">
        <f>HLOOKUP($B$2,'2022PKG'!$1:$145,81,FALSE)</f>
        <v>269.44</v>
      </c>
      <c r="L82" s="753" t="s">
        <v>244</v>
      </c>
      <c r="M82" s="750" t="s">
        <v>245</v>
      </c>
    </row>
    <row r="83" spans="1:13" ht="12" customHeight="1">
      <c r="A83" s="377">
        <v>2142</v>
      </c>
      <c r="B83" s="342" t="s">
        <v>246</v>
      </c>
      <c r="C83" s="335"/>
      <c r="D83" s="163">
        <v>0</v>
      </c>
      <c r="E83" s="189" t="str">
        <f>IF(D83&lt;0,"Problem: Restricted net position cannot be negative - see Net Position Policy in instructions"," ")</f>
        <v xml:space="preserve"> </v>
      </c>
      <c r="H83" s="12">
        <f>HLOOKUP($B$2,'2022PKG'!$1:$145,82,FALSE)</f>
        <v>0</v>
      </c>
      <c r="L83" s="753" t="s">
        <v>244</v>
      </c>
      <c r="M83" s="750" t="s">
        <v>247</v>
      </c>
    </row>
    <row r="84" spans="1:13" ht="12" customHeight="1">
      <c r="A84" s="377">
        <v>2143</v>
      </c>
      <c r="B84" s="342" t="s">
        <v>248</v>
      </c>
      <c r="C84" s="335"/>
      <c r="D84" s="163">
        <v>0</v>
      </c>
      <c r="E84" s="189" t="str">
        <f>IF(D84&lt;0,"Problem: Restricted net position cannot be negative - see Net Position Policy in instructions"," ")</f>
        <v xml:space="preserve"> </v>
      </c>
      <c r="H84" s="12">
        <f>HLOOKUP($B$2,'2022PKG'!$1:$145,83,FALSE)</f>
        <v>0</v>
      </c>
      <c r="L84" s="753" t="s">
        <v>244</v>
      </c>
      <c r="M84" s="750" t="s">
        <v>249</v>
      </c>
    </row>
    <row r="85" spans="1:13" ht="12" customHeight="1">
      <c r="A85" s="377"/>
      <c r="B85" s="81" t="s">
        <v>250</v>
      </c>
      <c r="C85" s="335"/>
      <c r="D85" s="86"/>
      <c r="H85" s="12"/>
      <c r="L85" s="753"/>
    </row>
    <row r="86" spans="1:13" ht="12" customHeight="1">
      <c r="A86" s="377">
        <v>2151</v>
      </c>
      <c r="B86" s="342" t="s">
        <v>243</v>
      </c>
      <c r="C86" s="335"/>
      <c r="D86" s="163">
        <v>0</v>
      </c>
      <c r="E86" s="189" t="str">
        <f>IF(D86&lt;0,"Problem: Restricted net position cannot be negative - see Net Position Policy in instructions"," ")</f>
        <v xml:space="preserve"> </v>
      </c>
      <c r="H86" s="12">
        <f>HLOOKUP($B$2,'2022PKG'!$1:$145,85,FALSE)</f>
        <v>0</v>
      </c>
      <c r="L86" s="753" t="s">
        <v>251</v>
      </c>
      <c r="M86" s="750" t="s">
        <v>245</v>
      </c>
    </row>
    <row r="87" spans="1:13" ht="12" customHeight="1">
      <c r="A87" s="377">
        <v>2152</v>
      </c>
      <c r="B87" s="342" t="s">
        <v>246</v>
      </c>
      <c r="C87" s="335"/>
      <c r="D87" s="163">
        <v>0</v>
      </c>
      <c r="E87" s="189" t="str">
        <f>IF(D87&lt;0,"Problem: Restricted net position cannot be negative - see Net Position Policy in instructions"," ")</f>
        <v xml:space="preserve"> </v>
      </c>
      <c r="H87" s="12">
        <f>HLOOKUP($B$2,'2022PKG'!$1:$145,86,FALSE)</f>
        <v>0</v>
      </c>
      <c r="L87" s="753" t="s">
        <v>251</v>
      </c>
      <c r="M87" s="750" t="s">
        <v>247</v>
      </c>
    </row>
    <row r="88" spans="1:13" ht="12" customHeight="1">
      <c r="A88" s="377">
        <v>2153</v>
      </c>
      <c r="B88" s="342" t="s">
        <v>252</v>
      </c>
      <c r="C88" s="335"/>
      <c r="D88" s="163">
        <v>0</v>
      </c>
      <c r="E88" s="189" t="str">
        <f>IF(D88&lt;0,"Problem: Restricted net position cannot be negative - see Net Position Policy in instructions"," ")</f>
        <v xml:space="preserve"> </v>
      </c>
      <c r="H88" s="12">
        <f>HLOOKUP($B$2,'2022PKG'!$1:$145,87,FALSE)</f>
        <v>0</v>
      </c>
      <c r="L88" s="753" t="s">
        <v>251</v>
      </c>
      <c r="M88" s="750" t="s">
        <v>240</v>
      </c>
    </row>
    <row r="89" spans="1:13" ht="12" customHeight="1">
      <c r="A89" s="377">
        <v>2154</v>
      </c>
      <c r="B89" s="342" t="s">
        <v>248</v>
      </c>
      <c r="C89" s="335"/>
      <c r="D89" s="163">
        <v>0</v>
      </c>
      <c r="E89" s="189" t="str">
        <f>IF(D89&lt;0,"Problem: Restricted net position cannot be negative - see Net Position Policy in instructions"," ")</f>
        <v xml:space="preserve"> </v>
      </c>
      <c r="H89" s="12">
        <f>HLOOKUP($B$2,'2022PKG'!$1:$145,88,FALSE)</f>
        <v>0</v>
      </c>
      <c r="L89" s="753" t="s">
        <v>251</v>
      </c>
      <c r="M89" s="750" t="s">
        <v>249</v>
      </c>
    </row>
    <row r="90" spans="1:13" ht="12" customHeight="1">
      <c r="A90" s="377">
        <v>2180</v>
      </c>
      <c r="B90" s="43" t="s">
        <v>253</v>
      </c>
      <c r="C90" s="335"/>
      <c r="D90" s="92">
        <v>0</v>
      </c>
      <c r="H90" s="12">
        <f>HLOOKUP($B$2,'2022PKG'!$1:$145,89,FALSE)</f>
        <v>-26552262.640000001</v>
      </c>
      <c r="L90" s="753" t="s">
        <v>254</v>
      </c>
      <c r="M90" s="750" t="s">
        <v>255</v>
      </c>
    </row>
    <row r="91" spans="1:13" ht="12" customHeight="1" thickBot="1">
      <c r="A91" s="377"/>
      <c r="B91" s="43" t="s">
        <v>256</v>
      </c>
      <c r="C91" s="335"/>
      <c r="D91" s="90">
        <f>SUM(D79,D82:D84,D86:D90)</f>
        <v>0</v>
      </c>
      <c r="H91" s="824">
        <f>SUM(H79:H90)</f>
        <v>41498609.57</v>
      </c>
    </row>
    <row r="92" spans="1:13" ht="12" customHeight="1" thickTop="1">
      <c r="A92" s="377"/>
      <c r="B92" s="81"/>
      <c r="C92" s="335"/>
      <c r="D92" s="328" t="str">
        <f>IF(D41+D48-D66-D76=D91,"In Bal.","NOT BALANCED")</f>
        <v>NOT BALANCED</v>
      </c>
      <c r="H92" s="328" t="str">
        <f>IF(H41+H48-H66-H76-H91&gt;0.001,"NOT BALANCED",IF(H41+H48-H66-H76-H91&lt;-0.001,"Not Balanced","In Balance"))</f>
        <v>In Balance</v>
      </c>
    </row>
    <row r="93" spans="1:13" ht="12" customHeight="1">
      <c r="A93" s="377"/>
      <c r="B93" s="38" t="s">
        <v>257</v>
      </c>
      <c r="C93" s="335"/>
      <c r="D93" s="328"/>
    </row>
    <row r="94" spans="1:13" ht="12" customHeight="1">
      <c r="A94" s="377"/>
      <c r="B94" s="38" t="s">
        <v>258</v>
      </c>
      <c r="C94" s="335"/>
      <c r="D94" s="91"/>
      <c r="E94" s="32"/>
    </row>
    <row r="95" spans="1:13" ht="12" customHeight="1">
      <c r="A95" s="377"/>
      <c r="B95" s="41"/>
      <c r="C95" s="335"/>
      <c r="D95" s="91"/>
    </row>
    <row r="96" spans="1:13" ht="12" customHeight="1">
      <c r="A96" s="377"/>
      <c r="B96" s="39" t="s">
        <v>259</v>
      </c>
      <c r="C96" s="335"/>
      <c r="D96" s="86"/>
    </row>
    <row r="97" spans="1:12" ht="12" customHeight="1">
      <c r="A97" s="377"/>
      <c r="B97" s="41" t="s">
        <v>260</v>
      </c>
      <c r="C97" s="335"/>
      <c r="D97" s="86"/>
    </row>
    <row r="98" spans="1:12" ht="12" customHeight="1">
      <c r="A98" s="377">
        <v>2320</v>
      </c>
      <c r="B98" s="43" t="s">
        <v>261</v>
      </c>
      <c r="C98" s="335"/>
      <c r="D98" s="83">
        <v>0</v>
      </c>
      <c r="H98" s="12">
        <f>HLOOKUP($B$2,'2022PKG'!$1:$145,97,FALSE)</f>
        <v>2223077.75</v>
      </c>
      <c r="L98" s="753">
        <v>45800000</v>
      </c>
    </row>
    <row r="99" spans="1:12" ht="12" customHeight="1">
      <c r="A99" s="377">
        <v>2360</v>
      </c>
      <c r="B99" s="43" t="s">
        <v>262</v>
      </c>
      <c r="C99" s="335"/>
      <c r="D99" s="84">
        <v>0</v>
      </c>
      <c r="E99" s="189"/>
      <c r="H99" s="12">
        <f>HLOOKUP($B$2,'2022PKG'!$1:$145,98,FALSE)</f>
        <v>3958197.91</v>
      </c>
      <c r="L99" s="753" t="s">
        <v>263</v>
      </c>
    </row>
    <row r="100" spans="1:12" ht="12" customHeight="1">
      <c r="A100" s="377">
        <v>2380</v>
      </c>
      <c r="B100" s="43" t="s">
        <v>264</v>
      </c>
      <c r="C100" s="335"/>
      <c r="D100" s="84">
        <v>0</v>
      </c>
      <c r="H100" s="12">
        <f>HLOOKUP($B$2,'2022PKG'!$1:$145,99,FALSE)</f>
        <v>0</v>
      </c>
      <c r="L100" s="753" t="s">
        <v>265</v>
      </c>
    </row>
    <row r="101" spans="1:12" ht="12" customHeight="1">
      <c r="A101" s="377">
        <v>2400</v>
      </c>
      <c r="B101" s="43" t="s">
        <v>266</v>
      </c>
      <c r="C101" s="335"/>
      <c r="D101" s="84">
        <v>0</v>
      </c>
      <c r="H101" s="12">
        <f>HLOOKUP($B$2,'2022PKG'!$1:$145,100,FALSE)</f>
        <v>0</v>
      </c>
      <c r="L101" s="753" t="s">
        <v>267</v>
      </c>
    </row>
    <row r="102" spans="1:12" ht="12" customHeight="1">
      <c r="A102" s="377">
        <v>2310</v>
      </c>
      <c r="B102" s="43" t="s">
        <v>268</v>
      </c>
      <c r="C102" s="335"/>
      <c r="D102" s="84">
        <v>0</v>
      </c>
      <c r="H102" s="12">
        <f>HLOOKUP($B$2,'2022PKG'!$1:$145,101,FALSE)</f>
        <v>0</v>
      </c>
      <c r="L102" s="753">
        <v>44101000</v>
      </c>
    </row>
    <row r="103" spans="1:12" ht="12" customHeight="1">
      <c r="A103" s="377">
        <v>2311</v>
      </c>
      <c r="B103" s="43" t="s">
        <v>269</v>
      </c>
      <c r="C103" s="335"/>
      <c r="D103" s="84">
        <v>0</v>
      </c>
      <c r="E103" s="783" t="s">
        <v>146</v>
      </c>
      <c r="H103" s="12">
        <f>HLOOKUP($B$2,'2022PKG'!$1:$145,102,FALSE)</f>
        <v>84471.84</v>
      </c>
      <c r="L103" s="753">
        <v>44410000</v>
      </c>
    </row>
    <row r="104" spans="1:12" ht="12" customHeight="1">
      <c r="A104" s="377">
        <v>2450</v>
      </c>
      <c r="B104" s="43" t="s">
        <v>270</v>
      </c>
      <c r="C104" s="335"/>
      <c r="D104" s="92">
        <v>0</v>
      </c>
      <c r="H104" s="12">
        <f>HLOOKUP($B$2,'2022PKG'!$1:$145,103,FALSE)</f>
        <v>109936.5</v>
      </c>
      <c r="L104" s="753">
        <v>47995000</v>
      </c>
    </row>
    <row r="105" spans="1:12" ht="12" customHeight="1">
      <c r="A105" s="377"/>
      <c r="B105" s="43" t="s">
        <v>271</v>
      </c>
      <c r="C105" s="335"/>
      <c r="D105" s="80">
        <f>SUM(D98:D104)</f>
        <v>0</v>
      </c>
      <c r="H105" s="469">
        <f>SUM(H98:H104)</f>
        <v>6375684</v>
      </c>
    </row>
    <row r="106" spans="1:12" ht="12" customHeight="1">
      <c r="A106" s="377"/>
      <c r="B106" s="39" t="s">
        <v>272</v>
      </c>
      <c r="C106" s="335"/>
      <c r="D106" s="89"/>
    </row>
    <row r="107" spans="1:12" ht="12" customHeight="1">
      <c r="A107" s="377"/>
      <c r="B107" s="41" t="s">
        <v>273</v>
      </c>
      <c r="C107" s="335"/>
      <c r="D107" s="89"/>
    </row>
    <row r="108" spans="1:12" ht="12" customHeight="1">
      <c r="A108" s="377">
        <v>2490</v>
      </c>
      <c r="B108" s="43" t="s">
        <v>274</v>
      </c>
      <c r="C108" s="335"/>
      <c r="D108" s="84">
        <v>0</v>
      </c>
      <c r="H108" s="12">
        <f>HLOOKUP($B$2,'2022PKG'!$1:$145,107,FALSE)</f>
        <v>23895211.690000001</v>
      </c>
      <c r="L108" s="753">
        <v>51110000</v>
      </c>
    </row>
    <row r="109" spans="1:12" ht="12" customHeight="1">
      <c r="A109" s="377">
        <v>2510</v>
      </c>
      <c r="B109" s="43" t="s">
        <v>275</v>
      </c>
      <c r="C109" s="335"/>
      <c r="D109" s="84">
        <v>0</v>
      </c>
      <c r="H109" s="12">
        <f>HLOOKUP($B$2,'2022PKG'!$1:$145,108,FALSE)</f>
        <v>6142720.9500000002</v>
      </c>
      <c r="L109" s="753">
        <v>53110000</v>
      </c>
    </row>
    <row r="110" spans="1:12" ht="12" customHeight="1">
      <c r="A110" s="377">
        <v>2520</v>
      </c>
      <c r="B110" s="43" t="s">
        <v>276</v>
      </c>
      <c r="C110" s="335"/>
      <c r="D110" s="84">
        <v>0</v>
      </c>
      <c r="H110" s="12">
        <f>HLOOKUP($B$2,'2022PKG'!$1:$145,109,FALSE)</f>
        <v>4761622.33</v>
      </c>
      <c r="L110" s="753">
        <v>52110000</v>
      </c>
    </row>
    <row r="111" spans="1:12" ht="12" customHeight="1">
      <c r="A111" s="377">
        <v>2590</v>
      </c>
      <c r="B111" s="43" t="s">
        <v>277</v>
      </c>
      <c r="C111" s="335"/>
      <c r="D111" s="84">
        <v>0</v>
      </c>
      <c r="H111" s="12">
        <f>HLOOKUP($B$2,'2022PKG'!$1:$145,110,FALSE)</f>
        <v>8121352.9000000004</v>
      </c>
      <c r="L111" s="753">
        <v>56810000</v>
      </c>
    </row>
    <row r="112" spans="1:12" ht="12" customHeight="1">
      <c r="A112" s="377">
        <v>2522</v>
      </c>
      <c r="B112" s="43" t="s">
        <v>278</v>
      </c>
      <c r="C112" s="335"/>
      <c r="D112" s="84">
        <v>0</v>
      </c>
      <c r="H112" s="12">
        <f>HLOOKUP($B$2,'2022PKG'!$1:$145,111,FALSE)</f>
        <v>941572.46</v>
      </c>
      <c r="L112" s="753">
        <v>52210000</v>
      </c>
    </row>
    <row r="113" spans="1:12" ht="12" customHeight="1">
      <c r="A113" s="377">
        <v>2560</v>
      </c>
      <c r="B113" s="43" t="s">
        <v>279</v>
      </c>
      <c r="C113" s="335"/>
      <c r="D113" s="92">
        <v>0</v>
      </c>
      <c r="H113" s="12">
        <f>HLOOKUP($B$2,'2022PKG'!$1:$145,112,FALSE)</f>
        <v>1653561.86</v>
      </c>
      <c r="L113" s="753">
        <v>55430000</v>
      </c>
    </row>
    <row r="114" spans="1:12" ht="12" customHeight="1">
      <c r="A114" s="377"/>
      <c r="B114" s="43" t="s">
        <v>280</v>
      </c>
      <c r="C114" s="335"/>
      <c r="D114" s="79">
        <f>SUM(D108:D113)</f>
        <v>0</v>
      </c>
      <c r="H114" s="469">
        <f>SUM(H108:H113)</f>
        <v>45516042.189999998</v>
      </c>
    </row>
    <row r="115" spans="1:12" ht="12" customHeight="1">
      <c r="A115" s="377"/>
      <c r="B115" s="43" t="s">
        <v>281</v>
      </c>
      <c r="C115" s="335"/>
      <c r="D115" s="80">
        <f>D105-D114</f>
        <v>0</v>
      </c>
      <c r="H115" s="469">
        <f>H105-H114</f>
        <v>-39140358.189999998</v>
      </c>
    </row>
    <row r="116" spans="1:12" ht="12" customHeight="1">
      <c r="A116" s="377"/>
      <c r="B116" s="39" t="s">
        <v>282</v>
      </c>
      <c r="C116" s="335"/>
      <c r="D116" s="86"/>
    </row>
    <row r="117" spans="1:12" ht="12" customHeight="1">
      <c r="A117" s="377">
        <v>2690</v>
      </c>
      <c r="B117" s="43" t="s">
        <v>283</v>
      </c>
      <c r="C117" s="335"/>
      <c r="D117" s="84">
        <v>0</v>
      </c>
      <c r="H117" s="12">
        <f>HLOOKUP($B$2,'2022PKG'!$1:$145,116,FALSE)</f>
        <v>22679559.18</v>
      </c>
      <c r="L117" s="753">
        <v>49100000</v>
      </c>
    </row>
    <row r="118" spans="1:12" ht="12" customHeight="1">
      <c r="A118" s="733" t="s">
        <v>284</v>
      </c>
      <c r="B118" s="781" t="s">
        <v>285</v>
      </c>
      <c r="C118" s="825"/>
      <c r="D118" s="782">
        <v>0</v>
      </c>
      <c r="H118" s="12">
        <f>HLOOKUP($B$2,'2022PKG'!$1:$145,117,FALSE)</f>
        <v>0</v>
      </c>
      <c r="L118" s="753">
        <v>42905000</v>
      </c>
    </row>
    <row r="119" spans="1:12" ht="12" customHeight="1">
      <c r="A119" s="377">
        <v>2691</v>
      </c>
      <c r="B119" s="781" t="s">
        <v>286</v>
      </c>
      <c r="C119" s="825"/>
      <c r="D119" s="782">
        <v>0</v>
      </c>
      <c r="H119" s="12">
        <f>HLOOKUP($B$2,'2022PKG'!$1:$145,118,FALSE)</f>
        <v>3533556</v>
      </c>
      <c r="L119" s="753">
        <v>42908001</v>
      </c>
    </row>
    <row r="120" spans="1:12" ht="12" customHeight="1">
      <c r="A120" s="377">
        <v>2692</v>
      </c>
      <c r="B120" s="781" t="s">
        <v>287</v>
      </c>
      <c r="C120" s="825"/>
      <c r="D120" s="782">
        <v>0</v>
      </c>
      <c r="H120" s="12">
        <f>HLOOKUP($B$2,'2022PKG'!$1:$145,119,FALSE)</f>
        <v>6024770.5</v>
      </c>
      <c r="L120" s="753" t="s">
        <v>288</v>
      </c>
    </row>
    <row r="121" spans="1:12" ht="12" customHeight="1">
      <c r="A121" s="377">
        <v>2701</v>
      </c>
      <c r="B121" s="781" t="s">
        <v>289</v>
      </c>
      <c r="C121" s="825"/>
      <c r="D121" s="782">
        <v>0</v>
      </c>
      <c r="H121" s="12">
        <f>HLOOKUP($B$2,'2022PKG'!$1:$145,120,FALSE)</f>
        <v>10709120.25</v>
      </c>
      <c r="L121" s="753" t="s">
        <v>290</v>
      </c>
    </row>
    <row r="122" spans="1:12" ht="12" customHeight="1">
      <c r="A122" s="377">
        <v>2710</v>
      </c>
      <c r="B122" s="781" t="s">
        <v>291</v>
      </c>
      <c r="C122" s="825"/>
      <c r="D122" s="782">
        <v>0</v>
      </c>
      <c r="H122" s="12">
        <f>HLOOKUP($B$2,'2022PKG'!$1:$145,121,FALSE)</f>
        <v>1009037.46</v>
      </c>
      <c r="L122" s="753">
        <v>46200000</v>
      </c>
    </row>
    <row r="123" spans="1:12" ht="12" customHeight="1">
      <c r="A123" s="377">
        <v>2711</v>
      </c>
      <c r="B123" s="781" t="s">
        <v>292</v>
      </c>
      <c r="C123" s="825"/>
      <c r="D123" s="782">
        <v>0</v>
      </c>
      <c r="E123" s="764" t="s">
        <v>146</v>
      </c>
      <c r="H123" s="12">
        <f>HLOOKUP($B$2,'2022PKG'!$1:$145,122,FALSE)</f>
        <v>129872</v>
      </c>
      <c r="L123" s="753">
        <v>46207000</v>
      </c>
    </row>
    <row r="124" spans="1:12" ht="12" customHeight="1">
      <c r="A124" s="377">
        <v>2760</v>
      </c>
      <c r="B124" s="43" t="s">
        <v>293</v>
      </c>
      <c r="C124" s="335"/>
      <c r="D124" s="84">
        <v>0</v>
      </c>
      <c r="H124" s="12">
        <f>HLOOKUP($B$2,'2022PKG'!$1:$145,123,FALSE)</f>
        <v>4331.4799999999996</v>
      </c>
      <c r="L124" s="753">
        <v>43111000</v>
      </c>
    </row>
    <row r="125" spans="1:12" ht="12" customHeight="1">
      <c r="A125" s="377">
        <v>2720</v>
      </c>
      <c r="B125" s="43" t="s">
        <v>294</v>
      </c>
      <c r="C125" s="335"/>
      <c r="D125" s="84">
        <v>0</v>
      </c>
      <c r="E125" s="164" t="str">
        <f>IF(D125&gt;0,"Problem: Exp should be negative; show Revenue on Nonop Rev line above"," ")</f>
        <v xml:space="preserve"> </v>
      </c>
      <c r="H125" s="12">
        <f>HLOOKUP($B$2,'2022PKG'!$1:$145,124,FALSE)</f>
        <v>0</v>
      </c>
      <c r="L125" s="753">
        <v>55321000</v>
      </c>
    </row>
    <row r="126" spans="1:12" ht="12" customHeight="1">
      <c r="A126" s="377">
        <v>2721</v>
      </c>
      <c r="B126" s="43" t="s">
        <v>295</v>
      </c>
      <c r="C126" s="335"/>
      <c r="D126" s="84">
        <v>0</v>
      </c>
      <c r="E126" s="783" t="s">
        <v>146</v>
      </c>
      <c r="H126" s="12">
        <f>HLOOKUP($B$2,'2022PKG'!$1:$145,125,FALSE)</f>
        <v>0</v>
      </c>
      <c r="L126" s="753">
        <v>47128000</v>
      </c>
    </row>
    <row r="127" spans="1:12" ht="12" customHeight="1">
      <c r="A127" s="377">
        <v>2800</v>
      </c>
      <c r="B127" s="43" t="s">
        <v>296</v>
      </c>
      <c r="C127" s="335"/>
      <c r="D127" s="84">
        <v>0</v>
      </c>
      <c r="E127" s="164" t="str">
        <f>IF(D127&lt;0,"Problem: Rev should not be negative; show Expense on Nonop Exp line below"," ")</f>
        <v xml:space="preserve"> </v>
      </c>
      <c r="H127" s="12">
        <f>HLOOKUP($B$2,'2022PKG'!$1:$145,126,FALSE)</f>
        <v>0</v>
      </c>
      <c r="L127" s="753">
        <v>44321000</v>
      </c>
    </row>
    <row r="128" spans="1:12" ht="12" customHeight="1">
      <c r="A128" s="377">
        <v>2810</v>
      </c>
      <c r="B128" s="43" t="s">
        <v>297</v>
      </c>
      <c r="C128" s="335"/>
      <c r="D128" s="92">
        <v>0</v>
      </c>
      <c r="E128" s="164" t="str">
        <f>IF(D128&gt;0,"Problem: Exp should be negative; show Revenue on Nonop Rev line above"," ")</f>
        <v xml:space="preserve"> </v>
      </c>
      <c r="H128" s="12">
        <f>HLOOKUP($B$2,'2022PKG'!$1:$145,127,FALSE)</f>
        <v>-7695.47</v>
      </c>
      <c r="L128" s="753">
        <v>55332000</v>
      </c>
    </row>
    <row r="129" spans="1:12" ht="12" customHeight="1">
      <c r="A129" s="377"/>
      <c r="B129" s="43" t="s">
        <v>298</v>
      </c>
      <c r="C129" s="335"/>
      <c r="D129" s="80">
        <f>SUM(D117:D128)</f>
        <v>0</v>
      </c>
      <c r="H129" s="469">
        <f>SUM(H117:H128)</f>
        <v>44082551.399999999</v>
      </c>
    </row>
    <row r="130" spans="1:12" ht="12" customHeight="1">
      <c r="A130" s="377"/>
      <c r="B130" s="43" t="s">
        <v>299</v>
      </c>
      <c r="C130" s="335"/>
      <c r="D130" s="89">
        <f>D115+D129</f>
        <v>0</v>
      </c>
      <c r="H130" s="12">
        <f>H115+H129</f>
        <v>4942193.21</v>
      </c>
      <c r="L130" s="753"/>
    </row>
    <row r="131" spans="1:12" ht="12" customHeight="1">
      <c r="A131" s="377">
        <v>2870</v>
      </c>
      <c r="B131" s="43" t="s">
        <v>300</v>
      </c>
      <c r="C131" s="335"/>
      <c r="D131" s="88">
        <v>0</v>
      </c>
      <c r="E131" s="164" t="str">
        <f>IF(D131&lt;0,"Problem: State capital aid cannot be negative"," ")</f>
        <v xml:space="preserve"> </v>
      </c>
      <c r="H131" s="12">
        <f>HLOOKUP($B$2,'2022PKG'!$1:$145,130,FALSE)</f>
        <v>0</v>
      </c>
      <c r="L131" s="753">
        <v>42901000</v>
      </c>
    </row>
    <row r="132" spans="1:12" ht="12" customHeight="1">
      <c r="A132" s="377">
        <v>2860</v>
      </c>
      <c r="B132" s="43" t="s">
        <v>301</v>
      </c>
      <c r="C132" s="335"/>
      <c r="D132" s="88">
        <v>0</v>
      </c>
      <c r="E132" s="164" t="str">
        <f>IF(D132&lt;0,"Problem: County Cap approp cannot be negative; use Nonop Exp line above"," ")</f>
        <v xml:space="preserve"> </v>
      </c>
      <c r="H132" s="12">
        <f>HLOOKUP($B$2,'2022PKG'!$1:$145,131,FALSE)</f>
        <v>14606743.24</v>
      </c>
      <c r="L132" s="753">
        <v>42902000</v>
      </c>
    </row>
    <row r="133" spans="1:12" ht="12" customHeight="1">
      <c r="A133" s="377">
        <v>2880</v>
      </c>
      <c r="B133" s="961" t="s">
        <v>302</v>
      </c>
      <c r="C133" s="335"/>
      <c r="D133" s="84">
        <v>0</v>
      </c>
      <c r="E133" s="164" t="str">
        <f>IF(D133&lt;0,"Problem: Capital grants cannot be negative; use Nonop Exp line above"," ")</f>
        <v xml:space="preserve"> </v>
      </c>
      <c r="H133" s="12">
        <f>HLOOKUP($B$2,'2022PKG'!$1:$145,132,FALSE)</f>
        <v>75520.67</v>
      </c>
      <c r="L133" s="753" t="s">
        <v>303</v>
      </c>
    </row>
    <row r="134" spans="1:12" ht="12" customHeight="1">
      <c r="A134" s="377">
        <v>2890</v>
      </c>
      <c r="B134" s="43" t="s">
        <v>304</v>
      </c>
      <c r="C134" s="335"/>
      <c r="D134" s="84">
        <v>0</v>
      </c>
      <c r="E134" s="164" t="str">
        <f>IF(D134&lt;0,"Problem: Capital gifts, net cannot be negative; use Nonop Exp line above"," ")</f>
        <v xml:space="preserve"> </v>
      </c>
      <c r="H134" s="12">
        <f>HLOOKUP($B$2,'2022PKG'!$1:$145,133,FALSE)</f>
        <v>0</v>
      </c>
      <c r="L134" s="753">
        <v>46203000</v>
      </c>
    </row>
    <row r="135" spans="1:12" ht="12" customHeight="1">
      <c r="A135" s="377">
        <v>2900</v>
      </c>
      <c r="B135" s="43" t="s">
        <v>305</v>
      </c>
      <c r="C135" s="335"/>
      <c r="D135" s="84">
        <v>0</v>
      </c>
      <c r="E135" s="164" t="str">
        <f>IF(D135&lt;0,"Problem: Additions to endowments cannot be negative; use Nonop Exp line above"," ")</f>
        <v xml:space="preserve"> </v>
      </c>
      <c r="H135" s="12">
        <f>HLOOKUP($B$2,'2022PKG'!$1:$145,134,FALSE)</f>
        <v>0</v>
      </c>
      <c r="L135" s="753">
        <v>46205000</v>
      </c>
    </row>
    <row r="136" spans="1:12" ht="12" customHeight="1">
      <c r="A136" s="377">
        <v>2950</v>
      </c>
      <c r="B136" s="43" t="s">
        <v>306</v>
      </c>
      <c r="C136" s="335"/>
      <c r="D136" s="163">
        <v>0</v>
      </c>
      <c r="E136" s="164" t="str">
        <f>IF(AND(ABS(D136)&gt;=1,ABS(D136)&lt;10000000),"Problem: Under $10 million threshold - reclassify to another rev or exp"," ")</f>
        <v xml:space="preserve"> </v>
      </c>
      <c r="H136" s="12">
        <f>HLOOKUP($B$2,'2022PKG'!$1:$145,135,FALSE)</f>
        <v>0</v>
      </c>
      <c r="L136" s="753">
        <v>47750000</v>
      </c>
    </row>
    <row r="137" spans="1:12" ht="12" customHeight="1">
      <c r="A137" s="377">
        <v>2951</v>
      </c>
      <c r="B137" s="43" t="s">
        <v>307</v>
      </c>
      <c r="C137" s="335"/>
      <c r="D137" s="163">
        <v>0</v>
      </c>
      <c r="E137" s="164" t="str">
        <f>IF(AND(ABS(D137)&gt;=1,ABS(D137)&lt;10000000),"Problem: Under $10 million threshold - reclassify to another rev or exp"," ")</f>
        <v xml:space="preserve"> </v>
      </c>
      <c r="H137" s="12">
        <f>HLOOKUP($B$2,'2022PKG'!$1:$145,136,FALSE)</f>
        <v>0</v>
      </c>
      <c r="L137" s="753">
        <v>55700000</v>
      </c>
    </row>
    <row r="138" spans="1:12" ht="12" customHeight="1">
      <c r="A138" s="377"/>
      <c r="B138" s="43" t="s">
        <v>308</v>
      </c>
      <c r="C138" s="335"/>
      <c r="D138" s="822">
        <f>SUM(D130:D137)</f>
        <v>0</v>
      </c>
      <c r="H138" s="826">
        <f>SUM(H130:H137)</f>
        <v>19624457.120000001</v>
      </c>
    </row>
    <row r="139" spans="1:12" ht="12" customHeight="1">
      <c r="A139" s="377"/>
      <c r="B139" s="39" t="s">
        <v>237</v>
      </c>
      <c r="C139" s="335"/>
      <c r="D139" s="89"/>
    </row>
    <row r="140" spans="1:12" ht="12" customHeight="1">
      <c r="A140" s="377">
        <v>2980</v>
      </c>
      <c r="B140" s="43" t="s">
        <v>309</v>
      </c>
      <c r="C140" s="335"/>
      <c r="D140" s="358">
        <f>IF(ISNA(MATCH('ExhA&amp;B'!$B$2,EquityDataRow,0)),0,INDEX(EquityData,MATCH('ExhA&amp;B'!$B$2,EquityDataRow,0),3))</f>
        <v>41498609.57</v>
      </c>
      <c r="H140" s="12">
        <f>HLOOKUP($B$2,'2022PKG'!$1:$145,139,FALSE)</f>
        <v>21265670.600000001</v>
      </c>
      <c r="L140" s="753"/>
    </row>
    <row r="141" spans="1:12" ht="12" customHeight="1">
      <c r="A141" s="377">
        <v>2990</v>
      </c>
      <c r="B141" s="43" t="s">
        <v>310</v>
      </c>
      <c r="C141" s="335"/>
      <c r="D141" s="803">
        <f>'430'!F33</f>
        <v>0</v>
      </c>
      <c r="E141" s="164" t="str">
        <f>IF(D141&lt;&gt;('430'!F31+'430'!D31+'430'!B31),"Problem: Amount must tie to worksheet 430"," ")</f>
        <v xml:space="preserve"> </v>
      </c>
      <c r="H141" s="12">
        <f>HLOOKUP($B$2,'2022PKG'!$1:$145,140,FALSE)</f>
        <v>608481.85</v>
      </c>
      <c r="L141" s="753">
        <v>33000100</v>
      </c>
    </row>
    <row r="142" spans="1:12" ht="12" customHeight="1" thickBot="1">
      <c r="A142" s="377"/>
      <c r="B142" s="43" t="s">
        <v>311</v>
      </c>
      <c r="C142" s="37"/>
      <c r="D142" s="93">
        <f>SUM(D138,D140:D141)</f>
        <v>41498609.57</v>
      </c>
      <c r="H142" s="827">
        <f>SUM(H138:H141)</f>
        <v>41498609.57</v>
      </c>
    </row>
    <row r="143" spans="1:12" ht="12" customHeight="1" thickTop="1">
      <c r="B143" s="81"/>
      <c r="C143" s="37"/>
      <c r="D143" s="98"/>
    </row>
    <row r="144" spans="1:12" ht="12" customHeight="1">
      <c r="B144" s="81"/>
      <c r="C144" s="335"/>
      <c r="D144" s="42" t="str">
        <f>IF(D91=D142,"In Bal.","NOT BALANCED")</f>
        <v>NOT BALANCED</v>
      </c>
      <c r="H144" s="335" t="str">
        <f>IF(H91=H142,"In Bal.","NOT BALANCED")</f>
        <v>In Bal.</v>
      </c>
    </row>
    <row r="145" spans="2:4" ht="12" customHeight="1">
      <c r="B145" s="44"/>
      <c r="C145" s="335"/>
      <c r="D145" s="42"/>
    </row>
    <row r="146" spans="2:4" ht="12" customHeight="1">
      <c r="B146" s="81"/>
      <c r="C146" s="335"/>
      <c r="D146" s="343"/>
    </row>
    <row r="147" spans="2:4" ht="12" customHeight="1">
      <c r="B147" s="81"/>
      <c r="C147" s="335"/>
      <c r="D147" s="343"/>
    </row>
    <row r="148" spans="2:4" ht="12" customHeight="1">
      <c r="B148" s="81"/>
      <c r="C148" s="335"/>
      <c r="D148" s="343"/>
    </row>
    <row r="149" spans="2:4" ht="12" customHeight="1">
      <c r="B149" s="81"/>
      <c r="C149" s="335"/>
      <c r="D149" s="343"/>
    </row>
    <row r="150" spans="2:4" ht="12" customHeight="1">
      <c r="B150" s="81"/>
      <c r="C150" s="335"/>
      <c r="D150" s="343"/>
    </row>
    <row r="151" spans="2:4" ht="12" customHeight="1">
      <c r="B151" s="81"/>
      <c r="C151" s="335"/>
      <c r="D151" s="343"/>
    </row>
    <row r="152" spans="2:4" ht="12" customHeight="1">
      <c r="B152" s="81"/>
      <c r="C152" s="335"/>
      <c r="D152" s="343"/>
    </row>
    <row r="153" spans="2:4" ht="12" customHeight="1">
      <c r="B153" s="81"/>
      <c r="C153" s="335"/>
      <c r="D153" s="343"/>
    </row>
    <row r="154" spans="2:4" ht="12" customHeight="1">
      <c r="B154" s="81"/>
      <c r="C154" s="335"/>
      <c r="D154" s="343"/>
    </row>
    <row r="155" spans="2:4" ht="12" customHeight="1">
      <c r="B155" s="81"/>
      <c r="C155" s="335"/>
      <c r="D155" s="343"/>
    </row>
    <row r="156" spans="2:4" ht="12" customHeight="1">
      <c r="B156" s="81"/>
      <c r="C156" s="335"/>
      <c r="D156" s="343"/>
    </row>
    <row r="157" spans="2:4" ht="12" customHeight="1">
      <c r="B157" s="81"/>
      <c r="C157" s="335"/>
      <c r="D157" s="343"/>
    </row>
    <row r="158" spans="2:4" ht="12" customHeight="1">
      <c r="B158" s="81"/>
      <c r="C158" s="335"/>
      <c r="D158" s="343"/>
    </row>
    <row r="159" spans="2:4" ht="12" customHeight="1">
      <c r="B159" s="81"/>
      <c r="C159" s="335"/>
      <c r="D159" s="343"/>
    </row>
    <row r="160" spans="2:4" ht="12" customHeight="1">
      <c r="B160" s="81"/>
      <c r="C160" s="335"/>
      <c r="D160" s="343"/>
    </row>
    <row r="161" spans="4:4" ht="12" customHeight="1">
      <c r="D161" s="343"/>
    </row>
    <row r="162" spans="4:4" ht="12" customHeight="1">
      <c r="D162" s="343"/>
    </row>
    <row r="163" spans="4:4" ht="12" customHeight="1">
      <c r="D163" s="343"/>
    </row>
    <row r="164" spans="4:4">
      <c r="D164" s="343"/>
    </row>
    <row r="165" spans="4:4">
      <c r="D165" s="343"/>
    </row>
    <row r="166" spans="4:4">
      <c r="D166" s="343"/>
    </row>
    <row r="167" spans="4:4">
      <c r="D167" s="343"/>
    </row>
    <row r="168" spans="4:4">
      <c r="D168" s="343"/>
    </row>
    <row r="169" spans="4:4">
      <c r="D169" s="343"/>
    </row>
    <row r="170" spans="4:4">
      <c r="D170" s="343"/>
    </row>
    <row r="171" spans="4:4">
      <c r="D171" s="343"/>
    </row>
    <row r="172" spans="4:4">
      <c r="D172" s="343"/>
    </row>
    <row r="173" spans="4:4">
      <c r="D173" s="343"/>
    </row>
    <row r="174" spans="4:4">
      <c r="D174" s="343"/>
    </row>
    <row r="175" spans="4:4">
      <c r="D175" s="343"/>
    </row>
    <row r="176" spans="4:4">
      <c r="D176" s="343"/>
    </row>
    <row r="177" spans="4:4">
      <c r="D177" s="343"/>
    </row>
    <row r="178" spans="4:4">
      <c r="D178" s="343"/>
    </row>
    <row r="179" spans="4:4">
      <c r="D179" s="343"/>
    </row>
    <row r="180" spans="4:4">
      <c r="D180" s="343"/>
    </row>
    <row r="181" spans="4:4">
      <c r="D181" s="343"/>
    </row>
    <row r="182" spans="4:4">
      <c r="D182" s="343"/>
    </row>
    <row r="183" spans="4:4">
      <c r="D183" s="343"/>
    </row>
    <row r="184" spans="4:4">
      <c r="D184" s="343"/>
    </row>
    <row r="185" spans="4:4">
      <c r="D185" s="343"/>
    </row>
    <row r="186" spans="4:4">
      <c r="D186" s="343"/>
    </row>
    <row r="187" spans="4:4">
      <c r="D187" s="343"/>
    </row>
    <row r="188" spans="4:4">
      <c r="D188" s="343"/>
    </row>
    <row r="189" spans="4:4">
      <c r="D189" s="343"/>
    </row>
    <row r="190" spans="4:4">
      <c r="D190" s="343"/>
    </row>
    <row r="191" spans="4:4">
      <c r="D191" s="343"/>
    </row>
    <row r="192" spans="4:4">
      <c r="D192" s="343"/>
    </row>
    <row r="193" spans="4:4">
      <c r="D193" s="343"/>
    </row>
    <row r="194" spans="4:4">
      <c r="D194" s="343"/>
    </row>
    <row r="195" spans="4:4">
      <c r="D195" s="343"/>
    </row>
    <row r="196" spans="4:4">
      <c r="D196" s="343"/>
    </row>
    <row r="197" spans="4:4">
      <c r="D197" s="343"/>
    </row>
    <row r="198" spans="4:4">
      <c r="D198" s="343"/>
    </row>
    <row r="199" spans="4:4">
      <c r="D199" s="343"/>
    </row>
    <row r="200" spans="4:4">
      <c r="D200" s="343"/>
    </row>
    <row r="201" spans="4:4">
      <c r="D201" s="343"/>
    </row>
    <row r="202" spans="4:4">
      <c r="D202" s="343"/>
    </row>
    <row r="203" spans="4:4">
      <c r="D203" s="343"/>
    </row>
    <row r="204" spans="4:4">
      <c r="D204" s="343"/>
    </row>
    <row r="205" spans="4:4">
      <c r="D205" s="343"/>
    </row>
    <row r="206" spans="4:4">
      <c r="D206" s="343"/>
    </row>
    <row r="207" spans="4:4">
      <c r="D207" s="343"/>
    </row>
    <row r="208" spans="4:4">
      <c r="D208" s="343"/>
    </row>
    <row r="209" spans="4:4">
      <c r="D209" s="343"/>
    </row>
    <row r="210" spans="4:4">
      <c r="D210" s="343"/>
    </row>
    <row r="211" spans="4:4">
      <c r="D211" s="343"/>
    </row>
    <row r="212" spans="4:4">
      <c r="D212" s="343"/>
    </row>
    <row r="213" spans="4:4">
      <c r="D213" s="343"/>
    </row>
    <row r="214" spans="4:4">
      <c r="D214" s="343"/>
    </row>
    <row r="215" spans="4:4">
      <c r="D215" s="343"/>
    </row>
    <row r="216" spans="4:4">
      <c r="D216" s="343"/>
    </row>
    <row r="217" spans="4:4">
      <c r="D217" s="343"/>
    </row>
    <row r="218" spans="4:4">
      <c r="D218" s="343"/>
    </row>
    <row r="219" spans="4:4">
      <c r="D219" s="343"/>
    </row>
    <row r="220" spans="4:4">
      <c r="D220" s="343"/>
    </row>
    <row r="221" spans="4:4">
      <c r="D221" s="343"/>
    </row>
    <row r="222" spans="4:4">
      <c r="D222" s="343"/>
    </row>
    <row r="223" spans="4:4">
      <c r="D223" s="343"/>
    </row>
    <row r="224" spans="4:4">
      <c r="D224" s="343"/>
    </row>
    <row r="225" spans="4:4">
      <c r="D225" s="343"/>
    </row>
    <row r="226" spans="4:4">
      <c r="D226" s="343"/>
    </row>
    <row r="227" spans="4:4">
      <c r="D227" s="343"/>
    </row>
    <row r="228" spans="4:4">
      <c r="D228" s="343"/>
    </row>
    <row r="229" spans="4:4">
      <c r="D229" s="343"/>
    </row>
    <row r="230" spans="4:4">
      <c r="D230" s="343"/>
    </row>
    <row r="231" spans="4:4">
      <c r="D231" s="343"/>
    </row>
    <row r="232" spans="4:4">
      <c r="D232" s="343"/>
    </row>
    <row r="233" spans="4:4">
      <c r="D233" s="343"/>
    </row>
    <row r="234" spans="4:4">
      <c r="D234" s="343"/>
    </row>
    <row r="235" spans="4:4">
      <c r="D235" s="343"/>
    </row>
    <row r="236" spans="4:4">
      <c r="D236" s="343"/>
    </row>
    <row r="237" spans="4:4">
      <c r="D237" s="343"/>
    </row>
    <row r="238" spans="4:4">
      <c r="D238" s="343"/>
    </row>
    <row r="239" spans="4:4">
      <c r="D239" s="343"/>
    </row>
    <row r="240" spans="4:4">
      <c r="D240" s="343"/>
    </row>
    <row r="241" spans="4:4">
      <c r="D241" s="343"/>
    </row>
    <row r="242" spans="4:4">
      <c r="D242" s="343"/>
    </row>
    <row r="243" spans="4:4">
      <c r="D243" s="343"/>
    </row>
    <row r="244" spans="4:4">
      <c r="D244" s="343"/>
    </row>
    <row r="245" spans="4:4">
      <c r="D245" s="343"/>
    </row>
    <row r="246" spans="4:4">
      <c r="D246" s="343"/>
    </row>
    <row r="247" spans="4:4">
      <c r="D247" s="343"/>
    </row>
    <row r="248" spans="4:4">
      <c r="D248" s="343"/>
    </row>
    <row r="249" spans="4:4">
      <c r="D249" s="343"/>
    </row>
    <row r="250" spans="4:4">
      <c r="D250" s="343"/>
    </row>
    <row r="251" spans="4:4">
      <c r="D251" s="343"/>
    </row>
    <row r="252" spans="4:4">
      <c r="D252" s="343"/>
    </row>
  </sheetData>
  <sheetProtection algorithmName="SHA-512" hashValue="xUCp2sOdznzBYY4FI/PB+7nBOX9iQYPCiJXeH15yZuQgV/MRkpi7YWnh0EnCpzuppf7dyWB3Aj60F/sQe5UauQ==" saltValue="dQBe6wePBnzqz4BPHmdsjA==" spinCount="100000" sheet="1" objects="1" scenarios="1" autoFilter="0"/>
  <autoFilter ref="A1:A252" xr:uid="{C66138EC-1511-4DDE-9AFA-4BA7EF657AFA}"/>
  <customSheetViews>
    <customSheetView guid="{09B6E9FC-05EC-46D9-876B-83C9B6994F28}" showGridLines="0" showRuler="0">
      <pane xSplit="1" ySplit="4" topLeftCell="B7" activePane="bottomRight" state="frozenSplit"/>
      <selection pane="bottomRight" activeCell="C9" sqref="C9"/>
      <rowBreaks count="1" manualBreakCount="1">
        <brk id="63" max="16383" man="1"/>
      </rowBreaks>
      <pageMargins left="0" right="0" top="0" bottom="0" header="0" footer="0"/>
      <pageSetup scale="92" pageOrder="overThenDown" orientation="portrait" r:id="rId1"/>
      <headerFooter alignWithMargins="0">
        <oddFooter>&amp;L&amp;D  &amp;T&amp;C&amp;10Filename:  &amp;F&amp;R&amp;A  Page &amp;P of &amp;N</oddFooter>
      </headerFooter>
    </customSheetView>
  </customSheetViews>
  <phoneticPr fontId="43" type="noConversion"/>
  <conditionalFormatting sqref="E47">
    <cfRule type="containsText" dxfId="86" priority="5" stopIfTrue="1" operator="containsText" text="Response for No needed">
      <formula>NOT(ISERROR(SEARCH("Response for No needed",E47)))</formula>
    </cfRule>
    <cfRule type="containsText" dxfId="85" priority="6" stopIfTrue="1" operator="containsText" text="Response for No needed">
      <formula>NOT(ISERROR(SEARCH("Response for No needed",E47)))</formula>
    </cfRule>
  </conditionalFormatting>
  <conditionalFormatting sqref="E75">
    <cfRule type="containsText" dxfId="84" priority="8" stopIfTrue="1" operator="containsText" text="Response for No needed">
      <formula>NOT(ISERROR(SEARCH("Response for No needed",E75)))</formula>
    </cfRule>
  </conditionalFormatting>
  <conditionalFormatting sqref="E75:F75">
    <cfRule type="containsText" dxfId="83" priority="7" stopIfTrue="1" operator="containsText" text="Response for No needed">
      <formula>NOT(ISERROR(SEARCH("Response for No needed",E75)))</formula>
    </cfRule>
  </conditionalFormatting>
  <printOptions horizontalCentered="1"/>
  <pageMargins left="0.5" right="0.25" top="0.5" bottom="0.25" header="0.5" footer="0.25"/>
  <pageSetup orientation="portrait" r:id="rId2"/>
  <headerFooter alignWithMargins="0"/>
  <rowBreaks count="1" manualBreakCount="1">
    <brk id="92" max="16383" man="1"/>
  </rowBreaks>
  <ignoredErrors>
    <ignoredError sqref="F4 H11 D141" unlockedFormula="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72"/>
  <sheetViews>
    <sheetView showGridLines="0" zoomScaleNormal="100" workbookViewId="0">
      <pane ySplit="6" topLeftCell="A7" activePane="bottomLeft" state="frozen"/>
      <selection activeCell="K24" sqref="K24"/>
      <selection pane="bottomLeft" activeCell="V31" sqref="V31"/>
    </sheetView>
  </sheetViews>
  <sheetFormatPr defaultColWidth="9.28515625" defaultRowHeight="13.2"/>
  <cols>
    <col min="1" max="1" width="10.28515625" style="36" customWidth="1"/>
    <col min="2" max="2" width="9.28515625" style="59"/>
    <col min="3" max="3" width="3.85546875" style="36" customWidth="1"/>
    <col min="4" max="6" width="3.140625" style="36" customWidth="1"/>
    <col min="7" max="7" width="37" style="36" customWidth="1"/>
    <col min="8" max="8" width="18.140625" style="36" customWidth="1"/>
    <col min="9" max="9" width="21.85546875" style="36" customWidth="1"/>
    <col min="10" max="10" width="1.85546875" style="36" customWidth="1"/>
    <col min="11" max="11" width="21.42578125" style="36" customWidth="1"/>
    <col min="12" max="12" width="1.85546875" style="36" customWidth="1"/>
    <col min="13" max="13" width="21.85546875" style="36" customWidth="1"/>
    <col min="14" max="14" width="1.85546875" style="36" customWidth="1"/>
    <col min="15" max="15" width="21.85546875" style="36" customWidth="1"/>
    <col min="16" max="16" width="1.85546875" style="36" customWidth="1"/>
    <col min="17" max="17" width="21.85546875" style="36" customWidth="1"/>
    <col min="18" max="18" width="1.85546875" style="36" customWidth="1"/>
    <col min="19" max="19" width="18.85546875" style="36" customWidth="1"/>
    <col min="20" max="20" width="17.140625" style="36" customWidth="1"/>
    <col min="21" max="25" width="9.28515625" style="36"/>
    <col min="26" max="26" width="18.42578125" style="36" customWidth="1"/>
    <col min="27" max="16384" width="9.28515625" style="36"/>
  </cols>
  <sheetData>
    <row r="1" spans="1:26" s="51" customFormat="1">
      <c r="B1" s="45"/>
      <c r="C1" s="50"/>
      <c r="D1" s="50"/>
      <c r="E1" s="50"/>
      <c r="F1" s="50"/>
      <c r="G1" s="50"/>
      <c r="H1" s="50"/>
      <c r="I1" s="50" t="s">
        <v>312</v>
      </c>
      <c r="J1" s="50"/>
      <c r="K1" s="50" t="s">
        <v>313</v>
      </c>
      <c r="L1" s="50"/>
      <c r="M1" s="50" t="s">
        <v>314</v>
      </c>
      <c r="N1" s="50"/>
      <c r="O1" s="50" t="s">
        <v>315</v>
      </c>
      <c r="P1" s="50"/>
      <c r="Q1" s="50" t="s">
        <v>316</v>
      </c>
      <c r="R1" s="50"/>
      <c r="S1" s="50"/>
    </row>
    <row r="2" spans="1:26" ht="13.8">
      <c r="B2" s="45"/>
      <c r="C2" s="32" t="str">
        <f>IF(College_Number="&lt;&lt;&lt;College Number&gt;&gt;&gt;","Enter College Number on ExhA&amp;B",'ExhA&amp;B'!B2)</f>
        <v>C0</v>
      </c>
      <c r="D2" s="27"/>
      <c r="K2" s="338" t="s">
        <v>169</v>
      </c>
      <c r="L2" s="159"/>
      <c r="M2" s="550">
        <f>IF(PreparerName="","Enter Name on ExhA&amp;B",PreparerName)</f>
        <v>0</v>
      </c>
      <c r="N2" s="828"/>
      <c r="O2" s="828"/>
      <c r="P2" s="41"/>
      <c r="Q2" s="1064"/>
      <c r="R2" s="1064"/>
      <c r="S2" s="1064"/>
      <c r="T2" s="1064"/>
    </row>
    <row r="3" spans="1:26" ht="13.8">
      <c r="B3" s="45"/>
      <c r="C3" s="32" t="str">
        <f>College_Name</f>
        <v>Alamance Community College</v>
      </c>
      <c r="D3" s="32"/>
      <c r="K3" s="338" t="s">
        <v>173</v>
      </c>
      <c r="L3" s="159"/>
      <c r="M3" s="550" t="str">
        <f>IF(PreparerPhone="","Enter Phone Number on ExhA&amp;B",TEXT(PreparerPhone,"(000) 000-0000"))</f>
        <v>(000) 000-0000</v>
      </c>
      <c r="N3" s="828"/>
      <c r="O3" s="828"/>
      <c r="P3" s="41"/>
      <c r="Q3" s="1064"/>
      <c r="R3" s="1064"/>
      <c r="S3" s="1064"/>
      <c r="T3" s="1064"/>
    </row>
    <row r="4" spans="1:26" ht="13.8">
      <c r="B4" s="45"/>
      <c r="C4" s="32" t="s">
        <v>35</v>
      </c>
      <c r="K4" s="338" t="s">
        <v>9</v>
      </c>
      <c r="L4" s="159"/>
      <c r="M4" s="551">
        <f>Index!D13</f>
        <v>0</v>
      </c>
      <c r="N4" s="828"/>
      <c r="O4" s="828"/>
      <c r="Q4" s="1064"/>
      <c r="R4" s="1064"/>
      <c r="S4" s="1064"/>
      <c r="T4" s="1064"/>
    </row>
    <row r="5" spans="1:26">
      <c r="B5" s="45"/>
      <c r="C5" s="32" t="str">
        <f>"For the Fiscal Year Ended "&amp;TEXT('ExhA&amp;B'!B4,"mmmm d, yyyy")</f>
        <v>For the Fiscal Year Ended June 30, 2023</v>
      </c>
    </row>
    <row r="6" spans="1:26" ht="13.8" thickBot="1">
      <c r="B6" s="45"/>
      <c r="C6" s="28"/>
      <c r="D6" s="52"/>
      <c r="E6" s="52"/>
      <c r="F6" s="52"/>
      <c r="G6" s="52"/>
      <c r="H6" s="52"/>
      <c r="I6" s="52"/>
      <c r="J6" s="52"/>
      <c r="K6" s="52"/>
      <c r="L6" s="52"/>
      <c r="M6" s="52"/>
      <c r="N6" s="52"/>
      <c r="O6" s="52"/>
      <c r="P6" s="52"/>
      <c r="Q6" s="52"/>
      <c r="R6" s="52"/>
      <c r="S6" s="52"/>
      <c r="T6" s="52"/>
    </row>
    <row r="7" spans="1:26" s="46" customFormat="1" ht="6.75" customHeight="1">
      <c r="B7" s="45"/>
    </row>
    <row r="8" spans="1:26" s="46" customFormat="1" ht="7.5" customHeight="1">
      <c r="B8" s="45"/>
      <c r="C8" s="47"/>
      <c r="G8" s="48"/>
    </row>
    <row r="9" spans="1:26" s="26" customFormat="1" ht="15.6">
      <c r="B9" s="45"/>
      <c r="C9" s="1065" t="s">
        <v>317</v>
      </c>
      <c r="D9" s="1065"/>
      <c r="E9" s="1065"/>
      <c r="F9" s="1065"/>
      <c r="G9" s="1065"/>
      <c r="H9" s="1065"/>
      <c r="I9" s="1065"/>
      <c r="J9" s="1065"/>
      <c r="K9" s="1065"/>
      <c r="L9" s="1065"/>
      <c r="M9" s="1065"/>
      <c r="N9" s="1065"/>
      <c r="O9" s="1065"/>
      <c r="P9" s="1065"/>
      <c r="Q9" s="1065"/>
      <c r="R9" s="1065"/>
      <c r="S9" s="1065"/>
    </row>
    <row r="10" spans="1:26" ht="12.75" customHeight="1">
      <c r="B10" s="45"/>
      <c r="C10" s="987"/>
      <c r="D10" s="987"/>
      <c r="E10" s="987"/>
      <c r="F10" s="987"/>
      <c r="G10" s="987"/>
      <c r="H10" s="987"/>
      <c r="I10" s="987"/>
      <c r="J10" s="987"/>
      <c r="K10" s="987"/>
      <c r="L10" s="987"/>
      <c r="M10" s="987"/>
      <c r="N10" s="987"/>
      <c r="O10" s="987"/>
      <c r="P10" s="987"/>
      <c r="Q10" s="987"/>
      <c r="R10" s="987"/>
      <c r="S10" s="987"/>
    </row>
    <row r="11" spans="1:26" s="71" customFormat="1" ht="12.6">
      <c r="B11" s="69"/>
      <c r="C11" s="70"/>
    </row>
    <row r="12" spans="1:26" s="71" customFormat="1" ht="12.6">
      <c r="B12" s="69"/>
      <c r="H12" s="72"/>
      <c r="I12" s="461" t="s">
        <v>318</v>
      </c>
      <c r="J12" s="72"/>
      <c r="K12" s="461" t="s">
        <v>319</v>
      </c>
      <c r="L12" s="72"/>
      <c r="M12" s="461" t="s">
        <v>320</v>
      </c>
      <c r="N12" s="72"/>
      <c r="O12" s="461" t="s">
        <v>320</v>
      </c>
      <c r="P12" s="72"/>
      <c r="Q12" s="461" t="s">
        <v>321</v>
      </c>
      <c r="R12" s="72"/>
      <c r="S12" s="72"/>
    </row>
    <row r="13" spans="1:26" s="71" customFormat="1">
      <c r="B13" s="69"/>
      <c r="H13" s="73"/>
      <c r="I13" s="462">
        <f>+Index!$A$119</f>
        <v>44743</v>
      </c>
      <c r="J13" s="75"/>
      <c r="K13" s="463" t="s">
        <v>322</v>
      </c>
      <c r="L13" s="75"/>
      <c r="M13" s="463" t="s">
        <v>314</v>
      </c>
      <c r="N13" s="75"/>
      <c r="O13" s="463" t="s">
        <v>315</v>
      </c>
      <c r="P13" s="72"/>
      <c r="Q13" s="462">
        <f>+Index!$A$118</f>
        <v>45107</v>
      </c>
      <c r="R13" s="75"/>
      <c r="S13" s="73"/>
    </row>
    <row r="14" spans="1:26" s="71" customFormat="1" ht="13.8">
      <c r="B14" s="69"/>
      <c r="H14" s="73"/>
      <c r="I14" s="755"/>
      <c r="J14" s="75"/>
      <c r="K14" s="756" t="s">
        <v>323</v>
      </c>
      <c r="L14" s="756"/>
      <c r="M14" s="756" t="s">
        <v>324</v>
      </c>
      <c r="N14" s="756"/>
      <c r="O14" s="756" t="s">
        <v>325</v>
      </c>
      <c r="P14" s="72"/>
      <c r="Q14" s="755"/>
      <c r="R14" s="75"/>
      <c r="S14" s="73"/>
    </row>
    <row r="15" spans="1:26" s="71" customFormat="1">
      <c r="A15" s="465" t="s">
        <v>326</v>
      </c>
      <c r="B15" s="69"/>
      <c r="H15" s="73"/>
      <c r="I15" s="173" t="s">
        <v>327</v>
      </c>
      <c r="J15" s="75"/>
      <c r="K15" s="72" t="s">
        <v>328</v>
      </c>
      <c r="L15" s="75"/>
      <c r="M15" s="72" t="s">
        <v>329</v>
      </c>
      <c r="N15" s="75"/>
      <c r="O15" s="72" t="s">
        <v>330</v>
      </c>
      <c r="P15" s="72"/>
      <c r="Q15" s="173" t="s">
        <v>331</v>
      </c>
      <c r="R15" s="75"/>
      <c r="S15" s="73"/>
    </row>
    <row r="16" spans="1:26">
      <c r="A16" s="465" t="s">
        <v>332</v>
      </c>
      <c r="B16" s="45"/>
      <c r="H16" s="987"/>
      <c r="I16" s="987"/>
      <c r="J16" s="30"/>
      <c r="K16" s="987"/>
      <c r="L16" s="30"/>
      <c r="M16" s="987"/>
      <c r="N16" s="30"/>
      <c r="O16" s="987"/>
      <c r="P16" s="987"/>
      <c r="Q16" s="987"/>
      <c r="R16" s="30"/>
      <c r="S16" s="987"/>
      <c r="Z16" s="71"/>
    </row>
    <row r="17" spans="1:26">
      <c r="A17" s="465" t="s">
        <v>333</v>
      </c>
      <c r="B17" s="45"/>
      <c r="C17" s="32" t="s">
        <v>334</v>
      </c>
      <c r="H17" s="31"/>
      <c r="I17" s="31"/>
      <c r="J17" s="31"/>
      <c r="K17" s="31"/>
      <c r="L17" s="31"/>
      <c r="M17" s="31"/>
      <c r="N17" s="31"/>
      <c r="O17" s="31"/>
      <c r="P17" s="31"/>
      <c r="Q17" s="31"/>
      <c r="R17" s="31"/>
      <c r="S17" s="31"/>
    </row>
    <row r="18" spans="1:26" ht="13.8">
      <c r="A18" s="464">
        <v>1480</v>
      </c>
      <c r="B18" s="45">
        <v>1100</v>
      </c>
      <c r="D18" s="36" t="s">
        <v>335</v>
      </c>
      <c r="H18" s="55"/>
      <c r="I18" s="171">
        <f>VLOOKUP($C$2,CapAssetBegBal!$A$5:$AF$62,3,FALSE)</f>
        <v>2140546</v>
      </c>
      <c r="J18" s="54"/>
      <c r="K18" s="77">
        <v>0</v>
      </c>
      <c r="L18" s="77"/>
      <c r="M18" s="77">
        <v>0</v>
      </c>
      <c r="N18" s="77"/>
      <c r="O18" s="77">
        <v>0</v>
      </c>
      <c r="P18" s="54"/>
      <c r="Q18" s="54">
        <f>SUM(I18,K18,,M18,O18)</f>
        <v>2140546</v>
      </c>
      <c r="R18" s="54"/>
      <c r="S18" s="54"/>
      <c r="Z18" s="754">
        <v>12700000</v>
      </c>
    </row>
    <row r="19" spans="1:26" ht="13.8">
      <c r="A19" s="464">
        <v>1490</v>
      </c>
      <c r="B19" s="45">
        <v>1200</v>
      </c>
      <c r="D19" s="36" t="s">
        <v>336</v>
      </c>
      <c r="H19" s="55"/>
      <c r="I19" s="155">
        <f>VLOOKUP($C$2,CapAssetBegBal!$A$5:$AF$62,4,FALSE)</f>
        <v>0</v>
      </c>
      <c r="J19" s="55"/>
      <c r="K19" s="53">
        <v>0</v>
      </c>
      <c r="L19" s="53"/>
      <c r="M19" s="53">
        <v>0</v>
      </c>
      <c r="N19" s="53"/>
      <c r="O19" s="53">
        <v>0</v>
      </c>
      <c r="P19" s="55"/>
      <c r="Q19" s="55">
        <f>SUM(I19,K19,M19,O19)</f>
        <v>0</v>
      </c>
      <c r="R19" s="55"/>
      <c r="S19" s="55"/>
      <c r="Z19" s="754">
        <v>12741000</v>
      </c>
    </row>
    <row r="20" spans="1:26" ht="13.8">
      <c r="A20" s="464">
        <v>1500</v>
      </c>
      <c r="B20" s="45">
        <v>1300</v>
      </c>
      <c r="D20" s="36" t="s">
        <v>337</v>
      </c>
      <c r="H20" s="55"/>
      <c r="I20" s="155">
        <f>VLOOKUP($C$2,CapAssetBegBal!$A$5:$AF$62,5,FALSE)</f>
        <v>18802223.91</v>
      </c>
      <c r="J20" s="55"/>
      <c r="K20" s="53">
        <v>0</v>
      </c>
      <c r="L20" s="53"/>
      <c r="M20" s="53">
        <v>0</v>
      </c>
      <c r="N20" s="53"/>
      <c r="O20" s="53">
        <v>0</v>
      </c>
      <c r="P20" s="55"/>
      <c r="Q20" s="55">
        <f>SUM(I20,K20,M20,O20)</f>
        <v>18802223.91</v>
      </c>
      <c r="R20" s="55"/>
      <c r="S20" s="55"/>
      <c r="Z20" s="754">
        <v>12780000</v>
      </c>
    </row>
    <row r="21" spans="1:26" ht="13.8">
      <c r="A21" s="464">
        <v>1505</v>
      </c>
      <c r="B21" s="45">
        <v>1500</v>
      </c>
      <c r="D21" s="36" t="s">
        <v>338</v>
      </c>
      <c r="H21" s="55"/>
      <c r="I21" s="155">
        <f>VLOOKUP($C$2,CapAssetBegBal!$A$5:$AF$62,6,FALSE)</f>
        <v>0</v>
      </c>
      <c r="J21" s="55"/>
      <c r="K21" s="53">
        <v>0</v>
      </c>
      <c r="L21" s="53"/>
      <c r="M21" s="53">
        <v>0</v>
      </c>
      <c r="N21" s="53"/>
      <c r="O21" s="53">
        <v>0</v>
      </c>
      <c r="P21" s="55"/>
      <c r="Q21" s="55">
        <f>SUM(I21,K21,M21,O21)</f>
        <v>0</v>
      </c>
      <c r="R21" s="55"/>
      <c r="S21" s="55"/>
      <c r="Z21" s="754">
        <v>12783000</v>
      </c>
    </row>
    <row r="22" spans="1:26" ht="13.8">
      <c r="A22" s="464">
        <v>1506</v>
      </c>
      <c r="B22" s="45">
        <v>1600</v>
      </c>
      <c r="D22" s="36" t="s">
        <v>339</v>
      </c>
      <c r="H22" s="55"/>
      <c r="I22" s="155">
        <f>VLOOKUP($C$2,CapAssetBegBal!$A$5:$AF$62,7,FALSE)</f>
        <v>0</v>
      </c>
      <c r="J22" s="155">
        <f>VLOOKUP($C$2,CapAssetBegBal!$A$5:$AA$62,7,FALSE)</f>
        <v>0</v>
      </c>
      <c r="K22" s="541">
        <v>0</v>
      </c>
      <c r="L22" s="541"/>
      <c r="M22" s="541">
        <v>0</v>
      </c>
      <c r="N22" s="541"/>
      <c r="O22" s="541">
        <v>0</v>
      </c>
      <c r="P22" s="155">
        <f>VLOOKUP($C$2,CapAssetBegBal!$A$5:$AA$62,7,FALSE)</f>
        <v>0</v>
      </c>
      <c r="Q22" s="55">
        <f>SUM(I22,K22,M22,O22)</f>
        <v>0</v>
      </c>
      <c r="R22" s="55"/>
      <c r="S22" s="55"/>
      <c r="Z22" s="754">
        <v>12782000</v>
      </c>
    </row>
    <row r="23" spans="1:26" ht="13.8">
      <c r="A23" s="464">
        <v>1507</v>
      </c>
      <c r="B23" s="45">
        <v>1700</v>
      </c>
      <c r="D23" s="36" t="s">
        <v>340</v>
      </c>
      <c r="H23" s="55"/>
      <c r="I23" s="155">
        <f>VLOOKUP($C$2,CapAssetBegBal!$A$5:$AF$62,8,FALSE)</f>
        <v>0</v>
      </c>
      <c r="J23" s="155"/>
      <c r="K23" s="541">
        <v>0</v>
      </c>
      <c r="L23" s="541"/>
      <c r="M23" s="541">
        <v>0</v>
      </c>
      <c r="N23" s="541"/>
      <c r="O23" s="541">
        <v>0</v>
      </c>
      <c r="P23" s="155"/>
      <c r="Q23" s="55">
        <f>SUM(I23,K23,M23,O23)</f>
        <v>0</v>
      </c>
      <c r="R23" s="55"/>
      <c r="S23" s="55"/>
      <c r="Z23" s="754">
        <v>12750500</v>
      </c>
    </row>
    <row r="24" spans="1:26">
      <c r="A24" s="464">
        <v>1470</v>
      </c>
      <c r="B24" s="45">
        <v>1400</v>
      </c>
      <c r="E24" s="32" t="s">
        <v>341</v>
      </c>
      <c r="H24" s="55"/>
      <c r="I24" s="99">
        <f>SUM(I18:I23)</f>
        <v>20942769.91</v>
      </c>
      <c r="J24" s="55"/>
      <c r="K24" s="99">
        <f>SUM(K18:K23)</f>
        <v>0</v>
      </c>
      <c r="L24" s="55"/>
      <c r="M24" s="99">
        <f>SUM(M18:M23)</f>
        <v>0</v>
      </c>
      <c r="N24" s="55"/>
      <c r="O24" s="99">
        <f>SUM(O18:O23)</f>
        <v>0</v>
      </c>
      <c r="P24" s="55"/>
      <c r="Q24" s="99">
        <f>SUM(Q18:Q23)</f>
        <v>20942769.91</v>
      </c>
      <c r="R24" s="55"/>
      <c r="S24" s="55" t="s">
        <v>342</v>
      </c>
    </row>
    <row r="25" spans="1:26" ht="13.8">
      <c r="B25" s="45">
        <v>2000</v>
      </c>
      <c r="C25" s="32" t="s">
        <v>343</v>
      </c>
      <c r="H25" s="55"/>
      <c r="I25" s="55"/>
      <c r="J25" s="55"/>
      <c r="K25" s="55"/>
      <c r="L25" s="55"/>
      <c r="M25" s="55"/>
      <c r="N25" s="55"/>
      <c r="O25" s="55"/>
      <c r="P25" s="55"/>
      <c r="Q25" s="55"/>
      <c r="R25" s="55"/>
      <c r="S25" s="58" t="str">
        <f>IF('ExhA&amp;B'!D38=Q24,"In Bal.","NOT")</f>
        <v>In Bal.</v>
      </c>
    </row>
    <row r="26" spans="1:26" ht="13.8">
      <c r="A26" s="464">
        <v>1520</v>
      </c>
      <c r="B26" s="45">
        <v>2100</v>
      </c>
      <c r="D26" s="36" t="s">
        <v>344</v>
      </c>
      <c r="H26" s="55"/>
      <c r="I26" s="155">
        <f>VLOOKUP($C$2,CapAssetBegBal!$A$5:$AF$62,9,FALSE)</f>
        <v>58996827.520000003</v>
      </c>
      <c r="J26" s="55"/>
      <c r="K26" s="53">
        <v>0</v>
      </c>
      <c r="L26" s="55"/>
      <c r="M26" s="53">
        <v>0</v>
      </c>
      <c r="N26" s="55"/>
      <c r="O26" s="53">
        <v>0</v>
      </c>
      <c r="P26" s="55"/>
      <c r="Q26" s="55">
        <f t="shared" ref="Q26:Q34" si="0">SUM(I26,K26,M26,O26)</f>
        <v>58996827.520000003</v>
      </c>
      <c r="R26" s="55"/>
      <c r="S26" s="55"/>
      <c r="Z26" s="754">
        <v>12710000</v>
      </c>
    </row>
    <row r="27" spans="1:26" ht="13.8">
      <c r="A27" s="464">
        <v>1550</v>
      </c>
      <c r="B27" s="45">
        <v>2400</v>
      </c>
      <c r="D27" s="36" t="s">
        <v>345</v>
      </c>
      <c r="H27" s="55"/>
      <c r="I27" s="155">
        <f>VLOOKUP($C$2,CapAssetBegBal!$A$5:$AF$62,10,FALSE)</f>
        <v>3784929.11</v>
      </c>
      <c r="J27" s="55"/>
      <c r="K27" s="53">
        <v>0</v>
      </c>
      <c r="L27" s="55"/>
      <c r="M27" s="53">
        <v>0</v>
      </c>
      <c r="N27" s="55"/>
      <c r="O27" s="53">
        <v>0</v>
      </c>
      <c r="P27" s="55"/>
      <c r="Q27" s="55">
        <f t="shared" si="0"/>
        <v>3784929.11</v>
      </c>
      <c r="R27" s="55"/>
      <c r="S27" s="55"/>
      <c r="Z27" s="754">
        <v>12721000</v>
      </c>
    </row>
    <row r="28" spans="1:26" ht="13.8">
      <c r="A28" s="464">
        <v>1530</v>
      </c>
      <c r="B28" s="45">
        <v>2500</v>
      </c>
      <c r="D28" s="36" t="s">
        <v>346</v>
      </c>
      <c r="H28" s="55"/>
      <c r="I28" s="155">
        <f>VLOOKUP($C$2,CapAssetBegBal!$A$5:$AF$62,11,FALSE)</f>
        <v>8350746.0499999998</v>
      </c>
      <c r="J28" s="55"/>
      <c r="K28" s="53">
        <v>0</v>
      </c>
      <c r="L28" s="55"/>
      <c r="M28" s="53">
        <v>0</v>
      </c>
      <c r="N28" s="55"/>
      <c r="O28" s="53">
        <v>0</v>
      </c>
      <c r="P28" s="55"/>
      <c r="Q28" s="55">
        <f t="shared" si="0"/>
        <v>8350746.0499999998</v>
      </c>
      <c r="R28" s="55"/>
      <c r="S28" s="55"/>
      <c r="Z28" s="754">
        <v>12731000</v>
      </c>
    </row>
    <row r="29" spans="1:26" ht="13.8">
      <c r="A29" s="464">
        <v>1540</v>
      </c>
      <c r="B29" s="45">
        <v>2600</v>
      </c>
      <c r="D29" s="36" t="s">
        <v>347</v>
      </c>
      <c r="H29" s="55"/>
      <c r="I29" s="155">
        <f>VLOOKUP($C$2,CapAssetBegBal!$A$5:$AF$62,12,FALSE)</f>
        <v>0</v>
      </c>
      <c r="J29" s="55"/>
      <c r="K29" s="53">
        <v>0</v>
      </c>
      <c r="L29" s="55"/>
      <c r="M29" s="53">
        <v>0</v>
      </c>
      <c r="N29" s="55"/>
      <c r="O29" s="53">
        <v>0</v>
      </c>
      <c r="P29" s="55"/>
      <c r="Q29" s="55">
        <f t="shared" si="0"/>
        <v>0</v>
      </c>
      <c r="R29" s="55"/>
      <c r="S29" s="55"/>
      <c r="Z29" s="754">
        <v>12740000</v>
      </c>
    </row>
    <row r="30" spans="1:26" ht="13.8">
      <c r="A30" s="464">
        <v>1555</v>
      </c>
      <c r="B30" s="45">
        <v>2200</v>
      </c>
      <c r="D30" s="36" t="s">
        <v>348</v>
      </c>
      <c r="H30" s="55"/>
      <c r="I30" s="155">
        <f>VLOOKUP($C$2,CapAssetBegBal!$A$5:$AF$62,13,FALSE)</f>
        <v>0</v>
      </c>
      <c r="J30" s="55"/>
      <c r="K30" s="53">
        <v>0</v>
      </c>
      <c r="L30" s="55"/>
      <c r="M30" s="53">
        <v>0</v>
      </c>
      <c r="N30" s="55"/>
      <c r="O30" s="53">
        <v>0</v>
      </c>
      <c r="P30" s="55"/>
      <c r="Q30" s="55">
        <f t="shared" si="0"/>
        <v>0</v>
      </c>
      <c r="R30" s="55"/>
      <c r="S30" s="55"/>
      <c r="Z30" s="754">
        <v>12753000</v>
      </c>
    </row>
    <row r="31" spans="1:26" ht="13.8">
      <c r="A31" s="464">
        <v>1556</v>
      </c>
      <c r="B31" s="45">
        <v>2300</v>
      </c>
      <c r="D31" s="36" t="s">
        <v>349</v>
      </c>
      <c r="H31" s="55"/>
      <c r="I31" s="155">
        <f>VLOOKUP($C$2,CapAssetBegBal!$A$5:$AF$62,14,FALSE)</f>
        <v>0</v>
      </c>
      <c r="J31" s="55"/>
      <c r="K31" s="53">
        <v>0</v>
      </c>
      <c r="L31" s="55"/>
      <c r="M31" s="53">
        <v>0</v>
      </c>
      <c r="N31" s="55"/>
      <c r="O31" s="53">
        <v>0</v>
      </c>
      <c r="P31" s="55"/>
      <c r="Q31" s="55">
        <f t="shared" si="0"/>
        <v>0</v>
      </c>
      <c r="R31" s="55"/>
      <c r="S31" s="55"/>
      <c r="Z31" s="754">
        <v>12752000</v>
      </c>
    </row>
    <row r="32" spans="1:26" ht="13.8">
      <c r="A32" s="464">
        <v>1560</v>
      </c>
      <c r="B32" s="45">
        <v>2700</v>
      </c>
      <c r="D32" s="36" t="s">
        <v>350</v>
      </c>
      <c r="H32" s="55"/>
      <c r="I32" s="155">
        <f>VLOOKUP($C$2,CapAssetBegBal!$A$5:$AF$62,15,FALSE)</f>
        <v>0</v>
      </c>
      <c r="J32" s="55"/>
      <c r="K32" s="53">
        <v>0</v>
      </c>
      <c r="L32" s="55"/>
      <c r="M32" s="53">
        <v>0</v>
      </c>
      <c r="N32" s="55"/>
      <c r="O32" s="53">
        <v>0</v>
      </c>
      <c r="P32" s="55"/>
      <c r="Q32" s="55">
        <f t="shared" si="0"/>
        <v>0</v>
      </c>
      <c r="R32" s="55"/>
      <c r="S32" s="55"/>
      <c r="Z32" s="754">
        <v>12750000</v>
      </c>
    </row>
    <row r="33" spans="1:26" ht="13.8">
      <c r="A33" s="464"/>
      <c r="B33" s="45"/>
      <c r="C33" s="32" t="s">
        <v>351</v>
      </c>
      <c r="H33" s="55"/>
      <c r="I33" s="155"/>
      <c r="J33" s="55"/>
      <c r="K33" s="53"/>
      <c r="L33" s="55"/>
      <c r="M33" s="53"/>
      <c r="N33" s="55"/>
      <c r="O33" s="53"/>
      <c r="P33" s="55"/>
      <c r="Q33" s="55"/>
      <c r="R33" s="55"/>
      <c r="S33" s="55"/>
      <c r="Z33" s="754"/>
    </row>
    <row r="34" spans="1:26" ht="13.8">
      <c r="A34" s="464"/>
      <c r="B34" s="45"/>
      <c r="C34" s="32"/>
      <c r="D34" s="36" t="s">
        <v>352</v>
      </c>
      <c r="H34" s="783" t="s">
        <v>146</v>
      </c>
      <c r="I34" s="155">
        <f>VLOOKUP($C$2,CapAssetBegBal!$A$5:$AF$62,16,FALSE)</f>
        <v>0</v>
      </c>
      <c r="J34" s="55"/>
      <c r="K34" s="53">
        <v>0</v>
      </c>
      <c r="L34" s="55"/>
      <c r="M34" s="53">
        <v>0</v>
      </c>
      <c r="N34" s="55"/>
      <c r="O34" s="53">
        <v>0</v>
      </c>
      <c r="P34" s="55"/>
      <c r="Q34" s="55">
        <f t="shared" si="0"/>
        <v>0</v>
      </c>
      <c r="R34" s="55"/>
      <c r="S34" s="55"/>
      <c r="Z34" s="754">
        <v>12700100</v>
      </c>
    </row>
    <row r="35" spans="1:26" ht="13.8">
      <c r="A35" s="464"/>
      <c r="B35" s="45"/>
      <c r="C35" s="32"/>
      <c r="D35" s="36" t="s">
        <v>353</v>
      </c>
      <c r="H35" s="783" t="s">
        <v>146</v>
      </c>
      <c r="I35" s="155">
        <f>VLOOKUP($C$2,CapAssetBegBal!$A$5:$AF$62,17,FALSE)</f>
        <v>0</v>
      </c>
      <c r="J35" s="55"/>
      <c r="K35" s="53">
        <v>0</v>
      </c>
      <c r="L35" s="55"/>
      <c r="M35" s="53">
        <v>0</v>
      </c>
      <c r="N35" s="55"/>
      <c r="O35" s="53">
        <v>0</v>
      </c>
      <c r="P35" s="55"/>
      <c r="Q35" s="55">
        <f t="shared" ref="Q35:Q37" si="1">SUM(I35,K35,M35,O35)</f>
        <v>0</v>
      </c>
      <c r="R35" s="55"/>
      <c r="S35" s="55"/>
      <c r="Z35" s="754">
        <v>12710100</v>
      </c>
    </row>
    <row r="36" spans="1:26" ht="13.8">
      <c r="A36" s="464"/>
      <c r="B36" s="45"/>
      <c r="C36" s="32"/>
      <c r="D36" s="36" t="s">
        <v>354</v>
      </c>
      <c r="H36" s="783" t="s">
        <v>146</v>
      </c>
      <c r="I36" s="155">
        <f>VLOOKUP($C$2,CapAssetBegBal!$A$5:$AF$62,18,FALSE)</f>
        <v>221550.27</v>
      </c>
      <c r="J36" s="55"/>
      <c r="K36" s="53">
        <v>0</v>
      </c>
      <c r="L36" s="55"/>
      <c r="M36" s="53">
        <v>0</v>
      </c>
      <c r="N36" s="55"/>
      <c r="O36" s="53">
        <v>0</v>
      </c>
      <c r="P36" s="55"/>
      <c r="Q36" s="55">
        <f t="shared" si="1"/>
        <v>221550.27</v>
      </c>
      <c r="R36" s="55"/>
      <c r="S36" s="55"/>
      <c r="Z36" s="754">
        <v>12735000</v>
      </c>
    </row>
    <row r="37" spans="1:26" ht="13.8">
      <c r="A37" s="464"/>
      <c r="B37" s="45"/>
      <c r="D37" s="36" t="s">
        <v>355</v>
      </c>
      <c r="H37" s="783" t="s">
        <v>146</v>
      </c>
      <c r="I37" s="155">
        <f>VLOOKUP($C$2,CapAssetBegBal!$A$5:$AF$62,19,FALSE)</f>
        <v>0</v>
      </c>
      <c r="J37" s="55"/>
      <c r="K37" s="53">
        <v>0</v>
      </c>
      <c r="L37" s="55"/>
      <c r="M37" s="53">
        <v>0</v>
      </c>
      <c r="N37" s="55"/>
      <c r="O37" s="53">
        <v>0</v>
      </c>
      <c r="P37" s="55"/>
      <c r="Q37" s="55">
        <f t="shared" si="1"/>
        <v>0</v>
      </c>
      <c r="R37" s="55"/>
      <c r="S37" s="55"/>
      <c r="Z37" s="754">
        <v>12729500</v>
      </c>
    </row>
    <row r="38" spans="1:26">
      <c r="A38" s="464"/>
      <c r="B38" s="45"/>
      <c r="D38" s="914" t="s">
        <v>1947</v>
      </c>
      <c r="E38" s="914"/>
      <c r="F38" s="914"/>
      <c r="G38" s="914"/>
      <c r="H38" s="913" t="s">
        <v>356</v>
      </c>
      <c r="I38" s="969" t="s">
        <v>146</v>
      </c>
      <c r="J38" s="55"/>
      <c r="K38" s="53">
        <v>0</v>
      </c>
      <c r="L38" s="55"/>
      <c r="M38" s="53">
        <v>0</v>
      </c>
      <c r="N38" s="55"/>
      <c r="O38" s="53">
        <v>0</v>
      </c>
      <c r="P38" s="55"/>
      <c r="Q38" s="55">
        <f t="shared" ref="Q38" si="2">SUM(I38,K38,M38,O38)</f>
        <v>0</v>
      </c>
      <c r="R38" s="55"/>
      <c r="S38" s="55"/>
      <c r="Z38" s="754">
        <v>12754000</v>
      </c>
    </row>
    <row r="39" spans="1:26">
      <c r="B39" s="45">
        <v>2800</v>
      </c>
      <c r="E39" s="36" t="s">
        <v>357</v>
      </c>
      <c r="H39" s="55"/>
      <c r="I39" s="99">
        <f>SUM(I26:I38)</f>
        <v>71354052.950000003</v>
      </c>
      <c r="J39" s="55"/>
      <c r="K39" s="99">
        <f>SUM(K26:K38)</f>
        <v>0</v>
      </c>
      <c r="L39" s="55"/>
      <c r="M39" s="99">
        <f>SUM(M26:M38)</f>
        <v>0</v>
      </c>
      <c r="N39" s="55"/>
      <c r="O39" s="99">
        <f>SUM(O26:O38)</f>
        <v>0</v>
      </c>
      <c r="P39" s="55"/>
      <c r="Q39" s="99">
        <f>SUM(Q26:Q38)</f>
        <v>71354052.950000003</v>
      </c>
      <c r="R39" s="55"/>
      <c r="S39" s="55"/>
    </row>
    <row r="40" spans="1:26" ht="13.2" customHeight="1">
      <c r="B40" s="45"/>
      <c r="H40" s="55"/>
      <c r="I40" s="55"/>
      <c r="J40" s="55"/>
      <c r="K40" s="55"/>
      <c r="L40" s="55"/>
      <c r="M40" s="55"/>
      <c r="N40" s="55"/>
      <c r="O40" s="55"/>
      <c r="P40" s="55"/>
      <c r="Q40" s="55"/>
      <c r="R40" s="55"/>
      <c r="S40" s="55"/>
    </row>
    <row r="41" spans="1:26" ht="12.75" customHeight="1">
      <c r="B41" s="45"/>
      <c r="C41" s="32" t="s">
        <v>358</v>
      </c>
      <c r="D41" s="32"/>
      <c r="E41" s="32"/>
      <c r="F41" s="32"/>
      <c r="G41" s="32"/>
      <c r="H41" s="55"/>
      <c r="I41" s="55"/>
      <c r="J41" s="55"/>
      <c r="K41" s="55"/>
      <c r="L41" s="55"/>
      <c r="M41" s="55"/>
      <c r="N41" s="55"/>
      <c r="O41" s="55"/>
      <c r="P41" s="55"/>
      <c r="Q41" s="58"/>
      <c r="R41" s="55"/>
      <c r="S41" s="55"/>
    </row>
    <row r="42" spans="1:26" ht="12.75" customHeight="1">
      <c r="B42" s="45"/>
      <c r="D42" s="32" t="s">
        <v>343</v>
      </c>
      <c r="E42" s="32"/>
      <c r="F42" s="32"/>
      <c r="G42" s="32"/>
      <c r="H42" s="55"/>
      <c r="I42" s="55"/>
      <c r="J42" s="55"/>
      <c r="K42" s="55"/>
      <c r="L42" s="55"/>
      <c r="M42" s="55"/>
      <c r="N42" s="55"/>
      <c r="O42" s="55"/>
      <c r="P42" s="55"/>
      <c r="Q42" s="58"/>
      <c r="R42" s="55"/>
      <c r="S42" s="55"/>
    </row>
    <row r="43" spans="1:26" ht="13.8">
      <c r="A43" s="464" t="s">
        <v>359</v>
      </c>
      <c r="B43" s="45">
        <v>3000</v>
      </c>
      <c r="D43" s="36" t="s">
        <v>344</v>
      </c>
      <c r="H43" s="55"/>
      <c r="I43" s="155">
        <f>VLOOKUP($C$2,CapAssetBegBal!$A$5:$AF$62,21,FALSE)</f>
        <v>19524814.870000001</v>
      </c>
      <c r="J43" s="54"/>
      <c r="K43" s="53">
        <v>0</v>
      </c>
      <c r="M43" s="53">
        <v>0</v>
      </c>
      <c r="N43" s="54"/>
      <c r="O43" s="53">
        <v>0</v>
      </c>
      <c r="Q43" s="55">
        <f t="shared" ref="Q43:Q54" si="3">SUM(I43,K43,M43,O43)</f>
        <v>19524814.870000001</v>
      </c>
      <c r="R43" s="54"/>
      <c r="S43" s="54"/>
      <c r="Z43" s="754">
        <v>12791000</v>
      </c>
    </row>
    <row r="44" spans="1:26" ht="13.8">
      <c r="A44" s="464" t="s">
        <v>360</v>
      </c>
      <c r="B44" s="45">
        <v>3100</v>
      </c>
      <c r="D44" s="36" t="s">
        <v>361</v>
      </c>
      <c r="H44" s="55"/>
      <c r="I44" s="155">
        <f>VLOOKUP($C$2,CapAssetBegBal!$A$5:$AF$62,22,FALSE)</f>
        <v>1120591.6299999999</v>
      </c>
      <c r="J44" s="55"/>
      <c r="K44" s="53">
        <v>0</v>
      </c>
      <c r="M44" s="53">
        <v>0</v>
      </c>
      <c r="N44" s="55"/>
      <c r="O44" s="53">
        <v>0</v>
      </c>
      <c r="Q44" s="55">
        <f t="shared" si="3"/>
        <v>1120591.6299999999</v>
      </c>
      <c r="R44" s="55"/>
      <c r="S44" s="55"/>
      <c r="Z44" s="754">
        <v>12792000</v>
      </c>
    </row>
    <row r="45" spans="1:26" ht="13.8">
      <c r="A45" s="464" t="s">
        <v>362</v>
      </c>
      <c r="B45" s="45">
        <v>3200</v>
      </c>
      <c r="D45" s="36" t="s">
        <v>346</v>
      </c>
      <c r="H45" s="55"/>
      <c r="I45" s="155">
        <f>VLOOKUP($C$2,CapAssetBegBal!$A$5:$AF$62,23,FALSE)</f>
        <v>3377700.39</v>
      </c>
      <c r="J45" s="55"/>
      <c r="K45" s="53">
        <v>0</v>
      </c>
      <c r="M45" s="53">
        <v>0</v>
      </c>
      <c r="N45" s="55"/>
      <c r="O45" s="53">
        <v>0</v>
      </c>
      <c r="Q45" s="55">
        <f t="shared" si="3"/>
        <v>3377700.39</v>
      </c>
      <c r="R45" s="55"/>
      <c r="S45" s="55"/>
      <c r="Z45" s="754">
        <v>12793600</v>
      </c>
    </row>
    <row r="46" spans="1:26" ht="13.8">
      <c r="A46" s="464" t="s">
        <v>363</v>
      </c>
      <c r="B46" s="45">
        <v>3300</v>
      </c>
      <c r="D46" s="36" t="s">
        <v>347</v>
      </c>
      <c r="H46" s="55"/>
      <c r="I46" s="155">
        <f>VLOOKUP($C$2,CapAssetBegBal!$A$5:$AF$62,24,FALSE)</f>
        <v>0</v>
      </c>
      <c r="J46" s="55"/>
      <c r="K46" s="53">
        <v>0</v>
      </c>
      <c r="M46" s="53">
        <v>0</v>
      </c>
      <c r="N46" s="55"/>
      <c r="O46" s="53">
        <v>0</v>
      </c>
      <c r="Q46" s="55">
        <f t="shared" si="3"/>
        <v>0</v>
      </c>
      <c r="R46" s="55"/>
      <c r="S46" s="55"/>
      <c r="Z46" s="754">
        <v>12794000</v>
      </c>
    </row>
    <row r="47" spans="1:26" ht="13.8">
      <c r="A47" s="464" t="s">
        <v>364</v>
      </c>
      <c r="B47" s="45">
        <v>3600</v>
      </c>
      <c r="D47" s="36" t="s">
        <v>365</v>
      </c>
      <c r="H47" s="55"/>
      <c r="I47" s="155">
        <f>VLOOKUP($C$2,CapAssetBegBal!$A$5:$AF$62,25,FALSE)</f>
        <v>0</v>
      </c>
      <c r="J47" s="55"/>
      <c r="K47" s="53">
        <v>0</v>
      </c>
      <c r="M47" s="53">
        <v>0</v>
      </c>
      <c r="N47" s="55"/>
      <c r="O47" s="53">
        <v>0</v>
      </c>
      <c r="Q47" s="55">
        <f t="shared" si="3"/>
        <v>0</v>
      </c>
      <c r="R47" s="55"/>
      <c r="S47" s="55"/>
      <c r="Z47" s="754">
        <v>12795200</v>
      </c>
    </row>
    <row r="48" spans="1:26" ht="13.8">
      <c r="A48" s="464" t="s">
        <v>366</v>
      </c>
      <c r="B48" s="45">
        <v>3700</v>
      </c>
      <c r="D48" s="36" t="s">
        <v>367</v>
      </c>
      <c r="H48" s="55"/>
      <c r="I48" s="155">
        <f>VLOOKUP($C$2,CapAssetBegBal!$A$5:$AF$62,26,FALSE)</f>
        <v>0</v>
      </c>
      <c r="J48" s="55"/>
      <c r="K48" s="53">
        <v>0</v>
      </c>
      <c r="M48" s="53">
        <v>0</v>
      </c>
      <c r="N48" s="55"/>
      <c r="O48" s="53">
        <v>0</v>
      </c>
      <c r="Q48" s="55">
        <f t="shared" si="3"/>
        <v>0</v>
      </c>
      <c r="R48" s="55"/>
      <c r="S48" s="55"/>
      <c r="Z48" s="754">
        <v>12795100</v>
      </c>
    </row>
    <row r="49" spans="1:26" ht="13.8">
      <c r="A49" s="464" t="s">
        <v>368</v>
      </c>
      <c r="B49" s="45">
        <v>3400</v>
      </c>
      <c r="D49" s="36" t="s">
        <v>350</v>
      </c>
      <c r="H49" s="55"/>
      <c r="I49" s="155">
        <f>VLOOKUP($C$2,CapAssetBegBal!$A$5:$AF$62,27,FALSE)</f>
        <v>0</v>
      </c>
      <c r="J49" s="55"/>
      <c r="K49" s="53">
        <v>0</v>
      </c>
      <c r="M49" s="53">
        <v>0</v>
      </c>
      <c r="N49" s="55"/>
      <c r="O49" s="53">
        <v>0</v>
      </c>
      <c r="Q49" s="55">
        <f t="shared" si="3"/>
        <v>0</v>
      </c>
      <c r="R49" s="55"/>
      <c r="S49" s="55"/>
      <c r="Z49" s="754">
        <v>12795000</v>
      </c>
    </row>
    <row r="50" spans="1:26" ht="13.8">
      <c r="A50" s="464"/>
      <c r="B50" s="45"/>
      <c r="D50" s="32" t="s">
        <v>351</v>
      </c>
      <c r="H50" s="55"/>
      <c r="I50" s="155"/>
      <c r="J50" s="55"/>
      <c r="K50" s="53"/>
      <c r="M50" s="53"/>
      <c r="N50" s="55"/>
      <c r="O50" s="53"/>
      <c r="Q50" s="55"/>
      <c r="R50" s="55"/>
      <c r="S50" s="55"/>
      <c r="Z50" s="754"/>
    </row>
    <row r="51" spans="1:26" ht="13.8">
      <c r="A51" s="464"/>
      <c r="B51" s="45"/>
      <c r="D51" s="36" t="s">
        <v>352</v>
      </c>
      <c r="H51" s="783" t="s">
        <v>146</v>
      </c>
      <c r="I51" s="155">
        <f>VLOOKUP($C$2,CapAssetBegBal!$A$5:$AF$62,28,FALSE)</f>
        <v>0</v>
      </c>
      <c r="J51" s="55"/>
      <c r="K51" s="53">
        <v>0</v>
      </c>
      <c r="M51" s="53">
        <v>0</v>
      </c>
      <c r="N51" s="55"/>
      <c r="O51" s="53">
        <v>0</v>
      </c>
      <c r="Q51" s="55">
        <f t="shared" si="3"/>
        <v>0</v>
      </c>
      <c r="R51" s="55"/>
      <c r="S51" s="55"/>
      <c r="Z51" s="754">
        <v>12797000</v>
      </c>
    </row>
    <row r="52" spans="1:26" ht="13.8">
      <c r="A52" s="464"/>
      <c r="B52" s="45"/>
      <c r="D52" s="36" t="s">
        <v>353</v>
      </c>
      <c r="H52" s="783" t="s">
        <v>146</v>
      </c>
      <c r="I52" s="155">
        <f>VLOOKUP($C$2,CapAssetBegBal!$A$5:$AF$62,29,FALSE)</f>
        <v>0</v>
      </c>
      <c r="J52" s="55"/>
      <c r="K52" s="53">
        <v>0</v>
      </c>
      <c r="M52" s="53">
        <v>0</v>
      </c>
      <c r="N52" s="55"/>
      <c r="O52" s="53">
        <v>0</v>
      </c>
      <c r="Q52" s="55">
        <f t="shared" si="3"/>
        <v>0</v>
      </c>
      <c r="R52" s="55"/>
      <c r="S52" s="55"/>
      <c r="Z52" s="754">
        <v>12797100</v>
      </c>
    </row>
    <row r="53" spans="1:26" ht="13.8">
      <c r="A53" s="464"/>
      <c r="B53" s="45"/>
      <c r="D53" s="36" t="s">
        <v>354</v>
      </c>
      <c r="H53" s="783" t="s">
        <v>146</v>
      </c>
      <c r="I53" s="155">
        <f>VLOOKUP($C$2,CapAssetBegBal!$A$5:$AF$62,30,FALSE)</f>
        <v>25847.5</v>
      </c>
      <c r="J53" s="55"/>
      <c r="K53" s="53">
        <v>0</v>
      </c>
      <c r="M53" s="53">
        <v>0</v>
      </c>
      <c r="N53" s="55"/>
      <c r="O53" s="53">
        <v>0</v>
      </c>
      <c r="Q53" s="55">
        <f t="shared" si="3"/>
        <v>25847.5</v>
      </c>
      <c r="R53" s="55"/>
      <c r="S53" s="55"/>
      <c r="Z53" s="754">
        <v>12797200</v>
      </c>
    </row>
    <row r="54" spans="1:26" ht="13.8">
      <c r="A54" s="464"/>
      <c r="B54" s="45"/>
      <c r="D54" s="36" t="s">
        <v>355</v>
      </c>
      <c r="H54" s="783" t="s">
        <v>146</v>
      </c>
      <c r="I54" s="155">
        <f>VLOOKUP($C$2,CapAssetBegBal!$A$5:$AF$62,31,FALSE)</f>
        <v>0</v>
      </c>
      <c r="J54" s="55"/>
      <c r="K54" s="53">
        <v>0</v>
      </c>
      <c r="M54" s="53">
        <v>0</v>
      </c>
      <c r="N54" s="55"/>
      <c r="O54" s="53">
        <v>0</v>
      </c>
      <c r="Q54" s="55">
        <f t="shared" si="3"/>
        <v>0</v>
      </c>
      <c r="R54" s="55"/>
      <c r="S54" s="55"/>
      <c r="Z54" s="754">
        <v>12797300</v>
      </c>
    </row>
    <row r="55" spans="1:26">
      <c r="A55" s="464"/>
      <c r="B55" s="45"/>
      <c r="D55" s="914" t="s">
        <v>1948</v>
      </c>
      <c r="E55" s="914"/>
      <c r="F55" s="914"/>
      <c r="G55" s="914"/>
      <c r="H55" s="913" t="s">
        <v>356</v>
      </c>
      <c r="I55" s="969" t="s">
        <v>146</v>
      </c>
      <c r="J55" s="55"/>
      <c r="K55" s="53">
        <v>0</v>
      </c>
      <c r="M55" s="53">
        <v>0</v>
      </c>
      <c r="N55" s="55"/>
      <c r="O55" s="53">
        <v>0</v>
      </c>
      <c r="Q55" s="55">
        <f t="shared" ref="Q55" si="4">SUM(I55,K55,M55,O55)</f>
        <v>0</v>
      </c>
      <c r="R55" s="55"/>
      <c r="S55" s="55"/>
      <c r="Z55" s="754">
        <v>12797400</v>
      </c>
    </row>
    <row r="56" spans="1:26">
      <c r="B56" s="45">
        <v>3500</v>
      </c>
      <c r="E56" s="36" t="s">
        <v>369</v>
      </c>
      <c r="H56" s="55"/>
      <c r="I56" s="99">
        <f>SUM(I43:I55)</f>
        <v>24048954.390000001</v>
      </c>
      <c r="J56" s="55"/>
      <c r="K56" s="57">
        <f>SUM(K43:K55)</f>
        <v>0</v>
      </c>
      <c r="M56" s="57">
        <f>SUM(M43:M55)</f>
        <v>0</v>
      </c>
      <c r="N56" s="55"/>
      <c r="O56" s="57">
        <f>SUM(O43:O55)</f>
        <v>0</v>
      </c>
      <c r="Q56" s="99">
        <f>SUM(Q43:Q55)</f>
        <v>24048954.390000001</v>
      </c>
      <c r="R56" s="55"/>
      <c r="S56" s="54"/>
    </row>
    <row r="57" spans="1:26">
      <c r="A57" s="464">
        <v>1510</v>
      </c>
      <c r="B57" s="45"/>
      <c r="E57" s="32" t="s">
        <v>370</v>
      </c>
      <c r="H57" s="55"/>
      <c r="I57" s="829">
        <f>I39-I56</f>
        <v>47305098.560000002</v>
      </c>
      <c r="J57" s="55"/>
      <c r="K57" s="829">
        <f>K39-K56</f>
        <v>0</v>
      </c>
      <c r="M57" s="829">
        <f>M39-M56</f>
        <v>0</v>
      </c>
      <c r="N57" s="55"/>
      <c r="O57" s="829">
        <f>O39-O56</f>
        <v>0</v>
      </c>
      <c r="Q57" s="829">
        <f>Q39-Q56</f>
        <v>47305098.560000002</v>
      </c>
      <c r="R57" s="55"/>
      <c r="S57" s="55" t="s">
        <v>342</v>
      </c>
    </row>
    <row r="58" spans="1:26" ht="21" customHeight="1" thickBot="1">
      <c r="B58" s="45"/>
      <c r="C58" s="32" t="s">
        <v>371</v>
      </c>
      <c r="I58" s="154">
        <f>I24+I57</f>
        <v>68247868.469999999</v>
      </c>
      <c r="K58" s="154">
        <f>K24+K57</f>
        <v>0</v>
      </c>
      <c r="M58" s="154">
        <f>M24+M57</f>
        <v>0</v>
      </c>
      <c r="O58" s="154">
        <f>O24+O57</f>
        <v>0</v>
      </c>
      <c r="Q58" s="154">
        <f>Q24+Q57</f>
        <v>68247868.469999999</v>
      </c>
      <c r="S58" s="58" t="str">
        <f>IF('ExhA&amp;B'!D39=Q57,"In Bal.","NOT")</f>
        <v>In Bal.</v>
      </c>
    </row>
    <row r="59" spans="1:26" ht="14.4" thickTop="1">
      <c r="B59" s="45"/>
      <c r="O59" s="58"/>
      <c r="Q59" s="58"/>
    </row>
    <row r="60" spans="1:26" ht="6.75" customHeight="1">
      <c r="B60" s="45"/>
      <c r="Q60" s="58"/>
    </row>
    <row r="61" spans="1:26">
      <c r="B61" s="45"/>
      <c r="D61" s="161" t="s">
        <v>372</v>
      </c>
    </row>
    <row r="62" spans="1:26">
      <c r="B62" s="45"/>
      <c r="D62" s="161"/>
    </row>
    <row r="63" spans="1:26">
      <c r="D63" s="32" t="s">
        <v>373</v>
      </c>
    </row>
    <row r="64" spans="1:26">
      <c r="D64" s="32" t="s">
        <v>374</v>
      </c>
    </row>
    <row r="65" spans="4:13" ht="6.75" customHeight="1">
      <c r="D65" s="32"/>
    </row>
    <row r="66" spans="4:13" ht="12" customHeight="1">
      <c r="D66" s="32" t="s">
        <v>375</v>
      </c>
    </row>
    <row r="67" spans="4:13" ht="6.75" customHeight="1"/>
    <row r="68" spans="4:13">
      <c r="D68" s="32"/>
    </row>
    <row r="69" spans="4:13" ht="4.5" customHeight="1"/>
    <row r="70" spans="4:13">
      <c r="D70" s="32"/>
      <c r="M70" s="325"/>
    </row>
    <row r="72" spans="4:13" ht="17.399999999999999">
      <c r="D72" s="970" t="str">
        <f>IF(K58=0, " ", "Note:  Prior year asset adjustment must be explained on Restatements worksheet 430")</f>
        <v xml:space="preserve"> </v>
      </c>
      <c r="E72" s="971"/>
      <c r="F72" s="971"/>
      <c r="G72" s="971"/>
      <c r="H72" s="971"/>
      <c r="I72" s="971"/>
      <c r="J72" s="971"/>
      <c r="K72" s="971"/>
      <c r="L72" s="971"/>
      <c r="M72" s="971"/>
    </row>
  </sheetData>
  <sheetProtection algorithmName="SHA-512" hashValue="pPhxc7BjEmZAuHccKjQLjV/6CA98pzk58YUVJEUWr60OF7efXu62U56RQ0aALprVSmCPmHkboqKa/cflZEcd6A==" saltValue="uY0exFlNE92LfAQHzoGRRw==" spinCount="100000" sheet="1" objects="1" scenarios="1" autoFilter="0"/>
  <customSheetViews>
    <customSheetView guid="{09B6E9FC-05EC-46D9-876B-83C9B6994F28}" scale="92" showGridLines="0" hiddenRows="1" hiddenColumns="1" showRuler="0" topLeftCell="G2">
      <pane ySplit="5" topLeftCell="A12" activePane="bottomLeft" state="frozen"/>
      <selection pane="bottomLeft" activeCell="N16" sqref="N16"/>
      <pageMargins left="0" right="0" top="0" bottom="0" header="0" footer="0"/>
      <pageSetup scale="80" orientation="landscape" r:id="rId1"/>
      <headerFooter alignWithMargins="0">
        <oddFooter>&amp;A</oddFooter>
      </headerFooter>
    </customSheetView>
  </customSheetViews>
  <mergeCells count="3">
    <mergeCell ref="Q2:S4"/>
    <mergeCell ref="C9:S9"/>
    <mergeCell ref="T2:T4"/>
  </mergeCells>
  <phoneticPr fontId="43" type="noConversion"/>
  <printOptions horizontalCentered="1"/>
  <pageMargins left="0.5" right="0.25" top="0.5" bottom="0.25" header="0.5" footer="0.25"/>
  <pageSetup scale="67"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43"/>
  <sheetViews>
    <sheetView showGridLines="0" zoomScale="75" workbookViewId="0">
      <selection activeCell="N16" sqref="N16"/>
    </sheetView>
  </sheetViews>
  <sheetFormatPr defaultColWidth="9.28515625" defaultRowHeight="13.2"/>
  <cols>
    <col min="1" max="1" width="9.28515625" style="59"/>
    <col min="2" max="2" width="3.85546875" style="36" customWidth="1"/>
    <col min="3" max="5" width="3.140625" style="36" customWidth="1"/>
    <col min="6" max="6" width="37.7109375" style="36" customWidth="1"/>
    <col min="7" max="7" width="4.42578125" style="36" customWidth="1"/>
    <col min="8" max="8" width="17.42578125" style="36" customWidth="1"/>
    <col min="9" max="9" width="1.85546875" style="36" customWidth="1"/>
    <col min="10" max="10" width="19.140625" style="36" customWidth="1"/>
    <col min="11" max="11" width="1.85546875" style="36" customWidth="1"/>
    <col min="12" max="12" width="18.7109375" style="36" customWidth="1"/>
    <col min="13" max="13" width="1.85546875" style="36" customWidth="1"/>
    <col min="14" max="14" width="21.42578125" style="36" customWidth="1"/>
    <col min="15" max="15" width="1.85546875" style="36" customWidth="1"/>
    <col min="16" max="16" width="15.140625" style="36" customWidth="1"/>
    <col min="17" max="17" width="1.85546875" style="36" customWidth="1"/>
    <col min="18" max="18" width="17" style="36" customWidth="1"/>
    <col min="19" max="19" width="1.85546875" style="36" customWidth="1"/>
    <col min="20" max="20" width="17.42578125" style="36" customWidth="1"/>
    <col min="21" max="21" width="15" style="36" customWidth="1"/>
    <col min="22" max="16384" width="9.28515625" style="36"/>
  </cols>
  <sheetData>
    <row r="1" spans="1:21" s="51" customFormat="1">
      <c r="A1" s="45"/>
      <c r="B1" s="50"/>
      <c r="C1" s="50"/>
      <c r="D1" s="50"/>
      <c r="E1" s="50"/>
      <c r="F1" s="50"/>
      <c r="G1" s="50"/>
      <c r="H1" s="50" t="s">
        <v>312</v>
      </c>
      <c r="I1" s="50"/>
      <c r="J1" s="50" t="s">
        <v>314</v>
      </c>
      <c r="K1" s="50"/>
      <c r="L1" s="50" t="s">
        <v>315</v>
      </c>
      <c r="M1" s="50"/>
      <c r="N1" s="50" t="s">
        <v>316</v>
      </c>
      <c r="O1" s="50"/>
      <c r="P1" s="50"/>
      <c r="Q1" s="50"/>
      <c r="R1" s="50"/>
      <c r="S1" s="50"/>
      <c r="T1" s="50"/>
    </row>
    <row r="2" spans="1:21" ht="13.8">
      <c r="A2" s="45"/>
      <c r="B2" s="27" t="str">
        <f>IF(College_Number="&lt;&lt;&lt;College Number&gt;&gt;&gt;","Enter College Number on ExhA&amp;B",'ExhA&amp;B'!B2)</f>
        <v>C0</v>
      </c>
      <c r="C2" s="27"/>
      <c r="J2" s="338" t="s">
        <v>169</v>
      </c>
      <c r="K2" s="159"/>
      <c r="L2" s="159">
        <f>IF(PreparerName="","Enter Name on ExhA&amp;B",PreparerName)</f>
        <v>0</v>
      </c>
      <c r="M2" s="159"/>
      <c r="N2" s="159"/>
      <c r="O2" s="828"/>
      <c r="P2" s="828"/>
      <c r="Q2" s="41"/>
      <c r="R2" s="1064"/>
      <c r="S2" s="1064"/>
      <c r="T2" s="1064"/>
      <c r="U2" s="1064"/>
    </row>
    <row r="3" spans="1:21" ht="13.8">
      <c r="A3" s="45"/>
      <c r="B3" s="27" t="str">
        <f>College_Name</f>
        <v>Alamance Community College</v>
      </c>
      <c r="C3" s="27"/>
      <c r="J3" s="338" t="s">
        <v>173</v>
      </c>
      <c r="K3" s="159"/>
      <c r="L3" s="830" t="str">
        <f>IF(PreparerPhone="","Enter Phone Number on ExhA&amp;B",TEXT(PreparerPhone,"(000) 000-0000"))</f>
        <v>(000) 000-0000</v>
      </c>
      <c r="M3" s="159"/>
      <c r="N3" s="159"/>
      <c r="O3" s="828"/>
      <c r="P3" s="828"/>
      <c r="Q3" s="41"/>
      <c r="R3" s="1064"/>
      <c r="S3" s="1064"/>
      <c r="T3" s="1064"/>
      <c r="U3" s="1064"/>
    </row>
    <row r="4" spans="1:21">
      <c r="A4" s="45"/>
      <c r="B4" s="179" t="s">
        <v>376</v>
      </c>
      <c r="R4" s="1064"/>
      <c r="S4" s="1064"/>
      <c r="T4" s="1064"/>
      <c r="U4" s="1064"/>
    </row>
    <row r="5" spans="1:21">
      <c r="A5" s="45"/>
      <c r="B5" s="27" t="str">
        <f>"For the Fiscal Year Ended "&amp;TEXT('ExhA&amp;B'!B4,"mmmm d, yyyy")</f>
        <v>For the Fiscal Year Ended June 30, 2023</v>
      </c>
    </row>
    <row r="6" spans="1:21" ht="13.8" thickBot="1">
      <c r="A6" s="45"/>
      <c r="B6" s="28"/>
      <c r="C6" s="52"/>
      <c r="D6" s="52"/>
      <c r="E6" s="52"/>
      <c r="F6" s="52"/>
      <c r="G6" s="52"/>
      <c r="H6" s="52"/>
      <c r="I6" s="52"/>
      <c r="J6" s="52"/>
      <c r="K6" s="52"/>
      <c r="L6" s="52"/>
      <c r="M6" s="52"/>
      <c r="N6" s="52"/>
      <c r="O6" s="52"/>
      <c r="P6" s="52"/>
      <c r="Q6" s="52"/>
      <c r="R6" s="52"/>
      <c r="S6" s="52"/>
      <c r="T6" s="52"/>
      <c r="U6" s="52"/>
    </row>
    <row r="7" spans="1:21" s="46" customFormat="1" ht="12.75" customHeight="1">
      <c r="A7" s="45"/>
    </row>
    <row r="8" spans="1:21" s="46" customFormat="1" ht="12.75" customHeight="1">
      <c r="A8" s="45"/>
      <c r="B8" s="47"/>
      <c r="F8" s="48"/>
    </row>
    <row r="9" spans="1:21" s="26" customFormat="1" ht="15.6">
      <c r="A9" s="45"/>
      <c r="B9" s="1065" t="s">
        <v>317</v>
      </c>
      <c r="C9" s="1065"/>
      <c r="D9" s="1065"/>
      <c r="E9" s="1065"/>
      <c r="F9" s="1065"/>
      <c r="G9" s="1065"/>
      <c r="H9" s="1065"/>
      <c r="I9" s="1065"/>
      <c r="J9" s="1065"/>
      <c r="K9" s="1065"/>
      <c r="L9" s="1065"/>
      <c r="M9" s="1065"/>
      <c r="N9" s="1065"/>
      <c r="O9" s="1065"/>
      <c r="P9" s="1065"/>
      <c r="Q9" s="1065"/>
      <c r="R9" s="1065"/>
      <c r="S9" s="1065"/>
      <c r="T9" s="1065"/>
    </row>
    <row r="10" spans="1:21" ht="12.75" customHeight="1">
      <c r="A10" s="45"/>
      <c r="B10" s="987"/>
      <c r="C10" s="987"/>
      <c r="D10" s="987"/>
      <c r="E10" s="987"/>
      <c r="F10" s="987"/>
      <c r="G10" s="987"/>
      <c r="H10" s="987"/>
      <c r="I10" s="987"/>
      <c r="J10" s="987"/>
      <c r="K10" s="987"/>
      <c r="L10" s="987"/>
      <c r="M10" s="987"/>
      <c r="N10" s="987"/>
      <c r="O10" s="987"/>
      <c r="P10" s="987"/>
      <c r="Q10" s="987"/>
      <c r="R10" s="987"/>
      <c r="S10" s="987"/>
      <c r="T10" s="987"/>
    </row>
    <row r="11" spans="1:21" s="71" customFormat="1" ht="12.6">
      <c r="A11" s="69"/>
      <c r="B11" s="70"/>
    </row>
    <row r="12" spans="1:21" s="71" customFormat="1" ht="12.6">
      <c r="A12" s="69"/>
      <c r="G12" s="72"/>
      <c r="H12" s="72" t="s">
        <v>377</v>
      </c>
      <c r="I12" s="72"/>
      <c r="J12" s="72"/>
      <c r="K12" s="72"/>
      <c r="L12" s="72"/>
      <c r="M12" s="72"/>
      <c r="N12" s="72" t="s">
        <v>378</v>
      </c>
    </row>
    <row r="13" spans="1:21" s="71" customFormat="1" ht="12.6">
      <c r="A13" s="69"/>
      <c r="G13" s="73"/>
      <c r="H13" s="74" t="s">
        <v>379</v>
      </c>
      <c r="I13" s="75"/>
      <c r="J13" s="76" t="s">
        <v>314</v>
      </c>
      <c r="K13" s="75"/>
      <c r="L13" s="76" t="s">
        <v>315</v>
      </c>
      <c r="M13" s="72"/>
      <c r="N13" s="74" t="s">
        <v>380</v>
      </c>
    </row>
    <row r="14" spans="1:21">
      <c r="A14" s="45"/>
      <c r="G14" s="987"/>
      <c r="H14" s="987"/>
      <c r="I14" s="30"/>
      <c r="J14" s="987"/>
      <c r="K14" s="30"/>
      <c r="L14" s="987"/>
      <c r="M14" s="987"/>
      <c r="N14" s="987"/>
    </row>
    <row r="15" spans="1:21">
      <c r="A15" s="45"/>
      <c r="B15" s="27" t="s">
        <v>334</v>
      </c>
      <c r="G15" s="31"/>
      <c r="H15" s="31"/>
      <c r="I15" s="31"/>
      <c r="J15" s="31"/>
      <c r="K15" s="31"/>
      <c r="L15" s="31"/>
      <c r="M15" s="31"/>
      <c r="N15" s="31"/>
    </row>
    <row r="16" spans="1:21">
      <c r="A16" s="45">
        <v>1100</v>
      </c>
      <c r="C16" s="36" t="s">
        <v>381</v>
      </c>
      <c r="G16" s="55"/>
      <c r="H16" s="77">
        <f>'Capital Assets'!I18</f>
        <v>2140546</v>
      </c>
      <c r="I16" s="54"/>
      <c r="J16" s="53">
        <f>SUMIF('Capital Assets'!K18:M18,"&gt;0",'Capital Assets'!K18:M18)</f>
        <v>0</v>
      </c>
      <c r="K16" s="54"/>
      <c r="L16" s="77">
        <f>SUMIF('Capital Assets'!K18:K18,"&lt;0",'Capital Assets'!K18:K18)+'Capital Assets'!O18</f>
        <v>0</v>
      </c>
      <c r="M16" s="54"/>
      <c r="N16" s="54">
        <f>SUM(H16:M16)</f>
        <v>2140546</v>
      </c>
    </row>
    <row r="17" spans="1:20">
      <c r="A17" s="45">
        <v>1200</v>
      </c>
      <c r="C17" s="36" t="s">
        <v>336</v>
      </c>
      <c r="G17" s="55"/>
      <c r="H17" s="53">
        <f>'Capital Assets'!I19</f>
        <v>0</v>
      </c>
      <c r="I17" s="55"/>
      <c r="J17" s="53">
        <f>SUMIF('Capital Assets'!K19:M19,"&gt;0",'Capital Assets'!K19:M19)</f>
        <v>0</v>
      </c>
      <c r="K17" s="55"/>
      <c r="L17" s="53">
        <f>SUMIF('Capital Assets'!K19:K19,"&lt;0",'Capital Assets'!K19:K19)+'Capital Assets'!O19</f>
        <v>0</v>
      </c>
      <c r="M17" s="55"/>
      <c r="N17" s="55">
        <f>SUM(H17:M17)</f>
        <v>0</v>
      </c>
    </row>
    <row r="18" spans="1:20">
      <c r="A18" s="45">
        <v>1300</v>
      </c>
      <c r="C18" s="36" t="s">
        <v>337</v>
      </c>
      <c r="G18" s="55"/>
      <c r="H18" s="53">
        <f>'Capital Assets'!I20</f>
        <v>18802223.91</v>
      </c>
      <c r="I18" s="55"/>
      <c r="J18" s="53">
        <f>SUMIF('Capital Assets'!K20:M20,"&gt;0",'Capital Assets'!K20:M20)</f>
        <v>0</v>
      </c>
      <c r="K18" s="55"/>
      <c r="L18" s="53">
        <f>SUMIF('Capital Assets'!K20:K20,"&lt;0",'Capital Assets'!K20:K20)+'Capital Assets'!O20</f>
        <v>0</v>
      </c>
      <c r="M18" s="55"/>
      <c r="N18" s="55">
        <f>SUM(H18:M18)</f>
        <v>18802223.91</v>
      </c>
    </row>
    <row r="19" spans="1:20">
      <c r="A19" s="45">
        <v>1400</v>
      </c>
      <c r="D19" s="32" t="s">
        <v>341</v>
      </c>
      <c r="G19" s="55"/>
      <c r="H19" s="99">
        <f>SUM(H16:H18)</f>
        <v>20942769.91</v>
      </c>
      <c r="I19" s="55"/>
      <c r="J19" s="99">
        <f>SUM(J16:J18)</f>
        <v>0</v>
      </c>
      <c r="K19" s="55"/>
      <c r="L19" s="99">
        <f>SUM(L16:L18)</f>
        <v>0</v>
      </c>
      <c r="M19" s="55"/>
      <c r="N19" s="99">
        <f>SUM(N16:N18)</f>
        <v>20942769.91</v>
      </c>
    </row>
    <row r="20" spans="1:20">
      <c r="A20" s="45">
        <v>2000</v>
      </c>
      <c r="B20" s="27" t="s">
        <v>382</v>
      </c>
      <c r="G20" s="55"/>
      <c r="H20" s="55"/>
      <c r="I20" s="55"/>
      <c r="J20" s="55"/>
      <c r="K20" s="55"/>
      <c r="L20" s="55"/>
      <c r="M20" s="55"/>
      <c r="N20" s="55"/>
    </row>
    <row r="21" spans="1:20">
      <c r="A21" s="45">
        <v>2100</v>
      </c>
      <c r="C21" s="36" t="s">
        <v>344</v>
      </c>
      <c r="G21" s="55"/>
      <c r="H21" s="53">
        <f>'Capital Assets'!I26</f>
        <v>58996827.520000003</v>
      </c>
      <c r="I21" s="55"/>
      <c r="J21" s="53">
        <f>SUMIF('Capital Assets'!K26:M26,"&gt;0",'Capital Assets'!K26:M26)</f>
        <v>0</v>
      </c>
      <c r="K21" s="55"/>
      <c r="L21" s="53">
        <f>SUMIF('Capital Assets'!K26:K26,"&lt;0",'Capital Assets'!K26:K26)+'Capital Assets'!O26</f>
        <v>0</v>
      </c>
      <c r="M21" s="55"/>
      <c r="N21" s="55">
        <f t="shared" ref="N21:N26" si="0">SUM(H21:M21)</f>
        <v>58996827.520000003</v>
      </c>
    </row>
    <row r="22" spans="1:20">
      <c r="A22" s="45">
        <v>2400</v>
      </c>
      <c r="C22" s="36" t="s">
        <v>345</v>
      </c>
      <c r="G22" s="55"/>
      <c r="H22" s="53">
        <f>'Capital Assets'!I27</f>
        <v>3784929.11</v>
      </c>
      <c r="I22" s="55"/>
      <c r="J22" s="53">
        <f>SUMIF('Capital Assets'!K27:M27,"&gt;0",'Capital Assets'!K27:M27)</f>
        <v>0</v>
      </c>
      <c r="K22" s="55"/>
      <c r="L22" s="53">
        <f>SUMIF('Capital Assets'!K27:K27,"&lt;0",'Capital Assets'!K27:K27)+'Capital Assets'!O27</f>
        <v>0</v>
      </c>
      <c r="M22" s="55"/>
      <c r="N22" s="55">
        <f t="shared" si="0"/>
        <v>3784929.11</v>
      </c>
    </row>
    <row r="23" spans="1:20">
      <c r="A23" s="45">
        <v>2500</v>
      </c>
      <c r="C23" s="36" t="s">
        <v>346</v>
      </c>
      <c r="G23" s="55"/>
      <c r="H23" s="53">
        <f>'Capital Assets'!I28</f>
        <v>8350746.0499999998</v>
      </c>
      <c r="I23" s="55"/>
      <c r="J23" s="53">
        <f>SUMIF('Capital Assets'!K28:M28,"&gt;0",'Capital Assets'!K28:M28)</f>
        <v>0</v>
      </c>
      <c r="K23" s="55"/>
      <c r="L23" s="53">
        <f>SUMIF('Capital Assets'!K28:K28,"&lt;0",'Capital Assets'!K28:K28)+'Capital Assets'!O28</f>
        <v>0</v>
      </c>
      <c r="M23" s="55"/>
      <c r="N23" s="55">
        <f t="shared" si="0"/>
        <v>8350746.0499999998</v>
      </c>
    </row>
    <row r="24" spans="1:20">
      <c r="A24" s="45">
        <v>2600</v>
      </c>
      <c r="C24" s="36" t="s">
        <v>347</v>
      </c>
      <c r="G24" s="55"/>
      <c r="H24" s="53">
        <f>'Capital Assets'!I29</f>
        <v>0</v>
      </c>
      <c r="I24" s="55"/>
      <c r="J24" s="53">
        <f>SUMIF('Capital Assets'!K29:M29,"&gt;0",'Capital Assets'!K29:M29)</f>
        <v>0</v>
      </c>
      <c r="K24" s="55"/>
      <c r="L24" s="53">
        <f>SUMIF('Capital Assets'!K29:K29,"&lt;0",'Capital Assets'!K29:K29)+'Capital Assets'!O29</f>
        <v>0</v>
      </c>
      <c r="M24" s="55"/>
      <c r="N24" s="55">
        <f t="shared" si="0"/>
        <v>0</v>
      </c>
    </row>
    <row r="25" spans="1:20">
      <c r="A25" s="45">
        <v>2700</v>
      </c>
      <c r="C25" s="36" t="s">
        <v>383</v>
      </c>
      <c r="G25" s="55"/>
      <c r="H25" s="56">
        <f>'Capital Assets'!I32</f>
        <v>0</v>
      </c>
      <c r="I25" s="55"/>
      <c r="J25" s="56">
        <f>SUMIF('Capital Assets'!K32:M32,"&gt;0",'Capital Assets'!K32:M32)</f>
        <v>0</v>
      </c>
      <c r="K25" s="55"/>
      <c r="L25" s="56">
        <f>SUMIF('Capital Assets'!K32:K32,"&lt;0",'Capital Assets'!K32:K32)+'Capital Assets'!O32</f>
        <v>0</v>
      </c>
      <c r="M25" s="55"/>
      <c r="N25" s="57">
        <f t="shared" si="0"/>
        <v>0</v>
      </c>
    </row>
    <row r="26" spans="1:20">
      <c r="A26" s="45">
        <v>2800</v>
      </c>
      <c r="D26" s="36" t="s">
        <v>384</v>
      </c>
      <c r="G26" s="55"/>
      <c r="H26" s="57">
        <f>'Capital Assets'!I39</f>
        <v>71354052.950000003</v>
      </c>
      <c r="I26" s="55"/>
      <c r="J26" s="57">
        <f>SUMIF('Capital Assets'!K39:M39,"&gt;0",'Capital Assets'!K39:M39)</f>
        <v>0</v>
      </c>
      <c r="K26" s="55"/>
      <c r="L26" s="57">
        <f>SUMIF('Capital Assets'!K39:K39,"&lt;0",'Capital Assets'!K39:K39)+'Capital Assets'!O39</f>
        <v>0</v>
      </c>
      <c r="M26" s="55"/>
      <c r="N26" s="57">
        <f t="shared" si="0"/>
        <v>71354052.950000003</v>
      </c>
    </row>
    <row r="27" spans="1:20">
      <c r="A27" s="45"/>
      <c r="G27" s="55"/>
      <c r="H27" s="55"/>
      <c r="I27" s="55"/>
      <c r="J27" s="55"/>
      <c r="K27" s="55"/>
      <c r="L27" s="55"/>
      <c r="M27" s="55"/>
      <c r="N27" s="55"/>
    </row>
    <row r="28" spans="1:20" ht="13.8">
      <c r="A28" s="45"/>
      <c r="G28" s="55"/>
      <c r="H28" s="55"/>
      <c r="I28" s="55"/>
      <c r="J28" s="55"/>
      <c r="K28" s="55"/>
      <c r="L28" s="55"/>
      <c r="M28" s="55"/>
      <c r="N28" s="55"/>
      <c r="O28" s="55"/>
      <c r="P28" s="55"/>
      <c r="Q28" s="55"/>
      <c r="R28" s="58"/>
      <c r="S28" s="55"/>
      <c r="T28" s="55"/>
    </row>
    <row r="29" spans="1:20" ht="15.6">
      <c r="A29" s="45"/>
      <c r="B29" s="1066" t="s">
        <v>385</v>
      </c>
      <c r="C29" s="1066"/>
      <c r="D29" s="1066"/>
      <c r="E29" s="1066"/>
      <c r="F29" s="1066"/>
      <c r="G29" s="1066"/>
      <c r="H29" s="1066"/>
      <c r="I29" s="1066"/>
      <c r="J29" s="1066"/>
      <c r="K29" s="1066"/>
      <c r="L29" s="1066"/>
      <c r="M29" s="1066"/>
      <c r="N29" s="1066"/>
      <c r="O29" s="1066"/>
      <c r="P29" s="1066"/>
      <c r="Q29" s="1066"/>
      <c r="R29" s="1066"/>
      <c r="S29" s="1066"/>
      <c r="T29" s="1066"/>
    </row>
    <row r="30" spans="1:20">
      <c r="A30" s="45"/>
      <c r="B30" s="987"/>
      <c r="C30" s="987"/>
      <c r="D30" s="987"/>
      <c r="E30" s="987"/>
      <c r="F30" s="987"/>
      <c r="G30" s="987"/>
      <c r="H30" s="987"/>
      <c r="I30" s="987"/>
      <c r="J30" s="987"/>
      <c r="K30" s="987"/>
      <c r="L30" s="987"/>
      <c r="M30" s="987"/>
      <c r="N30" s="987"/>
      <c r="O30" s="987"/>
      <c r="P30" s="987"/>
      <c r="Q30" s="987"/>
      <c r="R30" s="987"/>
      <c r="S30" s="987"/>
      <c r="T30" s="987"/>
    </row>
    <row r="31" spans="1:20">
      <c r="A31" s="45"/>
      <c r="B31" s="987"/>
      <c r="C31" s="987"/>
      <c r="D31" s="987"/>
      <c r="E31" s="987"/>
      <c r="F31" s="987"/>
      <c r="G31" s="987"/>
      <c r="H31" s="987"/>
      <c r="I31" s="987"/>
      <c r="J31" s="987"/>
      <c r="K31" s="987"/>
      <c r="L31" s="987"/>
      <c r="M31" s="987"/>
      <c r="N31" s="987"/>
      <c r="O31" s="987"/>
      <c r="R31" s="987"/>
      <c r="S31" s="987"/>
      <c r="T31" s="987"/>
    </row>
    <row r="32" spans="1:20">
      <c r="A32" s="45">
        <v>3000</v>
      </c>
      <c r="C32" s="36" t="s">
        <v>344</v>
      </c>
      <c r="G32" s="55"/>
      <c r="H32" s="53">
        <f>'Capital Assets'!I43</f>
        <v>19524814.870000001</v>
      </c>
      <c r="I32" s="55"/>
      <c r="J32" s="53">
        <f>SUMIF('Capital Assets'!K43:M43,"&gt;0",'Capital Assets'!K43:M43)</f>
        <v>0</v>
      </c>
      <c r="K32" s="55"/>
      <c r="L32" s="53">
        <f>SUMIF('Capital Assets'!K43:K43,"&lt;0",'Capital Assets'!K43:K43)+'Capital Assets'!O43</f>
        <v>0</v>
      </c>
      <c r="M32" s="55"/>
      <c r="N32" s="55">
        <f>SUM(H32:M32)</f>
        <v>19524814.870000001</v>
      </c>
      <c r="O32" s="55"/>
      <c r="R32" s="55"/>
      <c r="S32" s="55"/>
      <c r="T32" s="55"/>
    </row>
    <row r="33" spans="1:20">
      <c r="A33" s="45">
        <v>3100</v>
      </c>
      <c r="C33" s="36" t="s">
        <v>361</v>
      </c>
      <c r="G33" s="55"/>
      <c r="H33" s="53">
        <f>'Capital Assets'!I44</f>
        <v>1120591.6299999999</v>
      </c>
      <c r="I33" s="55"/>
      <c r="J33" s="53">
        <f>SUMIF('Capital Assets'!K44:M44,"&gt;0",'Capital Assets'!K44:M44)</f>
        <v>0</v>
      </c>
      <c r="K33" s="55"/>
      <c r="L33" s="53">
        <f>SUMIF('Capital Assets'!K43:K43,"&lt;0",'Capital Assets'!K43:K43)+'Capital Assets'!O43</f>
        <v>0</v>
      </c>
      <c r="M33" s="55"/>
      <c r="N33" s="55">
        <f>SUM(H33:M33)</f>
        <v>1120591.6299999999</v>
      </c>
      <c r="O33" s="55"/>
      <c r="R33" s="55"/>
      <c r="S33" s="55"/>
      <c r="T33" s="55"/>
    </row>
    <row r="34" spans="1:20">
      <c r="A34" s="45">
        <v>3300</v>
      </c>
      <c r="C34" s="36" t="s">
        <v>346</v>
      </c>
      <c r="G34" s="55"/>
      <c r="H34" s="53">
        <f>'Capital Assets'!I45</f>
        <v>3377700.39</v>
      </c>
      <c r="I34" s="55"/>
      <c r="J34" s="53">
        <f>SUMIF('Capital Assets'!K45:M45,"&gt;0",'Capital Assets'!K45:M45)</f>
        <v>0</v>
      </c>
      <c r="K34" s="55"/>
      <c r="L34" s="53">
        <f>SUMIF('Capital Assets'!K45:K45,"&lt;0",'Capital Assets'!K45:K45)+'Capital Assets'!O45</f>
        <v>0</v>
      </c>
      <c r="M34" s="55"/>
      <c r="N34" s="55">
        <f>SUM(H34:M34)</f>
        <v>3377700.39</v>
      </c>
      <c r="O34" s="55"/>
      <c r="R34" s="55"/>
      <c r="S34" s="55"/>
      <c r="T34" s="55"/>
    </row>
    <row r="35" spans="1:20">
      <c r="A35" s="45">
        <v>3400</v>
      </c>
      <c r="C35" s="36" t="s">
        <v>347</v>
      </c>
      <c r="G35" s="55"/>
      <c r="H35" s="53">
        <f>'Capital Assets'!I46</f>
        <v>0</v>
      </c>
      <c r="I35" s="55"/>
      <c r="J35" s="53">
        <f>SUMIF('Capital Assets'!K46:M46,"&gt;0",'Capital Assets'!K46:M46)</f>
        <v>0</v>
      </c>
      <c r="K35" s="55"/>
      <c r="L35" s="53">
        <f>SUMIF('Capital Assets'!K46:K46,"&lt;0",'Capital Assets'!K46:K46)+'Capital Assets'!O46</f>
        <v>0</v>
      </c>
      <c r="M35" s="55"/>
      <c r="N35" s="55">
        <f>SUM(H35:M35)</f>
        <v>0</v>
      </c>
      <c r="O35" s="55"/>
      <c r="R35" s="55"/>
      <c r="S35" s="55"/>
      <c r="T35" s="55"/>
    </row>
    <row r="36" spans="1:20">
      <c r="A36" s="45">
        <v>3500</v>
      </c>
      <c r="C36" s="36" t="s">
        <v>383</v>
      </c>
      <c r="G36" s="55"/>
      <c r="H36" s="56">
        <f>'Capital Assets'!I49</f>
        <v>0</v>
      </c>
      <c r="I36" s="55"/>
      <c r="J36" s="56">
        <f>SUMIF('Capital Assets'!K49:M49,"&gt;0",'Capital Assets'!K49:M49)</f>
        <v>0</v>
      </c>
      <c r="K36" s="55"/>
      <c r="L36" s="56">
        <f>SUMIF('Capital Assets'!K49:K49,"&lt;0",'Capital Assets'!K49:K49)+'Capital Assets'!O49</f>
        <v>0</v>
      </c>
      <c r="M36" s="55"/>
      <c r="N36" s="57">
        <f>SUM(H36:M36)</f>
        <v>0</v>
      </c>
      <c r="O36" s="55"/>
      <c r="R36" s="55"/>
      <c r="S36" s="55"/>
      <c r="T36" s="55"/>
    </row>
    <row r="37" spans="1:20">
      <c r="A37" s="45">
        <v>3600</v>
      </c>
      <c r="D37" s="36" t="s">
        <v>386</v>
      </c>
      <c r="G37" s="55"/>
      <c r="H37" s="57">
        <f>SUM(H32:H36)</f>
        <v>24023106.890000001</v>
      </c>
      <c r="I37" s="55"/>
      <c r="J37" s="57">
        <f>SUM(J32:J36)</f>
        <v>0</v>
      </c>
      <c r="K37" s="55"/>
      <c r="L37" s="57">
        <f>SUM(L32:L36)</f>
        <v>0</v>
      </c>
      <c r="M37" s="55"/>
      <c r="N37" s="57">
        <f>SUM(N32:N36)</f>
        <v>24023106.890000001</v>
      </c>
      <c r="O37" s="55"/>
      <c r="R37" s="55"/>
      <c r="S37" s="55"/>
      <c r="T37" s="55"/>
    </row>
    <row r="38" spans="1:20">
      <c r="A38" s="45">
        <v>3700</v>
      </c>
      <c r="D38" s="32" t="s">
        <v>370</v>
      </c>
      <c r="H38" s="99">
        <f>H26-H37</f>
        <v>47330946.060000002</v>
      </c>
      <c r="J38" s="99">
        <f>J26-J37</f>
        <v>0</v>
      </c>
      <c r="L38" s="99">
        <f>L26-L37</f>
        <v>0</v>
      </c>
      <c r="N38" s="99">
        <f>N26-N37</f>
        <v>47330946.060000002</v>
      </c>
    </row>
    <row r="39" spans="1:20" ht="14.4" thickBot="1">
      <c r="A39" s="45"/>
      <c r="B39" s="36" t="s">
        <v>387</v>
      </c>
      <c r="H39" s="60">
        <f>H19+H38</f>
        <v>68273715.969999999</v>
      </c>
      <c r="J39" s="60">
        <f>J19+J38</f>
        <v>0</v>
      </c>
      <c r="L39" s="60">
        <f>L19+L38</f>
        <v>0</v>
      </c>
      <c r="N39" s="60">
        <f>N19+N38</f>
        <v>68273715.969999999</v>
      </c>
      <c r="P39" s="58"/>
    </row>
    <row r="40" spans="1:20" ht="13.8" thickTop="1">
      <c r="A40" s="45"/>
    </row>
    <row r="41" spans="1:20" ht="13.8">
      <c r="A41" s="45"/>
      <c r="N41" s="58" t="str">
        <f>IF(N39='Capital Assets'!Q58, "IN BAL.", "NOT")</f>
        <v>NOT</v>
      </c>
    </row>
    <row r="43" spans="1:20">
      <c r="C43" s="36" t="s">
        <v>388</v>
      </c>
    </row>
  </sheetData>
  <sheetProtection algorithmName="SHA-512" hashValue="DYA/6DbyZhasd10QZb63XTkJdAe7lF7z9ohdMt3/6fJRoGzo8zKWN72GsAId//FfY0n6xwbXBHdVZ6yWk0P4sA==" saltValue="yQGeWoSa/jMiCNcRqRVNPA==" spinCount="100000" sheet="1" objects="1" scenarios="1" autoFilter="0"/>
  <mergeCells count="4">
    <mergeCell ref="R2:T4"/>
    <mergeCell ref="U2:U4"/>
    <mergeCell ref="B9:T9"/>
    <mergeCell ref="B29:T29"/>
  </mergeCells>
  <phoneticPr fontId="43" type="noConversion"/>
  <pageMargins left="0.2" right="0.27" top="0.33" bottom="1" header="0.22" footer="0.5"/>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65"/>
  <sheetViews>
    <sheetView topLeftCell="B2" workbookViewId="0">
      <selection activeCell="T11" sqref="T11"/>
    </sheetView>
  </sheetViews>
  <sheetFormatPr defaultColWidth="9.28515625" defaultRowHeight="13.2"/>
  <cols>
    <col min="1" max="1" width="5" style="144" hidden="1" customWidth="1"/>
    <col min="2" max="2" width="3.85546875" style="36" customWidth="1"/>
    <col min="3" max="3" width="3.140625" style="36" customWidth="1"/>
    <col min="4" max="4" width="5.140625" style="36" customWidth="1"/>
    <col min="5" max="5" width="25.140625" style="36" customWidth="1"/>
    <col min="6" max="6" width="20.28515625" style="36" customWidth="1"/>
    <col min="7" max="7" width="18.28515625" style="36" customWidth="1"/>
    <col min="8" max="8" width="4.42578125" style="36" customWidth="1"/>
    <col min="9" max="9" width="18.28515625" style="36" customWidth="1"/>
    <col min="10" max="10" width="5" style="36" customWidth="1"/>
    <col min="11" max="11" width="17.85546875" style="36" customWidth="1"/>
    <col min="12" max="12" width="4.140625" style="36" customWidth="1"/>
    <col min="13" max="13" width="18.42578125" style="36" customWidth="1"/>
    <col min="14" max="14" width="4.140625" style="36" customWidth="1"/>
    <col min="15" max="15" width="17.42578125" style="36" customWidth="1"/>
    <col min="16" max="16" width="4.140625" style="36" customWidth="1"/>
    <col min="17" max="17" width="15.42578125" style="36" customWidth="1"/>
    <col min="18" max="18" width="1.42578125" style="36" customWidth="1"/>
    <col min="19" max="19" width="39.7109375" style="36" customWidth="1"/>
    <col min="20" max="20" width="16" style="36" customWidth="1"/>
    <col min="21" max="21" width="11.42578125" style="36" bestFit="1" customWidth="1"/>
    <col min="22" max="16384" width="9.28515625" style="36"/>
  </cols>
  <sheetData>
    <row r="1" spans="1:19" s="51" customFormat="1" hidden="1">
      <c r="A1" s="45"/>
      <c r="B1" s="50"/>
      <c r="C1" s="50"/>
      <c r="D1" s="50"/>
      <c r="E1" s="50"/>
      <c r="F1" s="50"/>
      <c r="G1" s="50" t="s">
        <v>312</v>
      </c>
      <c r="H1" s="50"/>
      <c r="I1" s="50"/>
      <c r="J1" s="50"/>
      <c r="K1" s="50"/>
      <c r="L1" s="50"/>
      <c r="M1" s="50" t="s">
        <v>389</v>
      </c>
      <c r="N1" s="50"/>
      <c r="O1" s="50" t="s">
        <v>390</v>
      </c>
      <c r="P1" s="50"/>
      <c r="Q1" s="50" t="s">
        <v>390</v>
      </c>
      <c r="R1" s="50"/>
    </row>
    <row r="2" spans="1:19" ht="13.8">
      <c r="A2" s="45"/>
      <c r="B2" s="27" t="str">
        <f>IF(College_Number="&lt;&lt;&lt;College Number&gt;&gt;&gt;","Enter College Number on ExhA&amp;B",'ExhA&amp;B'!B2)</f>
        <v>C0</v>
      </c>
      <c r="C2" s="27"/>
      <c r="G2" s="338" t="s">
        <v>169</v>
      </c>
      <c r="H2" s="338"/>
      <c r="I2" s="338"/>
      <c r="J2" s="159"/>
      <c r="K2" s="550">
        <f>IF(PreparerName="","Enter Name on ExhA&amp;B",PreparerName)</f>
        <v>0</v>
      </c>
      <c r="L2" s="159"/>
      <c r="M2" s="159"/>
      <c r="N2" s="828"/>
      <c r="O2" s="828"/>
      <c r="Q2" s="41"/>
      <c r="R2" s="41"/>
    </row>
    <row r="3" spans="1:19" ht="13.8">
      <c r="A3" s="45"/>
      <c r="B3" s="27" t="str">
        <f>College_Name</f>
        <v>Alamance Community College</v>
      </c>
      <c r="C3" s="27"/>
      <c r="G3" s="338" t="s">
        <v>173</v>
      </c>
      <c r="H3" s="338"/>
      <c r="I3" s="338"/>
      <c r="J3" s="159"/>
      <c r="K3" s="550" t="str">
        <f>IF(PreparerPhone="","Enter Phone Number on ExhA&amp;B",TEXT(PreparerPhone,"(000) 000-0000"))</f>
        <v>(000) 000-0000</v>
      </c>
      <c r="L3" s="159"/>
      <c r="M3" s="159"/>
      <c r="N3" s="828"/>
      <c r="O3" s="828"/>
      <c r="Q3" s="41"/>
      <c r="R3" s="41"/>
    </row>
    <row r="4" spans="1:19" ht="13.8">
      <c r="A4" s="45"/>
      <c r="B4" s="27" t="s">
        <v>391</v>
      </c>
      <c r="G4" s="338" t="s">
        <v>9</v>
      </c>
      <c r="H4" s="338"/>
      <c r="I4" s="338"/>
      <c r="J4" s="160"/>
      <c r="K4" s="551">
        <f>Index!D13</f>
        <v>0</v>
      </c>
      <c r="L4" s="831"/>
      <c r="M4" s="831"/>
      <c r="N4" s="832"/>
      <c r="O4" s="832"/>
    </row>
    <row r="5" spans="1:19">
      <c r="A5" s="45"/>
      <c r="B5" s="27" t="str">
        <f>"For the Fiscal Year Ended "&amp;TEXT('ExhA&amp;B'!B4,"mmmm d, yyyy")</f>
        <v>For the Fiscal Year Ended June 30, 2023</v>
      </c>
    </row>
    <row r="6" spans="1:19" ht="13.8" thickBot="1">
      <c r="A6" s="45"/>
      <c r="B6" s="28"/>
      <c r="C6" s="52"/>
      <c r="D6" s="52"/>
      <c r="E6" s="52"/>
      <c r="F6" s="52"/>
      <c r="G6" s="52"/>
      <c r="H6" s="52"/>
      <c r="I6" s="52"/>
      <c r="J6" s="52"/>
      <c r="K6" s="52"/>
      <c r="L6" s="52"/>
      <c r="M6" s="52"/>
      <c r="N6" s="52"/>
      <c r="O6" s="52"/>
      <c r="P6" s="52"/>
      <c r="Q6" s="52"/>
      <c r="R6" s="52"/>
    </row>
    <row r="7" spans="1:19" s="46" customFormat="1" ht="12.75" customHeight="1">
      <c r="A7" s="45"/>
    </row>
    <row r="8" spans="1:19" s="46" customFormat="1" ht="12.75" customHeight="1">
      <c r="A8" s="45"/>
      <c r="B8" s="47"/>
      <c r="F8" s="48"/>
    </row>
    <row r="9" spans="1:19">
      <c r="A9" s="45"/>
      <c r="B9" s="1067" t="s">
        <v>391</v>
      </c>
      <c r="C9" s="1067"/>
      <c r="D9" s="1067"/>
      <c r="E9" s="1067"/>
      <c r="F9" s="1067"/>
      <c r="G9" s="1067"/>
      <c r="H9" s="1067"/>
      <c r="I9" s="1067"/>
      <c r="J9" s="1067"/>
      <c r="K9" s="1067"/>
      <c r="L9" s="1067"/>
      <c r="M9" s="1067"/>
      <c r="N9" s="1067"/>
      <c r="O9" s="1067"/>
      <c r="P9" s="1067"/>
      <c r="Q9" s="1067"/>
      <c r="R9" s="1067"/>
    </row>
    <row r="10" spans="1:19" s="140" customFormat="1" ht="12.75" customHeight="1">
      <c r="A10" s="45"/>
      <c r="B10" s="1067"/>
      <c r="C10" s="1067"/>
      <c r="D10" s="1067"/>
      <c r="E10" s="1067"/>
      <c r="F10" s="1067"/>
      <c r="G10" s="1067"/>
      <c r="H10" s="1067"/>
      <c r="I10" s="1067"/>
      <c r="J10" s="1067"/>
      <c r="K10" s="1067"/>
      <c r="L10" s="1067"/>
      <c r="M10" s="1067"/>
      <c r="N10" s="1067"/>
      <c r="O10" s="1067"/>
      <c r="P10" s="1067"/>
      <c r="Q10" s="1067"/>
      <c r="R10" s="1067"/>
      <c r="S10" s="36"/>
    </row>
    <row r="11" spans="1:19">
      <c r="A11" s="45"/>
      <c r="B11" s="27"/>
    </row>
    <row r="12" spans="1:19" s="140" customFormat="1">
      <c r="A12" s="45"/>
      <c r="B12" s="36"/>
      <c r="C12" s="36"/>
      <c r="D12" s="36"/>
      <c r="E12" s="36"/>
      <c r="F12" s="36"/>
      <c r="G12" s="987" t="s">
        <v>378</v>
      </c>
      <c r="H12" s="987"/>
      <c r="I12" s="214" t="s">
        <v>392</v>
      </c>
      <c r="J12" s="987"/>
      <c r="K12" s="987"/>
      <c r="L12" s="987"/>
      <c r="M12" s="987"/>
      <c r="N12" s="987"/>
      <c r="O12" s="987" t="s">
        <v>378</v>
      </c>
      <c r="P12" s="987"/>
      <c r="Q12" s="987" t="s">
        <v>393</v>
      </c>
      <c r="R12" s="987"/>
      <c r="S12" s="36"/>
    </row>
    <row r="13" spans="1:19" s="140" customFormat="1">
      <c r="A13" s="45"/>
      <c r="B13" s="36"/>
      <c r="C13" s="143"/>
      <c r="D13" s="141" t="s">
        <v>394</v>
      </c>
      <c r="E13" s="143"/>
      <c r="F13" s="36"/>
      <c r="G13" s="153">
        <f>+Index!$A$119</f>
        <v>44743</v>
      </c>
      <c r="H13" s="173"/>
      <c r="I13" s="215" t="s">
        <v>395</v>
      </c>
      <c r="J13" s="30"/>
      <c r="K13" s="29" t="s">
        <v>314</v>
      </c>
      <c r="L13" s="30"/>
      <c r="M13" s="29" t="s">
        <v>315</v>
      </c>
      <c r="N13" s="30"/>
      <c r="O13" s="153">
        <f>+Index!$A$118</f>
        <v>45107</v>
      </c>
      <c r="P13" s="30"/>
      <c r="Q13" s="29" t="s">
        <v>396</v>
      </c>
      <c r="R13" s="987"/>
      <c r="S13" s="36"/>
    </row>
    <row r="14" spans="1:19" s="140" customFormat="1" ht="13.8">
      <c r="A14" s="45"/>
      <c r="B14" s="36"/>
      <c r="C14" s="36"/>
      <c r="D14" s="32"/>
      <c r="E14" s="36"/>
      <c r="F14" s="36"/>
      <c r="G14" s="173"/>
      <c r="H14" s="173"/>
      <c r="I14" s="756" t="s">
        <v>323</v>
      </c>
      <c r="J14" s="756"/>
      <c r="K14" s="762" t="s">
        <v>397</v>
      </c>
      <c r="L14" s="756"/>
      <c r="M14" s="762" t="s">
        <v>398</v>
      </c>
      <c r="N14" s="30"/>
      <c r="O14" s="173"/>
      <c r="P14" s="756"/>
      <c r="Q14" s="756" t="s">
        <v>399</v>
      </c>
      <c r="R14" s="987"/>
      <c r="S14" s="36"/>
    </row>
    <row r="15" spans="1:19">
      <c r="A15" s="45"/>
      <c r="G15" s="987" t="s">
        <v>400</v>
      </c>
      <c r="H15" s="987"/>
      <c r="I15" s="214" t="s">
        <v>401</v>
      </c>
      <c r="J15" s="30"/>
      <c r="K15" s="987" t="s">
        <v>402</v>
      </c>
      <c r="L15" s="30"/>
      <c r="M15" s="987" t="s">
        <v>403</v>
      </c>
      <c r="N15" s="30"/>
      <c r="O15" s="987" t="s">
        <v>404</v>
      </c>
      <c r="P15" s="30"/>
      <c r="Q15" s="987" t="s">
        <v>405</v>
      </c>
      <c r="R15" s="987"/>
    </row>
    <row r="16" spans="1:19">
      <c r="A16" s="45"/>
      <c r="G16" s="987"/>
      <c r="H16" s="987"/>
      <c r="I16" s="987"/>
      <c r="J16" s="30"/>
      <c r="K16" s="987"/>
      <c r="L16" s="30"/>
      <c r="M16" s="987"/>
      <c r="N16" s="30"/>
      <c r="O16" s="987"/>
      <c r="P16" s="30"/>
      <c r="Q16" s="987"/>
      <c r="R16" s="987"/>
    </row>
    <row r="17" spans="1:21" ht="13.8">
      <c r="A17" s="45"/>
      <c r="B17" s="27"/>
      <c r="C17" s="36" t="s">
        <v>406</v>
      </c>
      <c r="F17" s="783" t="s">
        <v>146</v>
      </c>
      <c r="G17" s="171">
        <f>VLOOKUP($B$2,LTLiabBegBal!$A$3:$N$63,3,FALSE)</f>
        <v>197265.81</v>
      </c>
      <c r="H17" s="833"/>
      <c r="I17" s="934">
        <v>0</v>
      </c>
      <c r="J17" s="833"/>
      <c r="K17" s="934">
        <v>0</v>
      </c>
      <c r="L17" s="833"/>
      <c r="M17" s="934">
        <v>0</v>
      </c>
      <c r="N17" s="54"/>
      <c r="O17" s="833">
        <f t="shared" ref="O17:O24" si="0">SUM(G17,I17,K17,M17)</f>
        <v>197265.81</v>
      </c>
      <c r="P17" s="833"/>
      <c r="Q17" s="934">
        <v>0</v>
      </c>
      <c r="R17" s="31"/>
      <c r="S17" s="935" t="str">
        <f>IF(O17&lt;&gt;'301'!L33,"Worksheet 301 Must Be Completed"," ")</f>
        <v>Worksheet 301 Must Be Completed</v>
      </c>
      <c r="T17" s="757">
        <v>22410000</v>
      </c>
      <c r="U17" s="757">
        <v>21410000</v>
      </c>
    </row>
    <row r="18" spans="1:21">
      <c r="A18" s="45"/>
      <c r="B18" s="27"/>
      <c r="C18" s="914" t="s">
        <v>1714</v>
      </c>
      <c r="D18" s="914"/>
      <c r="E18" s="914"/>
      <c r="F18" s="913" t="s">
        <v>356</v>
      </c>
      <c r="G18" s="968">
        <v>0</v>
      </c>
      <c r="H18" s="833"/>
      <c r="I18" s="934">
        <v>0</v>
      </c>
      <c r="J18" s="833"/>
      <c r="K18" s="934">
        <v>0</v>
      </c>
      <c r="L18" s="833"/>
      <c r="M18" s="934">
        <v>0</v>
      </c>
      <c r="N18" s="54"/>
      <c r="O18" s="833">
        <f t="shared" ref="O18" si="1">SUM(G18,I18,K18,M18)</f>
        <v>0</v>
      </c>
      <c r="P18" s="833"/>
      <c r="Q18" s="934">
        <v>0</v>
      </c>
      <c r="R18" s="31"/>
      <c r="S18" s="935" t="s">
        <v>407</v>
      </c>
      <c r="T18" s="757">
        <v>22420000</v>
      </c>
      <c r="U18" s="757">
        <v>21420000</v>
      </c>
    </row>
    <row r="19" spans="1:21">
      <c r="A19" s="45">
        <v>4000</v>
      </c>
      <c r="C19" s="36" t="s">
        <v>408</v>
      </c>
      <c r="G19" s="216">
        <f>VLOOKUP($B$2,LTLiabBegBal!$A$3:$N$63,5,FALSE)</f>
        <v>604948.78</v>
      </c>
      <c r="H19" s="834"/>
      <c r="I19" s="835">
        <v>0</v>
      </c>
      <c r="J19" s="834"/>
      <c r="K19" s="835">
        <v>0</v>
      </c>
      <c r="L19" s="834"/>
      <c r="M19" s="835">
        <v>0</v>
      </c>
      <c r="N19" s="55"/>
      <c r="O19" s="834">
        <f t="shared" si="0"/>
        <v>604948.78</v>
      </c>
      <c r="P19" s="834"/>
      <c r="Q19" s="835">
        <v>682171.27</v>
      </c>
      <c r="R19" s="55"/>
      <c r="T19" s="757">
        <v>22192000</v>
      </c>
      <c r="U19" s="757">
        <v>21192000</v>
      </c>
    </row>
    <row r="20" spans="1:21">
      <c r="A20" s="45">
        <v>4100</v>
      </c>
      <c r="C20" s="36" t="s">
        <v>409</v>
      </c>
      <c r="G20" s="216">
        <f>VLOOKUP($B$2,LTLiabBegBal!$A$3:$N$63,7,FALSE)</f>
        <v>0</v>
      </c>
      <c r="H20" s="834"/>
      <c r="I20" s="835">
        <v>0</v>
      </c>
      <c r="J20" s="834"/>
      <c r="K20" s="835">
        <v>0</v>
      </c>
      <c r="L20" s="834"/>
      <c r="M20" s="835">
        <v>0</v>
      </c>
      <c r="N20" s="55"/>
      <c r="O20" s="834">
        <f t="shared" ref="O20" si="2">SUM(G20,I20,K20,M20)</f>
        <v>0</v>
      </c>
      <c r="P20" s="834"/>
      <c r="Q20" s="835">
        <v>0</v>
      </c>
      <c r="R20" s="55"/>
      <c r="S20" s="548" t="s">
        <v>410</v>
      </c>
      <c r="T20" s="757">
        <v>22320000</v>
      </c>
      <c r="U20" s="757">
        <v>21320000</v>
      </c>
    </row>
    <row r="21" spans="1:21">
      <c r="A21" s="45"/>
      <c r="C21" s="36" t="s">
        <v>411</v>
      </c>
      <c r="G21" s="216">
        <f>VLOOKUP($B$2,LTLiabBegBal!$A$3:$N$63,9,FALSE)</f>
        <v>3853781</v>
      </c>
      <c r="H21" s="834"/>
      <c r="I21" s="835">
        <v>0</v>
      </c>
      <c r="J21" s="834"/>
      <c r="K21" s="836">
        <f>IF(($G21+I21)&lt;$O21,$O21-($G21+I21),0)</f>
        <v>8402939</v>
      </c>
      <c r="L21" s="835"/>
      <c r="M21" s="836">
        <f>IF(($G21+I21)&gt;$O21,$O21-($G21+I21),0)</f>
        <v>0</v>
      </c>
      <c r="N21" s="55"/>
      <c r="O21" s="834">
        <f>VLOOKUP($B$2,'Pension_OPEB EndBal'!A3:I63,3,)</f>
        <v>12256720</v>
      </c>
      <c r="P21" s="834"/>
      <c r="Q21" s="834">
        <v>0</v>
      </c>
      <c r="R21" s="549">
        <f>IF((O21)=0, "SHOULD NOT BE ZERO",0 )</f>
        <v>0</v>
      </c>
      <c r="S21" s="548"/>
      <c r="T21" s="757">
        <v>22915000</v>
      </c>
      <c r="U21" s="757">
        <v>21915000</v>
      </c>
    </row>
    <row r="22" spans="1:21">
      <c r="A22" s="45"/>
      <c r="C22" s="36" t="s">
        <v>412</v>
      </c>
      <c r="G22" s="216">
        <f>VLOOKUP($B$2,LTLiabBegBal!$A$3:$N$63,10,FALSE)</f>
        <v>21469649</v>
      </c>
      <c r="H22" s="834"/>
      <c r="I22" s="835">
        <v>0</v>
      </c>
      <c r="J22" s="834"/>
      <c r="K22" s="836">
        <f>IF(($G22+I22)&lt;$O22,$O22-($G22+I22),0)</f>
        <v>0</v>
      </c>
      <c r="L22" s="835"/>
      <c r="M22" s="836">
        <f>IF(($G22+I22)&gt;$O22,$O22-($G22+I22),0)</f>
        <v>-4955732</v>
      </c>
      <c r="N22" s="55"/>
      <c r="O22" s="834">
        <f>VLOOKUP($B$2,'Pension_OPEB EndBal'!A3:I63,5,)</f>
        <v>16513917</v>
      </c>
      <c r="P22" s="834"/>
      <c r="Q22" s="834">
        <v>0</v>
      </c>
      <c r="R22" s="549">
        <f>IF((O22)=0, "SHOULD NOT BE ZERO",0 )</f>
        <v>0</v>
      </c>
      <c r="S22" s="548"/>
      <c r="T22" s="757">
        <v>22916000</v>
      </c>
      <c r="U22" s="757">
        <v>21915100</v>
      </c>
    </row>
    <row r="23" spans="1:21">
      <c r="A23" s="45"/>
      <c r="B23" s="182"/>
      <c r="C23" s="36" t="s">
        <v>413</v>
      </c>
      <c r="G23" s="216">
        <f>VLOOKUP($B$2,LTLiabBegBal!$A$3:$N$63,11,FALSE)</f>
        <v>0</v>
      </c>
      <c r="H23" s="834"/>
      <c r="I23" s="835">
        <v>0</v>
      </c>
      <c r="J23" s="834"/>
      <c r="K23" s="835">
        <v>0</v>
      </c>
      <c r="L23" s="834"/>
      <c r="M23" s="835">
        <v>0</v>
      </c>
      <c r="N23" s="55"/>
      <c r="O23" s="834">
        <f t="shared" si="0"/>
        <v>0</v>
      </c>
      <c r="P23" s="834"/>
      <c r="Q23" s="835">
        <v>0</v>
      </c>
      <c r="R23" s="55"/>
      <c r="T23" s="757">
        <v>22191500</v>
      </c>
      <c r="U23" s="757">
        <v>21191500</v>
      </c>
    </row>
    <row r="24" spans="1:21">
      <c r="A24" s="45">
        <v>4200</v>
      </c>
      <c r="B24" s="182"/>
      <c r="C24" s="36" t="s">
        <v>414</v>
      </c>
      <c r="G24" s="216">
        <f>VLOOKUP($B$2,LTLiabBegBal!$A$3:$N$63,12,FALSE)</f>
        <v>0</v>
      </c>
      <c r="H24" s="834"/>
      <c r="I24" s="835">
        <v>0</v>
      </c>
      <c r="J24" s="834"/>
      <c r="K24" s="835">
        <v>0</v>
      </c>
      <c r="L24" s="834"/>
      <c r="M24" s="835">
        <v>0</v>
      </c>
      <c r="N24" s="55"/>
      <c r="O24" s="834">
        <f t="shared" si="0"/>
        <v>0</v>
      </c>
      <c r="P24" s="834"/>
      <c r="Q24" s="835">
        <v>0</v>
      </c>
      <c r="R24" s="55"/>
      <c r="T24" s="757">
        <v>22191900</v>
      </c>
      <c r="U24" s="757">
        <v>21191900</v>
      </c>
    </row>
    <row r="25" spans="1:21">
      <c r="A25" s="45"/>
      <c r="B25" s="182"/>
      <c r="C25" s="36" t="s">
        <v>415</v>
      </c>
      <c r="G25" s="216">
        <f>VLOOKUP($B$2,LTLiabBegBal!$A$3:$N$63,13,FALSE)</f>
        <v>0</v>
      </c>
      <c r="H25" s="834"/>
      <c r="I25" s="835">
        <v>0</v>
      </c>
      <c r="J25" s="834"/>
      <c r="K25" s="835">
        <v>0</v>
      </c>
      <c r="L25" s="834"/>
      <c r="M25" s="835">
        <v>0</v>
      </c>
      <c r="N25" s="55"/>
      <c r="O25" s="834">
        <f t="shared" ref="O25" si="3">SUM(G25,I25,K25,M25)</f>
        <v>0</v>
      </c>
      <c r="P25" s="834"/>
      <c r="Q25" s="835">
        <v>0</v>
      </c>
      <c r="R25" s="55"/>
      <c r="T25" s="757">
        <v>22192500</v>
      </c>
      <c r="U25" s="757">
        <v>21192500</v>
      </c>
    </row>
    <row r="26" spans="1:21" ht="13.8" thickBot="1">
      <c r="A26" s="45">
        <v>4400</v>
      </c>
      <c r="D26" s="32" t="s">
        <v>416</v>
      </c>
      <c r="G26" s="837">
        <f>SUM(G17:G25)</f>
        <v>26125644.59</v>
      </c>
      <c r="H26" s="833"/>
      <c r="I26" s="837">
        <f>SUM(I17:I25)</f>
        <v>0</v>
      </c>
      <c r="J26" s="833"/>
      <c r="K26" s="837">
        <f>SUM(K17:K25)</f>
        <v>8402939</v>
      </c>
      <c r="L26" s="833"/>
      <c r="M26" s="837">
        <f>SUM(M17:M25)</f>
        <v>-4955732</v>
      </c>
      <c r="N26" s="54"/>
      <c r="O26" s="837">
        <f>SUM(O17:O25)</f>
        <v>29572851.59</v>
      </c>
      <c r="P26" s="833"/>
      <c r="Q26" s="837">
        <f>SUM(Q17:Q25)</f>
        <v>682171.27</v>
      </c>
      <c r="R26" s="55"/>
    </row>
    <row r="27" spans="1:21" ht="14.4" thickTop="1">
      <c r="A27" s="45"/>
      <c r="D27" s="32"/>
      <c r="G27" s="55"/>
      <c r="H27" s="55"/>
      <c r="I27" s="55"/>
      <c r="J27" s="55"/>
      <c r="K27" s="55"/>
      <c r="L27" s="55"/>
      <c r="M27" s="55"/>
      <c r="N27" s="55"/>
      <c r="O27" s="58" t="str">
        <f>IF('ExhA&amp;B'!D64+'ExhA&amp;B'!D58=O26,"In Bal.","NOT")</f>
        <v>In Bal.</v>
      </c>
      <c r="P27" s="55"/>
      <c r="Q27" s="58" t="str">
        <f>IF('ExhA&amp;B'!D58=Q26,"In Bal.","NOT")</f>
        <v>In Bal.</v>
      </c>
      <c r="R27" s="55"/>
    </row>
    <row r="28" spans="1:21">
      <c r="A28" s="45"/>
      <c r="B28" s="142"/>
      <c r="C28" s="143"/>
      <c r="D28" s="143"/>
      <c r="E28" s="143"/>
      <c r="F28" s="143"/>
      <c r="G28" s="57"/>
      <c r="H28" s="57"/>
      <c r="I28" s="57"/>
      <c r="J28" s="57"/>
      <c r="K28" s="57"/>
      <c r="L28" s="57"/>
      <c r="M28" s="57"/>
      <c r="N28" s="57"/>
      <c r="O28" s="57"/>
      <c r="P28" s="57"/>
      <c r="Q28" s="57"/>
      <c r="R28" s="55"/>
    </row>
    <row r="29" spans="1:21">
      <c r="A29" s="45"/>
      <c r="B29" s="27" t="s">
        <v>417</v>
      </c>
      <c r="G29" s="55"/>
      <c r="H29" s="55"/>
      <c r="I29" s="55"/>
      <c r="J29" s="55"/>
      <c r="K29" s="55"/>
      <c r="L29" s="55"/>
      <c r="M29" s="55"/>
      <c r="N29" s="55"/>
      <c r="O29" s="55"/>
      <c r="P29" s="55"/>
      <c r="Q29" s="55"/>
      <c r="R29" s="55"/>
    </row>
    <row r="30" spans="1:21">
      <c r="A30" s="45"/>
      <c r="G30" s="55"/>
      <c r="H30" s="55"/>
      <c r="I30" s="55"/>
      <c r="J30" s="55"/>
      <c r="K30" s="55"/>
      <c r="L30" s="55"/>
      <c r="M30" s="55"/>
      <c r="N30" s="55"/>
      <c r="O30" s="55"/>
      <c r="P30" s="55"/>
      <c r="Q30" s="55"/>
      <c r="R30" s="55"/>
    </row>
    <row r="31" spans="1:21">
      <c r="A31" s="45"/>
      <c r="B31" s="36" t="s">
        <v>388</v>
      </c>
      <c r="G31" s="55"/>
      <c r="H31" s="55"/>
      <c r="I31" s="55"/>
      <c r="J31" s="55"/>
      <c r="K31" s="55"/>
      <c r="L31" s="55"/>
      <c r="M31" s="55"/>
      <c r="N31" s="55"/>
      <c r="O31" s="55"/>
      <c r="P31" s="55"/>
      <c r="Q31" s="55"/>
      <c r="R31" s="55"/>
    </row>
    <row r="32" spans="1:21">
      <c r="A32" s="45"/>
      <c r="B32" s="36" t="s">
        <v>418</v>
      </c>
      <c r="G32" s="55"/>
      <c r="H32" s="55"/>
      <c r="I32" s="55"/>
      <c r="J32" s="55"/>
      <c r="K32" s="55"/>
      <c r="L32" s="55"/>
      <c r="M32" s="55"/>
      <c r="N32" s="55"/>
      <c r="O32" s="55"/>
      <c r="P32" s="55"/>
      <c r="Q32" s="55"/>
      <c r="R32" s="55"/>
    </row>
    <row r="33" spans="1:18">
      <c r="A33" s="45"/>
      <c r="B33" s="36" t="s">
        <v>419</v>
      </c>
      <c r="G33" s="55"/>
      <c r="H33" s="55"/>
      <c r="I33" s="55"/>
      <c r="J33" s="55"/>
      <c r="K33" s="55"/>
      <c r="L33" s="55"/>
      <c r="M33" s="55"/>
      <c r="N33" s="55"/>
      <c r="O33" s="55"/>
      <c r="P33" s="55"/>
      <c r="Q33" s="55"/>
      <c r="R33" s="55"/>
    </row>
    <row r="34" spans="1:18">
      <c r="A34" s="45"/>
      <c r="G34" s="55"/>
      <c r="H34" s="55"/>
      <c r="I34" s="55"/>
      <c r="J34" s="55"/>
      <c r="K34" s="55"/>
      <c r="L34" s="55"/>
      <c r="M34" s="55"/>
      <c r="N34" s="55"/>
      <c r="O34" s="55"/>
      <c r="P34" s="55"/>
      <c r="Q34" s="55"/>
      <c r="R34" s="55"/>
    </row>
    <row r="35" spans="1:18">
      <c r="A35" s="45"/>
      <c r="B35" s="36" t="s">
        <v>420</v>
      </c>
      <c r="E35" s="36" t="str">
        <f>CONCATENATE("Balance - ",TEXT(+Index!$A$119,"mmmm d, yyyy"))</f>
        <v>Balance - July 1, 2022</v>
      </c>
      <c r="F35" s="36" t="s">
        <v>421</v>
      </c>
      <c r="G35" s="55"/>
      <c r="H35" s="55"/>
      <c r="I35" s="55"/>
      <c r="J35" s="55"/>
      <c r="K35" s="55"/>
      <c r="L35" s="55"/>
      <c r="M35" s="55"/>
      <c r="N35" s="55"/>
      <c r="O35" s="55"/>
      <c r="P35" s="55"/>
      <c r="Q35" s="55"/>
      <c r="R35" s="55"/>
    </row>
    <row r="36" spans="1:18">
      <c r="A36" s="45"/>
      <c r="G36" s="55"/>
      <c r="H36" s="55"/>
      <c r="I36" s="55"/>
      <c r="J36" s="55"/>
      <c r="K36" s="55"/>
      <c r="L36" s="55"/>
      <c r="M36" s="55"/>
      <c r="N36" s="55"/>
      <c r="O36" s="55"/>
      <c r="P36" s="55"/>
      <c r="Q36" s="55"/>
      <c r="R36" s="55"/>
    </row>
    <row r="37" spans="1:18">
      <c r="A37" s="45"/>
      <c r="B37" s="36" t="s">
        <v>422</v>
      </c>
      <c r="F37" s="36" t="s">
        <v>423</v>
      </c>
      <c r="G37" s="55"/>
      <c r="H37" s="55"/>
      <c r="I37" s="55"/>
      <c r="J37" s="55"/>
      <c r="K37" s="55"/>
      <c r="L37" s="55"/>
      <c r="M37" s="55"/>
      <c r="N37" s="55"/>
      <c r="O37" s="55"/>
      <c r="P37" s="55"/>
      <c r="Q37" s="55"/>
      <c r="R37" s="55"/>
    </row>
    <row r="38" spans="1:18">
      <c r="A38" s="45"/>
      <c r="G38" s="55"/>
      <c r="H38" s="55"/>
      <c r="I38" s="55"/>
      <c r="J38" s="55"/>
      <c r="K38" s="55"/>
      <c r="L38" s="55"/>
      <c r="M38" s="55"/>
      <c r="N38" s="55"/>
      <c r="O38" s="55"/>
      <c r="P38" s="55"/>
      <c r="Q38" s="55"/>
      <c r="R38" s="55"/>
    </row>
    <row r="39" spans="1:18">
      <c r="A39" s="45"/>
      <c r="B39" s="36" t="s">
        <v>424</v>
      </c>
      <c r="C39" s="32"/>
      <c r="E39" s="36" t="s">
        <v>314</v>
      </c>
      <c r="F39" s="36" t="s">
        <v>425</v>
      </c>
      <c r="G39" s="54"/>
      <c r="H39" s="54"/>
      <c r="I39" s="54"/>
      <c r="J39" s="54"/>
      <c r="K39" s="54"/>
      <c r="L39" s="54"/>
      <c r="M39" s="54"/>
      <c r="N39" s="54"/>
      <c r="O39" s="54"/>
      <c r="P39" s="54"/>
      <c r="Q39" s="54"/>
      <c r="R39" s="54"/>
    </row>
    <row r="40" spans="1:18">
      <c r="A40" s="45"/>
      <c r="F40" s="36" t="s">
        <v>426</v>
      </c>
      <c r="G40" s="55"/>
      <c r="H40" s="55"/>
      <c r="I40" s="55"/>
      <c r="J40" s="55"/>
      <c r="K40" s="55"/>
      <c r="L40" s="55"/>
      <c r="M40" s="55"/>
      <c r="N40" s="55"/>
      <c r="O40" s="55"/>
      <c r="P40" s="55"/>
      <c r="Q40" s="55"/>
      <c r="R40" s="55"/>
    </row>
    <row r="41" spans="1:18">
      <c r="A41" s="45"/>
      <c r="G41" s="55"/>
      <c r="H41" s="55"/>
      <c r="I41" s="55"/>
      <c r="J41" s="55"/>
      <c r="K41" s="55"/>
      <c r="L41" s="55"/>
      <c r="M41" s="55"/>
      <c r="N41" s="55"/>
      <c r="O41" s="55"/>
      <c r="P41" s="55"/>
      <c r="Q41" s="55"/>
      <c r="R41" s="55"/>
    </row>
    <row r="42" spans="1:18">
      <c r="A42" s="45"/>
      <c r="B42" s="36" t="s">
        <v>427</v>
      </c>
      <c r="E42" s="36" t="s">
        <v>315</v>
      </c>
      <c r="F42" s="36" t="s">
        <v>428</v>
      </c>
      <c r="G42" s="55"/>
      <c r="H42" s="55"/>
      <c r="I42" s="55"/>
      <c r="J42" s="55"/>
      <c r="K42" s="55"/>
      <c r="L42" s="55"/>
      <c r="M42" s="55"/>
      <c r="N42" s="55"/>
      <c r="O42" s="55"/>
      <c r="P42" s="55"/>
      <c r="Q42" s="55"/>
      <c r="R42" s="55"/>
    </row>
    <row r="43" spans="1:18">
      <c r="A43" s="45"/>
      <c r="F43" s="36" t="s">
        <v>429</v>
      </c>
      <c r="G43" s="55"/>
      <c r="H43" s="55"/>
      <c r="I43" s="55"/>
      <c r="J43" s="55"/>
      <c r="K43" s="55"/>
      <c r="L43" s="55"/>
      <c r="M43" s="55"/>
      <c r="N43" s="55"/>
      <c r="O43" s="55"/>
      <c r="P43" s="55"/>
      <c r="Q43" s="55"/>
      <c r="R43" s="55"/>
    </row>
    <row r="44" spans="1:18">
      <c r="A44" s="45"/>
      <c r="G44" s="55"/>
      <c r="H44" s="55"/>
      <c r="I44" s="55"/>
      <c r="J44" s="55"/>
      <c r="K44" s="55"/>
      <c r="L44" s="55"/>
      <c r="M44" s="55"/>
      <c r="N44" s="55"/>
      <c r="O44" s="55"/>
      <c r="P44" s="55"/>
      <c r="Q44" s="55"/>
      <c r="R44" s="55"/>
    </row>
    <row r="45" spans="1:18">
      <c r="A45" s="45"/>
      <c r="B45" s="36" t="s">
        <v>430</v>
      </c>
      <c r="C45" s="987"/>
      <c r="D45" s="987"/>
      <c r="E45" s="36" t="str">
        <f>CONCATENATE("Balance - ",TEXT(+Index!$A$118,"mmmm d, yyyy"))</f>
        <v>Balance - June 30, 2023</v>
      </c>
      <c r="F45" s="36" t="s">
        <v>431</v>
      </c>
      <c r="G45" s="987"/>
      <c r="H45" s="987"/>
      <c r="I45" s="987"/>
      <c r="J45" s="987"/>
      <c r="K45" s="987"/>
      <c r="L45" s="987"/>
      <c r="M45" s="987"/>
      <c r="N45" s="987"/>
      <c r="O45" s="987"/>
      <c r="P45" s="987"/>
      <c r="Q45" s="987"/>
      <c r="R45" s="987"/>
    </row>
    <row r="46" spans="1:18">
      <c r="A46" s="45"/>
      <c r="B46" s="987"/>
      <c r="C46" s="987"/>
      <c r="D46" s="987"/>
      <c r="E46" s="987"/>
      <c r="F46" s="36" t="s">
        <v>432</v>
      </c>
      <c r="G46" s="987"/>
      <c r="H46" s="987"/>
      <c r="I46" s="987"/>
      <c r="J46" s="987"/>
      <c r="K46" s="987"/>
      <c r="L46" s="987"/>
      <c r="M46" s="987"/>
      <c r="N46" s="987"/>
      <c r="O46" s="987"/>
      <c r="P46" s="987"/>
      <c r="Q46" s="987"/>
      <c r="R46" s="987"/>
    </row>
    <row r="47" spans="1:18">
      <c r="A47" s="45"/>
      <c r="B47" s="987"/>
      <c r="C47" s="987"/>
      <c r="D47" s="987"/>
      <c r="E47" s="987"/>
      <c r="F47" s="987"/>
      <c r="G47" s="987"/>
      <c r="H47" s="987"/>
      <c r="I47" s="987"/>
      <c r="J47" s="987"/>
      <c r="K47" s="987"/>
      <c r="L47" s="987"/>
      <c r="M47" s="987"/>
      <c r="N47" s="987"/>
      <c r="O47" s="987"/>
      <c r="P47" s="987"/>
      <c r="Q47" s="987"/>
      <c r="R47" s="987"/>
    </row>
    <row r="48" spans="1:18">
      <c r="A48" s="45"/>
      <c r="B48" s="36" t="s">
        <v>433</v>
      </c>
      <c r="E48" s="36" t="s">
        <v>434</v>
      </c>
      <c r="F48" s="36" t="str">
        <f>CONCATENATE("Current portion of long-term liabilities - payable in the current period - ",TEXT(+Index!$A$121,"mmmm d, yyyy")," through ",TEXT(+Index!$A$122,"mmmm d, yyyy"))</f>
        <v>Current portion of long-term liabilities - payable in the current period - July 1, 2023 through June 30, 2024</v>
      </c>
      <c r="G48" s="987"/>
      <c r="H48" s="987"/>
      <c r="I48" s="987"/>
      <c r="J48" s="55"/>
      <c r="K48" s="987"/>
      <c r="L48" s="55"/>
      <c r="M48" s="55"/>
      <c r="N48" s="55"/>
      <c r="O48" s="55"/>
      <c r="P48" s="55"/>
      <c r="Q48" s="987"/>
      <c r="R48" s="55"/>
    </row>
    <row r="49" spans="1:18">
      <c r="A49" s="45"/>
      <c r="F49" s="36" t="s">
        <v>435</v>
      </c>
      <c r="G49" s="49"/>
      <c r="H49" s="49"/>
      <c r="I49" s="49"/>
      <c r="K49" s="49"/>
      <c r="M49" s="987"/>
      <c r="O49" s="987"/>
      <c r="Q49" s="49"/>
    </row>
    <row r="50" spans="1:18" ht="12.75" customHeight="1">
      <c r="A50" s="46"/>
      <c r="G50" s="55"/>
      <c r="H50" s="55"/>
      <c r="I50" s="55"/>
      <c r="J50" s="55"/>
      <c r="K50" s="55"/>
      <c r="L50" s="55"/>
      <c r="M50" s="55"/>
      <c r="N50" s="55"/>
      <c r="O50" s="55"/>
      <c r="P50" s="55"/>
      <c r="Q50" s="55"/>
      <c r="R50" s="55"/>
    </row>
    <row r="51" spans="1:18" ht="12.75" customHeight="1">
      <c r="A51" s="46"/>
      <c r="B51" s="36" t="s">
        <v>436</v>
      </c>
      <c r="G51" s="55"/>
      <c r="H51" s="55"/>
      <c r="I51" s="55"/>
      <c r="J51" s="55"/>
      <c r="K51" s="55"/>
      <c r="L51" s="55"/>
      <c r="M51" s="55"/>
      <c r="N51" s="55"/>
      <c r="O51" s="55"/>
      <c r="P51" s="55"/>
      <c r="Q51" s="55"/>
      <c r="R51" s="55"/>
    </row>
    <row r="52" spans="1:18" ht="12.75" customHeight="1">
      <c r="A52" s="46"/>
      <c r="B52" s="729" t="s">
        <v>437</v>
      </c>
      <c r="G52" s="55"/>
      <c r="H52" s="55"/>
      <c r="I52" s="55"/>
      <c r="J52" s="55"/>
      <c r="K52" s="55"/>
      <c r="L52" s="55"/>
      <c r="M52" s="55"/>
      <c r="N52" s="55"/>
      <c r="O52" s="55"/>
      <c r="P52" s="55"/>
      <c r="Q52" s="55"/>
      <c r="R52" s="55"/>
    </row>
    <row r="53" spans="1:18" ht="12.75" customHeight="1">
      <c r="A53" s="46"/>
      <c r="B53" s="610" t="s">
        <v>438</v>
      </c>
      <c r="G53" s="55"/>
      <c r="H53" s="55"/>
      <c r="I53" s="55"/>
      <c r="J53" s="55"/>
      <c r="K53" s="55"/>
      <c r="L53" s="55"/>
      <c r="M53" s="55"/>
      <c r="N53" s="55"/>
      <c r="O53" s="55"/>
      <c r="P53" s="55"/>
      <c r="Q53" s="55"/>
      <c r="R53" s="55"/>
    </row>
    <row r="54" spans="1:18" ht="12.75" customHeight="1">
      <c r="A54" s="46"/>
      <c r="B54" s="709" t="s">
        <v>439</v>
      </c>
      <c r="G54" s="55"/>
      <c r="H54" s="55"/>
      <c r="I54" s="55"/>
      <c r="J54" s="55"/>
      <c r="K54" s="55"/>
      <c r="L54" s="55"/>
      <c r="M54" s="55"/>
      <c r="N54" s="55"/>
      <c r="O54" s="55"/>
      <c r="P54" s="55"/>
      <c r="Q54" s="55"/>
      <c r="R54" s="55"/>
    </row>
    <row r="55" spans="1:18" ht="12.75" customHeight="1">
      <c r="A55" s="46"/>
      <c r="B55" s="610" t="s">
        <v>440</v>
      </c>
      <c r="G55" s="55"/>
      <c r="H55" s="55"/>
      <c r="I55" s="55"/>
      <c r="J55" s="55"/>
      <c r="K55" s="55"/>
      <c r="L55" s="55"/>
      <c r="M55" s="55"/>
      <c r="N55" s="55"/>
      <c r="O55" s="55"/>
      <c r="P55" s="55"/>
      <c r="Q55" s="55"/>
      <c r="R55" s="55"/>
    </row>
    <row r="56" spans="1:18" ht="12.75" customHeight="1">
      <c r="A56" s="46"/>
      <c r="G56" s="55"/>
      <c r="H56" s="55"/>
      <c r="I56" s="55"/>
      <c r="J56" s="55"/>
      <c r="K56" s="55"/>
      <c r="L56" s="55"/>
      <c r="M56" s="55"/>
      <c r="N56" s="55"/>
      <c r="O56" s="55"/>
      <c r="P56" s="55"/>
      <c r="Q56" s="55"/>
      <c r="R56" s="55"/>
    </row>
    <row r="57" spans="1:18" ht="17.399999999999999">
      <c r="A57" s="45"/>
      <c r="B57" s="970" t="str">
        <f>IF(I26=0, " ", "Note:  Prior year asset adjustment must be explained on Restatements worksheet 430")</f>
        <v xml:space="preserve"> </v>
      </c>
      <c r="C57" s="971"/>
      <c r="D57" s="971"/>
      <c r="E57" s="971"/>
      <c r="F57" s="971"/>
      <c r="G57" s="971"/>
      <c r="H57" s="971"/>
      <c r="I57" s="971"/>
      <c r="J57" s="971"/>
      <c r="K57" s="971"/>
      <c r="P57" s="55"/>
      <c r="Q57" s="55"/>
      <c r="R57" s="55"/>
    </row>
    <row r="58" spans="1:18">
      <c r="A58" s="45"/>
      <c r="G58" s="55"/>
      <c r="H58" s="55"/>
      <c r="I58" s="55"/>
      <c r="J58" s="55"/>
      <c r="K58" s="55"/>
      <c r="L58" s="55"/>
      <c r="M58" s="55"/>
      <c r="N58" s="55"/>
      <c r="O58" s="55"/>
      <c r="P58" s="55"/>
      <c r="Q58" s="55"/>
      <c r="R58" s="55"/>
    </row>
    <row r="59" spans="1:18">
      <c r="A59" s="45"/>
      <c r="G59" s="55"/>
      <c r="H59" s="55"/>
      <c r="I59" s="55"/>
      <c r="J59" s="55"/>
      <c r="K59" s="55"/>
      <c r="L59" s="55"/>
      <c r="M59" s="55"/>
      <c r="N59" s="55"/>
      <c r="O59" s="55"/>
      <c r="P59" s="55"/>
      <c r="Q59" s="55"/>
      <c r="R59" s="55"/>
    </row>
    <row r="60" spans="1:18">
      <c r="A60" s="45"/>
      <c r="G60" s="55"/>
      <c r="H60" s="55"/>
      <c r="I60" s="55"/>
      <c r="J60" s="55"/>
      <c r="K60" s="55"/>
      <c r="L60" s="55"/>
      <c r="M60" s="55"/>
      <c r="N60" s="55"/>
      <c r="O60" s="55"/>
      <c r="P60" s="55"/>
      <c r="Q60" s="55"/>
      <c r="R60" s="55"/>
    </row>
    <row r="61" spans="1:18">
      <c r="A61" s="45"/>
      <c r="G61" s="55"/>
      <c r="H61" s="55"/>
      <c r="I61" s="55"/>
      <c r="J61" s="55"/>
      <c r="K61" s="54"/>
      <c r="L61" s="55"/>
      <c r="M61" s="54"/>
      <c r="N61" s="55"/>
      <c r="O61" s="54"/>
      <c r="P61" s="55"/>
      <c r="Q61" s="54"/>
      <c r="R61" s="55"/>
    </row>
    <row r="62" spans="1:18" ht="13.8">
      <c r="A62" s="45"/>
      <c r="Q62" s="58"/>
    </row>
    <row r="63" spans="1:18">
      <c r="A63" s="45"/>
    </row>
    <row r="64" spans="1:18">
      <c r="A64" s="45"/>
    </row>
    <row r="65" spans="1:1">
      <c r="A65" s="45"/>
    </row>
  </sheetData>
  <sheetProtection algorithmName="SHA-512" hashValue="dYUhxgsgviGIelIHqKq+apCNCgGG3QZSDikAU+gkiSzmVWf2t1kFgxu0T8aJ1Nz9uTubt6RrWQTfhkoddPiADQ==" saltValue="zE24UW+FteVXdhmBDIh7dA==" spinCount="100000" sheet="1" objects="1" scenarios="1" autoFilter="0"/>
  <mergeCells count="1">
    <mergeCell ref="B9:R10"/>
  </mergeCells>
  <conditionalFormatting sqref="R21:R22">
    <cfRule type="containsText" dxfId="82" priority="1" stopIfTrue="1" operator="containsText" text="Response for No needed">
      <formula>NOT(ISERROR(SEARCH("Response for No needed",R21)))</formula>
    </cfRule>
    <cfRule type="containsText" dxfId="81" priority="2" stopIfTrue="1" operator="containsText" text="Response for No needed">
      <formula>NOT(ISERROR(SEARCH("Response for No needed",R21)))</formula>
    </cfRule>
  </conditionalFormatting>
  <printOptions horizontalCentered="1"/>
  <pageMargins left="0.5" right="0.25" top="0.5" bottom="0.25" header="0.5" footer="0.25"/>
  <pageSetup scale="6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Q900"/>
  <sheetViews>
    <sheetView showGridLines="0" topLeftCell="B1" zoomScaleNormal="100" workbookViewId="0">
      <selection activeCell="S29" sqref="S29"/>
    </sheetView>
  </sheetViews>
  <sheetFormatPr defaultColWidth="9.28515625" defaultRowHeight="10.199999999999999"/>
  <cols>
    <col min="1" max="1" width="14.140625" style="1" hidden="1" customWidth="1"/>
    <col min="2" max="2" width="9.7109375" style="1" customWidth="1"/>
    <col min="3" max="3" width="15.140625" style="1" hidden="1" customWidth="1"/>
    <col min="4" max="4" width="17.7109375" style="1" hidden="1" customWidth="1"/>
    <col min="5" max="5" width="47.85546875" style="1" customWidth="1"/>
    <col min="6" max="6" width="0.7109375" style="2" customWidth="1"/>
    <col min="7" max="7" width="1.42578125" style="11" customWidth="1"/>
    <col min="8" max="8" width="16.28515625" style="11" customWidth="1"/>
    <col min="9" max="9" width="1" style="11" customWidth="1"/>
    <col min="10" max="10" width="16.28515625" style="11" customWidth="1"/>
    <col min="11" max="11" width="1" style="11" customWidth="1"/>
    <col min="12" max="12" width="16.28515625" style="11" customWidth="1"/>
    <col min="13" max="13" width="1" style="1" customWidth="1"/>
    <col min="14" max="14" width="12.28515625" style="1" customWidth="1"/>
    <col min="15" max="15" width="3.85546875" style="1" customWidth="1"/>
    <col min="16" max="16" width="19.85546875" style="10" customWidth="1"/>
    <col min="17" max="16384" width="9.28515625" style="1"/>
  </cols>
  <sheetData>
    <row r="1" spans="1:16">
      <c r="E1" s="94"/>
      <c r="P1" s="20"/>
    </row>
    <row r="2" spans="1:16" ht="13.2">
      <c r="E2" s="468" t="str">
        <f>Index!D10</f>
        <v>C0</v>
      </c>
      <c r="G2" s="16"/>
      <c r="H2" s="1"/>
      <c r="J2" s="1"/>
      <c r="O2" s="64" t="s">
        <v>441</v>
      </c>
      <c r="P2" s="1"/>
    </row>
    <row r="3" spans="1:16" ht="13.2">
      <c r="E3" s="838" t="str">
        <f>College_Name</f>
        <v>Alamance Community College</v>
      </c>
      <c r="G3" s="16"/>
      <c r="H3" s="26"/>
      <c r="I3"/>
      <c r="J3"/>
      <c r="O3" s="21" t="s">
        <v>442</v>
      </c>
      <c r="P3" s="22">
        <v>0.15</v>
      </c>
    </row>
    <row r="4" spans="1:16" ht="13.2">
      <c r="E4" s="33">
        <f>'ExhA&amp;B'!B4</f>
        <v>45107</v>
      </c>
      <c r="G4" s="16"/>
      <c r="H4" s="26"/>
      <c r="I4"/>
      <c r="J4"/>
      <c r="O4" s="21" t="s">
        <v>443</v>
      </c>
      <c r="P4" s="839">
        <v>2000000</v>
      </c>
    </row>
    <row r="5" spans="1:16" ht="15.75" customHeight="1">
      <c r="E5" s="278" t="s">
        <v>444</v>
      </c>
      <c r="F5" s="3"/>
      <c r="G5" s="12"/>
      <c r="H5" s="26"/>
      <c r="I5"/>
      <c r="J5"/>
      <c r="O5" s="21" t="s">
        <v>445</v>
      </c>
      <c r="P5" s="23">
        <f>COUNTIF(P7:P140,"=C")</f>
        <v>16</v>
      </c>
    </row>
    <row r="6" spans="1:16" ht="13.8">
      <c r="B6" s="378" t="s">
        <v>168</v>
      </c>
      <c r="E6" s="8" t="s">
        <v>446</v>
      </c>
      <c r="F6" s="3"/>
      <c r="G6" s="12"/>
      <c r="P6" s="39" t="s">
        <v>447</v>
      </c>
    </row>
    <row r="7" spans="1:16" ht="15" customHeight="1" thickBot="1">
      <c r="B7" s="378" t="s">
        <v>172</v>
      </c>
      <c r="E7" s="63" t="s">
        <v>177</v>
      </c>
      <c r="F7" s="4"/>
      <c r="G7" s="16"/>
      <c r="H7" s="65" t="str">
        <f>CONCATENATE("FY",TEXT(+Index!$A$120,"yyyy"),"-",TEXT(+Index!$A$118,"yyyy"))</f>
        <v>FY2022-2023</v>
      </c>
      <c r="I7" s="66"/>
      <c r="J7" s="65" t="str">
        <f>CONCATENATE("FY",TEXT(+Index!$A$120-365,"yyyy"),"-",TEXT(+Index!$A$120,"yyyy"))</f>
        <v>FY2021-2022</v>
      </c>
      <c r="K7" s="66"/>
      <c r="L7" s="65" t="s">
        <v>448</v>
      </c>
      <c r="M7" s="67"/>
      <c r="N7" s="68" t="s">
        <v>449</v>
      </c>
      <c r="P7" s="9"/>
    </row>
    <row r="8" spans="1:16" ht="12.75" customHeight="1" thickTop="1">
      <c r="B8" s="378" t="s">
        <v>174</v>
      </c>
      <c r="E8" s="840" t="s">
        <v>450</v>
      </c>
      <c r="G8" s="16"/>
      <c r="H8" s="1"/>
      <c r="I8" s="1"/>
      <c r="J8" s="1"/>
      <c r="K8" s="1"/>
      <c r="L8" s="1"/>
      <c r="P8" s="841" t="str">
        <f>IF($H$39=0,"",IF(AND(ABS((H8+J8)/($H$39+$J$39)-SUM($H$30:$H$37))&gt;$P$4,ABS(N8)&gt;$P$3-0.000000001),"C",IF(AND(ABS(H8+J8)&gt;0,J8=0,H8/$H$39&gt;$P$4*2),"C","")))</f>
        <v/>
      </c>
    </row>
    <row r="9" spans="1:16" ht="12.75" customHeight="1">
      <c r="A9" s="24">
        <v>1000</v>
      </c>
      <c r="B9" s="414">
        <v>1000</v>
      </c>
      <c r="C9" s="25" t="str">
        <f t="shared" ref="C9:C22" si="0">IF(D9="","",RANK(D9,$D$9:$D$142,1))</f>
        <v/>
      </c>
      <c r="D9" s="25" t="str">
        <f>IF(P9="C",A9,"")</f>
        <v/>
      </c>
      <c r="E9" s="5" t="s">
        <v>179</v>
      </c>
      <c r="H9" s="470">
        <f>'ExhA&amp;B'!D9</f>
        <v>0</v>
      </c>
      <c r="I9" s="78"/>
      <c r="J9" s="470">
        <f>IF(ISNA(INDEX('2022PKG'!$1:$1048576,MATCH($B9,'2022PKG'!$A:$A,0),MATCH($E$2,'2022PKG'!$1:$1,0))),0,(INDEX('2022PKG'!$1:$1048576,MATCH($B9,'2022PKG'!$A:$A,0),MATCH($E$2,'2022PKG'!$1:$1,0))))</f>
        <v>1868430.28</v>
      </c>
      <c r="K9" s="78"/>
      <c r="L9" s="78">
        <f>H9-J9</f>
        <v>-1868430.28</v>
      </c>
      <c r="N9" s="17">
        <f>IF(J9=0,0,L9/J9)</f>
        <v>-1</v>
      </c>
      <c r="P9" s="620" t="str">
        <f>IF($H$39=0,"",IF(AND(ABS(L9)&gt;$P$4,ABS(N9)&gt;$P$3),"C",IF(AND(ABS(H9+J9)&gt;0,J9=0,ABS(L9)&gt;$P$4),"C","")))</f>
        <v/>
      </c>
    </row>
    <row r="10" spans="1:16" ht="12.75" customHeight="1">
      <c r="A10" s="24">
        <v>1050</v>
      </c>
      <c r="B10" s="414">
        <v>1020</v>
      </c>
      <c r="C10" s="25">
        <f t="shared" si="0"/>
        <v>1</v>
      </c>
      <c r="D10" s="25">
        <f t="shared" ref="D10:D22" si="1">IF(P10="C",A10,"")</f>
        <v>1050</v>
      </c>
      <c r="E10" s="6" t="s">
        <v>180</v>
      </c>
      <c r="G10" s="13"/>
      <c r="H10" s="12">
        <f>'ExhA&amp;B'!D10</f>
        <v>0</v>
      </c>
      <c r="J10" s="12">
        <f>IF(ISNA(INDEX('2022PKG'!$1:$1048576,MATCH($B10,'2022PKG'!$A:$A,0),MATCH($E$2,'2022PKG'!$1:$1,0))),0,(INDEX('2022PKG'!$1:$1048576,MATCH($B10,'2022PKG'!$A:$A,0),MATCH($E$2,'2022PKG'!$1:$1,0))))</f>
        <v>5005564.17</v>
      </c>
      <c r="L10" s="11">
        <f>H10-J10</f>
        <v>-5005564.17</v>
      </c>
      <c r="N10" s="17">
        <f>IF(J10=0,0,L10/J10)</f>
        <v>-1</v>
      </c>
      <c r="P10" s="620" t="str">
        <f t="shared" ref="P10:P22" si="2">IF($H$39=0,"",IF(AND(ABS(L10)&gt;$P$4,ABS(N10)&gt;$P$3),"C",IF(AND(ABS(H10+J10)&gt;0,J10=0,ABS(L10)&gt;$P$4),"C","")))</f>
        <v>C</v>
      </c>
    </row>
    <row r="11" spans="1:16" ht="12.75" customHeight="1">
      <c r="A11" s="24">
        <v>1060</v>
      </c>
      <c r="B11" s="414">
        <v>1050</v>
      </c>
      <c r="C11" s="25" t="str">
        <f t="shared" si="0"/>
        <v/>
      </c>
      <c r="D11" s="25" t="str">
        <f t="shared" si="1"/>
        <v/>
      </c>
      <c r="E11" s="6" t="s">
        <v>182</v>
      </c>
      <c r="G11" s="13"/>
      <c r="H11" s="12">
        <f>'ExhA&amp;B'!D11</f>
        <v>0</v>
      </c>
      <c r="J11" s="12">
        <f>IF(ISNA(INDEX('2022PKG'!$1:$1048576,MATCH($B11,'2022PKG'!$A:$A,0),MATCH($E$2,'2022PKG'!$1:$1,0))),0,(INDEX('2022PKG'!$1:$1048576,MATCH($B11,'2022PKG'!$A:$A,0),MATCH($E$2,'2022PKG'!$1:$1,0))))</f>
        <v>0</v>
      </c>
      <c r="L11" s="11">
        <f>H11-J11</f>
        <v>0</v>
      </c>
      <c r="N11" s="17">
        <f>IF(J11=0,0,L11/J11)</f>
        <v>0</v>
      </c>
      <c r="P11" s="620" t="str">
        <f t="shared" si="2"/>
        <v/>
      </c>
    </row>
    <row r="12" spans="1:16" ht="12.75" customHeight="1">
      <c r="A12" s="24">
        <v>1150</v>
      </c>
      <c r="B12" s="414">
        <v>1070</v>
      </c>
      <c r="C12" s="25" t="str">
        <f t="shared" si="0"/>
        <v/>
      </c>
      <c r="D12" s="25" t="str">
        <f t="shared" si="1"/>
        <v/>
      </c>
      <c r="E12" s="6" t="s">
        <v>183</v>
      </c>
      <c r="H12" s="12">
        <f>'ExhA&amp;B'!D12</f>
        <v>0</v>
      </c>
      <c r="J12" s="12">
        <f>IF(ISNA(INDEX('2022PKG'!$1:$1048576,MATCH($B12,'2022PKG'!$A:$A,0),MATCH($E$2,'2022PKG'!$1:$1,0))),0,(INDEX('2022PKG'!$1:$1048576,MATCH($B12,'2022PKG'!$A:$A,0),MATCH($E$2,'2022PKG'!$1:$1,0))))</f>
        <v>0</v>
      </c>
      <c r="L12" s="11">
        <f t="shared" ref="L12:L29" si="3">H12-J12</f>
        <v>0</v>
      </c>
      <c r="N12" s="17">
        <f t="shared" ref="N12:N29" si="4">IF(J12=0,0,L12/J12)</f>
        <v>0</v>
      </c>
      <c r="P12" s="620"/>
    </row>
    <row r="13" spans="1:16" ht="12.75" customHeight="1">
      <c r="A13" s="24">
        <v>1200</v>
      </c>
      <c r="B13" s="414">
        <v>1110</v>
      </c>
      <c r="C13" s="25" t="str">
        <f t="shared" si="0"/>
        <v/>
      </c>
      <c r="D13" s="25" t="str">
        <f t="shared" si="1"/>
        <v/>
      </c>
      <c r="E13" s="6" t="s">
        <v>451</v>
      </c>
      <c r="H13" s="12">
        <f>'ExhA&amp;B'!D13</f>
        <v>0</v>
      </c>
      <c r="J13" s="12">
        <f>IF(ISNA(INDEX('2022PKG'!$1:$1048576,MATCH($B13,'2022PKG'!$A:$A,0),MATCH($E$2,'2022PKG'!$1:$1,0))),0,(INDEX('2022PKG'!$1:$1048576,MATCH($B13,'2022PKG'!$A:$A,0),MATCH($E$2,'2022PKG'!$1:$1,0))))</f>
        <v>1175742.1399999999</v>
      </c>
      <c r="L13" s="11">
        <f t="shared" si="3"/>
        <v>-1175742.1399999999</v>
      </c>
      <c r="N13" s="17">
        <f t="shared" si="4"/>
        <v>-1</v>
      </c>
      <c r="P13" s="620" t="str">
        <f t="shared" si="2"/>
        <v/>
      </c>
    </row>
    <row r="14" spans="1:16" ht="12.75" customHeight="1">
      <c r="A14" s="24">
        <v>1250</v>
      </c>
      <c r="B14" s="414">
        <v>1200</v>
      </c>
      <c r="C14" s="25" t="str">
        <f t="shared" si="0"/>
        <v/>
      </c>
      <c r="D14" s="25" t="str">
        <f t="shared" si="1"/>
        <v/>
      </c>
      <c r="E14" s="6" t="s">
        <v>185</v>
      </c>
      <c r="H14" s="12">
        <f>'ExhA&amp;B'!D14</f>
        <v>0</v>
      </c>
      <c r="J14" s="12">
        <f>IF(ISNA(INDEX('2022PKG'!$1:$1048576,MATCH($B14,'2022PKG'!$A:$A,0),MATCH($E$2,'2022PKG'!$1:$1,0))),0,(INDEX('2022PKG'!$1:$1048576,MATCH($B14,'2022PKG'!$A:$A,0),MATCH($E$2,'2022PKG'!$1:$1,0))))</f>
        <v>0</v>
      </c>
      <c r="L14" s="11">
        <f t="shared" si="3"/>
        <v>0</v>
      </c>
      <c r="N14" s="17">
        <f t="shared" si="4"/>
        <v>0</v>
      </c>
      <c r="P14" s="620" t="str">
        <f t="shared" si="2"/>
        <v/>
      </c>
    </row>
    <row r="15" spans="1:16" ht="12.75" customHeight="1">
      <c r="A15" s="24">
        <v>1300</v>
      </c>
      <c r="B15" s="414">
        <v>1190</v>
      </c>
      <c r="C15" s="25" t="str">
        <f t="shared" si="0"/>
        <v/>
      </c>
      <c r="D15" s="25" t="str">
        <f t="shared" si="1"/>
        <v/>
      </c>
      <c r="E15" s="5" t="s">
        <v>452</v>
      </c>
      <c r="H15" s="12">
        <f>'ExhA&amp;B'!D15</f>
        <v>0</v>
      </c>
      <c r="J15" s="12">
        <f>IF(ISNA(INDEX('2022PKG'!$1:$1048576,MATCH($B15,'2022PKG'!$A:$A,0),MATCH($E$2,'2022PKG'!$1:$1,0))),0,(INDEX('2022PKG'!$1:$1048576,MATCH($B15,'2022PKG'!$A:$A,0),MATCH($E$2,'2022PKG'!$1:$1,0))))</f>
        <v>0</v>
      </c>
      <c r="L15" s="11">
        <f t="shared" si="3"/>
        <v>0</v>
      </c>
      <c r="N15" s="17">
        <f t="shared" si="4"/>
        <v>0</v>
      </c>
      <c r="P15" s="620" t="str">
        <f t="shared" si="2"/>
        <v/>
      </c>
    </row>
    <row r="16" spans="1:16" ht="12.75" customHeight="1">
      <c r="A16" s="24">
        <v>1330</v>
      </c>
      <c r="B16" s="414">
        <v>1195</v>
      </c>
      <c r="C16" s="25" t="str">
        <f t="shared" si="0"/>
        <v/>
      </c>
      <c r="D16" s="25" t="str">
        <f t="shared" si="1"/>
        <v/>
      </c>
      <c r="E16" s="5" t="s">
        <v>453</v>
      </c>
      <c r="H16" s="12">
        <f>'ExhA&amp;B'!D16</f>
        <v>0</v>
      </c>
      <c r="J16" s="12">
        <f>IF(ISNA(INDEX('2022PKG'!$1:$1048576,MATCH($B16,'2022PKG'!$A:$A,0),MATCH($E$2,'2022PKG'!$1:$1,0))),0,(INDEX('2022PKG'!$1:$1048576,MATCH($B16,'2022PKG'!$A:$A,0),MATCH($E$2,'2022PKG'!$1:$1,0))))</f>
        <v>0</v>
      </c>
      <c r="L16" s="11">
        <f>H16-J16</f>
        <v>0</v>
      </c>
      <c r="N16" s="17">
        <f>IF(J16=0,0,L16/J16)</f>
        <v>0</v>
      </c>
      <c r="P16" s="620" t="str">
        <f t="shared" si="2"/>
        <v/>
      </c>
    </row>
    <row r="17" spans="1:17" ht="12.75" customHeight="1">
      <c r="A17" s="24">
        <v>1350</v>
      </c>
      <c r="B17" s="414">
        <v>1220</v>
      </c>
      <c r="C17" s="25" t="str">
        <f t="shared" si="0"/>
        <v/>
      </c>
      <c r="D17" s="25" t="str">
        <f t="shared" si="1"/>
        <v/>
      </c>
      <c r="E17" s="5" t="s">
        <v>188</v>
      </c>
      <c r="H17" s="12">
        <f>'ExhA&amp;B'!D17</f>
        <v>0</v>
      </c>
      <c r="J17" s="12">
        <f>IF(ISNA(INDEX('2022PKG'!$1:$1048576,MATCH($B17,'2022PKG'!$A:$A,0),MATCH($E$2,'2022PKG'!$1:$1,0))),0,(INDEX('2022PKG'!$1:$1048576,MATCH($B17,'2022PKG'!$A:$A,0),MATCH($E$2,'2022PKG'!$1:$1,0))))</f>
        <v>343662.79</v>
      </c>
      <c r="L17" s="11">
        <f t="shared" si="3"/>
        <v>-343662.79</v>
      </c>
      <c r="N17" s="17">
        <f t="shared" si="4"/>
        <v>-1</v>
      </c>
      <c r="P17" s="620" t="str">
        <f t="shared" si="2"/>
        <v/>
      </c>
    </row>
    <row r="18" spans="1:17" ht="12.75" customHeight="1">
      <c r="A18" s="24">
        <v>1400</v>
      </c>
      <c r="B18" s="414">
        <v>1230</v>
      </c>
      <c r="C18" s="25" t="str">
        <f t="shared" si="0"/>
        <v/>
      </c>
      <c r="D18" s="25" t="str">
        <f t="shared" si="1"/>
        <v/>
      </c>
      <c r="E18" s="5" t="s">
        <v>189</v>
      </c>
      <c r="H18" s="12">
        <f>'ExhA&amp;B'!D18</f>
        <v>0</v>
      </c>
      <c r="J18" s="12">
        <f>IF(ISNA(INDEX('2022PKG'!$1:$1048576,MATCH($B18,'2022PKG'!$A:$A,0),MATCH($E$2,'2022PKG'!$1:$1,0))),0,(INDEX('2022PKG'!$1:$1048576,MATCH($B18,'2022PKG'!$A:$A,0),MATCH($E$2,'2022PKG'!$1:$1,0))))</f>
        <v>0</v>
      </c>
      <c r="L18" s="11">
        <f t="shared" si="3"/>
        <v>0</v>
      </c>
      <c r="N18" s="17">
        <f t="shared" si="4"/>
        <v>0</v>
      </c>
      <c r="P18" s="620" t="str">
        <f t="shared" si="2"/>
        <v/>
      </c>
    </row>
    <row r="19" spans="1:17" ht="12.75" customHeight="1">
      <c r="A19" s="24"/>
      <c r="B19" s="414">
        <v>1210</v>
      </c>
      <c r="C19" s="25"/>
      <c r="D19" s="25"/>
      <c r="E19" s="5" t="s">
        <v>454</v>
      </c>
      <c r="H19" s="12">
        <f>'ExhA&amp;B'!D19</f>
        <v>0</v>
      </c>
      <c r="J19" s="12">
        <f>IF(ISNA(INDEX('2022PKG'!$1:$1048576,MATCH($B19,'2022PKG'!$A:$A,0),MATCH($E$2,'2022PKG'!$1:$1,0))),0,(INDEX('2022PKG'!$1:$1048576,MATCH($B19,'2022PKG'!$A:$A,0),MATCH($E$2,'2022PKG'!$1:$1,0))))</f>
        <v>0</v>
      </c>
      <c r="L19" s="11">
        <f t="shared" ref="L19:L21" si="5">H19-J19</f>
        <v>0</v>
      </c>
      <c r="N19" s="17">
        <f t="shared" ref="N19:N21" si="6">IF(J19=0,0,L19/J19)</f>
        <v>0</v>
      </c>
      <c r="P19" s="620" t="str">
        <f t="shared" ref="P19:P21" si="7">IF($H$39=0,"",IF(AND(ABS(L19)&gt;$P$4,ABS(N19)&gt;$P$3),"C",IF(AND(ABS(H19+J19)&gt;0,J19=0,ABS(L19)&gt;$P$4),"C","")))</f>
        <v/>
      </c>
    </row>
    <row r="20" spans="1:17" ht="12.75" customHeight="1">
      <c r="A20" s="24"/>
      <c r="B20" s="414">
        <v>1211</v>
      </c>
      <c r="C20" s="25" t="s">
        <v>191</v>
      </c>
      <c r="D20" s="25"/>
      <c r="E20" s="5" t="s">
        <v>191</v>
      </c>
      <c r="H20" s="12">
        <f>'ExhA&amp;B'!D20</f>
        <v>0</v>
      </c>
      <c r="J20" s="12">
        <f>IF(ISNA(INDEX('2022PKG'!$1:$1048576,MATCH($B20,'2022PKG'!$A:$A,0),MATCH($E$2,'2022PKG'!$1:$1,0))),0,(INDEX('2022PKG'!$1:$1048576,MATCH($B20,'2022PKG'!$A:$A,0),MATCH($E$2,'2022PKG'!$1:$1,0))))</f>
        <v>0</v>
      </c>
      <c r="L20" s="11">
        <f t="shared" ref="L20" si="8">H20-J20</f>
        <v>0</v>
      </c>
      <c r="N20" s="17">
        <f t="shared" ref="N20" si="9">IF(J20=0,0,L20/J20)</f>
        <v>0</v>
      </c>
      <c r="P20" s="620" t="str">
        <f t="shared" ref="P20" si="10">IF($H$39=0,"",IF(AND(ABS(L20)&gt;$P$4,ABS(N20)&gt;$P$3),"C",IF(AND(ABS(H20+J20)&gt;0,J20=0,ABS(L20)&gt;$P$4),"C","")))</f>
        <v/>
      </c>
      <c r="Q20" s="783" t="s">
        <v>146</v>
      </c>
    </row>
    <row r="21" spans="1:17" ht="12.75" customHeight="1">
      <c r="A21" s="24"/>
      <c r="B21" s="414">
        <v>1234</v>
      </c>
      <c r="C21" s="25"/>
      <c r="D21" s="25"/>
      <c r="E21" s="5" t="s">
        <v>194</v>
      </c>
      <c r="H21" s="12">
        <f>'ExhA&amp;B'!D22</f>
        <v>0</v>
      </c>
      <c r="J21" s="12">
        <f>IF(ISNA(INDEX('2022PKG'!$1:$1048576,MATCH($B21,'2022PKG'!$A:$A,0),MATCH($E$2,'2022PKG'!$1:$1,0))),0,(INDEX('2022PKG'!$1:$1048576,MATCH($B21,'2022PKG'!$A:$A,0),MATCH($E$2,'2022PKG'!$1:$1,0))))</f>
        <v>0</v>
      </c>
      <c r="L21" s="11">
        <f t="shared" si="5"/>
        <v>0</v>
      </c>
      <c r="N21" s="17">
        <f t="shared" si="6"/>
        <v>0</v>
      </c>
      <c r="P21" s="620" t="str">
        <f t="shared" si="7"/>
        <v/>
      </c>
    </row>
    <row r="22" spans="1:17" ht="12.75" customHeight="1">
      <c r="A22" s="24">
        <v>1450</v>
      </c>
      <c r="B22" s="414">
        <v>1233</v>
      </c>
      <c r="C22" s="25" t="str">
        <f t="shared" si="0"/>
        <v/>
      </c>
      <c r="D22" s="25" t="str">
        <f t="shared" si="1"/>
        <v/>
      </c>
      <c r="E22" s="5" t="s">
        <v>195</v>
      </c>
      <c r="H22" s="12">
        <f>'ExhA&amp;B'!D23</f>
        <v>0</v>
      </c>
      <c r="J22" s="12">
        <f>IF(ISNA(INDEX('2022PKG'!$1:$1048576,MATCH($B22,'2022PKG'!$A:$A,0),MATCH($E$2,'2022PKG'!$1:$1,0))),0,(INDEX('2022PKG'!$1:$1048576,MATCH($B22,'2022PKG'!$A:$A,0),MATCH($E$2,'2022PKG'!$1:$1,0))))</f>
        <v>0</v>
      </c>
      <c r="L22" s="11">
        <f t="shared" si="3"/>
        <v>0</v>
      </c>
      <c r="N22" s="17">
        <f t="shared" si="4"/>
        <v>0</v>
      </c>
      <c r="P22" s="620" t="str">
        <f t="shared" si="2"/>
        <v/>
      </c>
    </row>
    <row r="23" spans="1:17" ht="12.75" customHeight="1">
      <c r="A23" s="24">
        <v>1460</v>
      </c>
      <c r="B23" s="414"/>
      <c r="C23" s="25" t="str">
        <f>IF(D23="","",RANK(D23,$D$6:$D$142,1))</f>
        <v/>
      </c>
      <c r="D23" s="25" t="str">
        <f>IF(P23="C",A23,"")</f>
        <v/>
      </c>
      <c r="E23" s="5" t="s">
        <v>196</v>
      </c>
      <c r="H23" s="80">
        <f>SUM(H9:H22)</f>
        <v>0</v>
      </c>
      <c r="J23" s="80">
        <f>SUM(J9:J22)</f>
        <v>8393399.3800000008</v>
      </c>
      <c r="L23" s="80">
        <f>H23-J23</f>
        <v>-8393399.3800000008</v>
      </c>
      <c r="N23" s="17">
        <f>IF(J23=0,0,L23/J23)</f>
        <v>-1</v>
      </c>
      <c r="P23" s="61"/>
    </row>
    <row r="24" spans="1:17" ht="12.75" customHeight="1">
      <c r="A24" s="24"/>
      <c r="B24" s="414"/>
      <c r="C24" s="25"/>
      <c r="D24" s="25"/>
      <c r="E24" s="5"/>
      <c r="H24" s="12"/>
      <c r="J24" s="12"/>
      <c r="L24" s="12"/>
      <c r="N24" s="17"/>
      <c r="P24" s="61"/>
    </row>
    <row r="25" spans="1:17" ht="12.75" customHeight="1">
      <c r="A25" s="24"/>
      <c r="B25" s="414"/>
      <c r="C25" s="25"/>
      <c r="D25" s="25"/>
      <c r="E25" s="840" t="s">
        <v>455</v>
      </c>
      <c r="H25" s="12"/>
      <c r="J25" s="12"/>
      <c r="N25" s="17"/>
      <c r="P25" s="61"/>
    </row>
    <row r="26" spans="1:17" ht="12.75" customHeight="1">
      <c r="A26" s="24">
        <v>1500</v>
      </c>
      <c r="B26" s="414">
        <v>1270</v>
      </c>
      <c r="C26" s="25" t="str">
        <f>IF(D26="","",RANK(D26,$D$9:$D$142,1))</f>
        <v/>
      </c>
      <c r="D26" s="25" t="str">
        <f t="shared" ref="D26:D37" si="11">IF(P26="C",A26,"")</f>
        <v/>
      </c>
      <c r="E26" s="6" t="s">
        <v>180</v>
      </c>
      <c r="H26" s="12">
        <f>'ExhA&amp;B'!D27</f>
        <v>0</v>
      </c>
      <c r="J26" s="12">
        <f>IF(ISNA(INDEX('2022PKG'!$1:$1048576,MATCH($B26,'2022PKG'!$A:$A,0),MATCH($E$2,'2022PKG'!$1:$1,0))),0,(INDEX('2022PKG'!$1:$1048576,MATCH($B26,'2022PKG'!$A:$A,0),MATCH($E$2,'2022PKG'!$1:$1,0))))</f>
        <v>0</v>
      </c>
      <c r="L26" s="11">
        <f t="shared" si="3"/>
        <v>0</v>
      </c>
      <c r="N26" s="17">
        <f t="shared" si="4"/>
        <v>0</v>
      </c>
      <c r="P26" s="620" t="str">
        <f t="shared" ref="P26:P37" si="12">IF($H$39=0,"",IF(AND(ABS(L26)&gt;$P$4,ABS(N26)&gt;$P$3),"C",IF(AND(ABS(H26+J26)&gt;0,J26=0,ABS(L26)&gt;$P$4),"C","")))</f>
        <v/>
      </c>
    </row>
    <row r="27" spans="1:17" ht="12.75" customHeight="1">
      <c r="A27" s="24">
        <v>1550</v>
      </c>
      <c r="B27" s="414">
        <v>1340</v>
      </c>
      <c r="C27" s="25" t="str">
        <f>IF(D27="","",RANK(D27,$D$9:$D$142,1))</f>
        <v/>
      </c>
      <c r="D27" s="25" t="str">
        <f t="shared" si="11"/>
        <v/>
      </c>
      <c r="E27" s="5" t="s">
        <v>451</v>
      </c>
      <c r="H27" s="12">
        <f>'ExhA&amp;B'!D28</f>
        <v>0</v>
      </c>
      <c r="J27" s="12">
        <f>IF(ISNA(INDEX('2022PKG'!$1:$1048576,MATCH($B27,'2022PKG'!$A:$A,0),MATCH($E$2,'2022PKG'!$1:$1,0))),0,(INDEX('2022PKG'!$1:$1048576,MATCH($B27,'2022PKG'!$A:$A,0),MATCH($E$2,'2022PKG'!$1:$1,0))))</f>
        <v>0</v>
      </c>
      <c r="L27" s="11">
        <f t="shared" si="3"/>
        <v>0</v>
      </c>
      <c r="N27" s="17">
        <f t="shared" si="4"/>
        <v>0</v>
      </c>
      <c r="P27" s="620" t="str">
        <f t="shared" si="12"/>
        <v/>
      </c>
    </row>
    <row r="28" spans="1:17" ht="12.75" customHeight="1">
      <c r="A28" s="24">
        <v>1555</v>
      </c>
      <c r="B28" s="414">
        <v>1390</v>
      </c>
      <c r="C28" s="25" t="str">
        <f>IF(D28="","",RANK(D28,$D$9:$D$142,1))</f>
        <v/>
      </c>
      <c r="D28" s="25" t="str">
        <f t="shared" si="11"/>
        <v/>
      </c>
      <c r="E28" s="6" t="s">
        <v>198</v>
      </c>
      <c r="H28" s="12">
        <f>'ExhA&amp;B'!D29</f>
        <v>0</v>
      </c>
      <c r="J28" s="12">
        <f>IF(ISNA(INDEX('2022PKG'!$1:$1048576,MATCH($B28,'2022PKG'!$A:$A,0),MATCH($E$2,'2022PKG'!$1:$1,0))),0,(INDEX('2022PKG'!$1:$1048576,MATCH($B28,'2022PKG'!$A:$A,0),MATCH($E$2,'2022PKG'!$1:$1,0))))</f>
        <v>0</v>
      </c>
      <c r="L28" s="11">
        <f t="shared" si="3"/>
        <v>0</v>
      </c>
      <c r="N28" s="17">
        <f t="shared" si="4"/>
        <v>0</v>
      </c>
      <c r="P28" s="620" t="str">
        <f t="shared" si="12"/>
        <v/>
      </c>
    </row>
    <row r="29" spans="1:17" ht="12.75" customHeight="1">
      <c r="A29" s="24"/>
      <c r="B29" s="414">
        <v>1395</v>
      </c>
      <c r="C29" s="25"/>
      <c r="D29" s="25"/>
      <c r="E29" s="5" t="s">
        <v>456</v>
      </c>
      <c r="H29" s="12">
        <f>'ExhA&amp;B'!D30</f>
        <v>0</v>
      </c>
      <c r="J29" s="12">
        <f>IF(ISNA(INDEX('2022PKG'!$1:$1048576,MATCH($B29,'2022PKG'!$A:$A,0),MATCH($E$2,'2022PKG'!$1:$1,0))),0,(INDEX('2022PKG'!$1:$1048576,MATCH($B29,'2022PKG'!$A:$A,0),MATCH($E$2,'2022PKG'!$1:$1,0))))</f>
        <v>0</v>
      </c>
      <c r="L29" s="11">
        <f t="shared" si="3"/>
        <v>0</v>
      </c>
      <c r="N29" s="17">
        <f t="shared" si="4"/>
        <v>0</v>
      </c>
      <c r="P29" s="620" t="str">
        <f>IF($H$39=0,"",IF(AND(ABS(L29)&gt;$P$4,ABS(N29)&gt;$P$3),"C",IF(AND(ABS(H29+J29)&gt;0,J29=0,ABS(L29)&gt;$P$4),"C","")))</f>
        <v/>
      </c>
    </row>
    <row r="30" spans="1:17" ht="12.75" customHeight="1">
      <c r="A30" s="24">
        <v>1560</v>
      </c>
      <c r="B30" s="414">
        <v>1410</v>
      </c>
      <c r="C30" s="25" t="str">
        <f>IF(D30="","",RANK(D30,$D$9:$D$142,1))</f>
        <v/>
      </c>
      <c r="D30" s="25" t="str">
        <f t="shared" si="11"/>
        <v/>
      </c>
      <c r="E30" s="5" t="s">
        <v>200</v>
      </c>
      <c r="H30" s="12">
        <f>'ExhA&amp;B'!D31</f>
        <v>0</v>
      </c>
      <c r="J30" s="12">
        <f>IF(ISNA(INDEX('2022PKG'!$1:$1048576,MATCH($B30,'2022PKG'!$A:$A,0),MATCH($E$2,'2022PKG'!$1:$1,0))),0,(INDEX('2022PKG'!$1:$1048576,MATCH($B30,'2022PKG'!$A:$A,0),MATCH($E$2,'2022PKG'!$1:$1,0))))</f>
        <v>0</v>
      </c>
      <c r="L30" s="11">
        <f t="shared" ref="L30:L39" si="13">H30-J30</f>
        <v>0</v>
      </c>
      <c r="N30" s="17">
        <f t="shared" ref="N30:N39" si="14">IF(J30=0,0,L30/J30)</f>
        <v>0</v>
      </c>
      <c r="P30" s="620" t="str">
        <f t="shared" si="12"/>
        <v/>
      </c>
    </row>
    <row r="31" spans="1:17" ht="12.75" customHeight="1">
      <c r="A31" s="24">
        <v>1565</v>
      </c>
      <c r="B31" s="414">
        <v>1300</v>
      </c>
      <c r="C31" s="25" t="str">
        <f>IF(D31="","",RANK(D31,$D$9:$D$142,1))</f>
        <v/>
      </c>
      <c r="D31" s="25" t="str">
        <f t="shared" si="11"/>
        <v/>
      </c>
      <c r="E31" s="5" t="s">
        <v>201</v>
      </c>
      <c r="H31" s="12">
        <f>'ExhA&amp;B'!D32</f>
        <v>0</v>
      </c>
      <c r="J31" s="12">
        <f>IF(ISNA(INDEX('2022PKG'!$1:$1048576,MATCH($B31,'2022PKG'!$A:$A,0),MATCH($E$2,'2022PKG'!$1:$1,0))),0,(INDEX('2022PKG'!$1:$1048576,MATCH($B31,'2022PKG'!$A:$A,0),MATCH($E$2,'2022PKG'!$1:$1,0))))</f>
        <v>0</v>
      </c>
      <c r="L31" s="11">
        <f t="shared" si="13"/>
        <v>0</v>
      </c>
      <c r="N31" s="17">
        <f t="shared" si="14"/>
        <v>0</v>
      </c>
      <c r="P31" s="620" t="str">
        <f t="shared" si="12"/>
        <v/>
      </c>
    </row>
    <row r="32" spans="1:17" ht="12.75" customHeight="1">
      <c r="A32" s="24">
        <v>1570</v>
      </c>
      <c r="B32" s="414">
        <v>1400</v>
      </c>
      <c r="C32" s="25" t="str">
        <f>IF(D32="","",RANK(D32,$D$9:$D$142,1))</f>
        <v/>
      </c>
      <c r="D32" s="25" t="str">
        <f t="shared" si="11"/>
        <v/>
      </c>
      <c r="E32" s="5" t="s">
        <v>454</v>
      </c>
      <c r="H32" s="12">
        <f>'ExhA&amp;B'!D33</f>
        <v>0</v>
      </c>
      <c r="J32" s="12">
        <f>IF(ISNA(INDEX('2022PKG'!$1:$1048576,MATCH($B32,'2022PKG'!$A:$A,0),MATCH($E$2,'2022PKG'!$1:$1,0))),0,(INDEX('2022PKG'!$1:$1048576,MATCH($B32,'2022PKG'!$A:$A,0),MATCH($E$2,'2022PKG'!$1:$1,0))))</f>
        <v>0</v>
      </c>
      <c r="L32" s="11">
        <f>H32-J32</f>
        <v>0</v>
      </c>
      <c r="N32" s="17">
        <f>IF(J32=0,0,L32/J32)</f>
        <v>0</v>
      </c>
      <c r="P32" s="620" t="str">
        <f t="shared" si="12"/>
        <v/>
      </c>
    </row>
    <row r="33" spans="1:17" ht="12.75" customHeight="1">
      <c r="A33" s="24"/>
      <c r="B33" s="414">
        <v>1405</v>
      </c>
      <c r="C33" s="25"/>
      <c r="D33" s="25"/>
      <c r="E33" s="5" t="s">
        <v>191</v>
      </c>
      <c r="H33" s="12">
        <f>'ExhA&amp;B'!D34</f>
        <v>0</v>
      </c>
      <c r="J33" s="12">
        <f>IF(ISNA(INDEX('2022PKG'!$1:$1048576,MATCH($B33,'2022PKG'!$A:$A,0),MATCH($E$2,'2022PKG'!$1:$1,0))),0,(INDEX('2022PKG'!$1:$1048576,MATCH($B33,'2022PKG'!$A:$A,0),MATCH($E$2,'2022PKG'!$1:$1,0))))</f>
        <v>0</v>
      </c>
      <c r="L33" s="11">
        <f>H33-J33</f>
        <v>0</v>
      </c>
      <c r="N33" s="17">
        <f>IF(J33=0,0,L33/J33)</f>
        <v>0</v>
      </c>
      <c r="P33" s="620" t="str">
        <f t="shared" ref="P33" si="15">IF($H$39=0,"",IF(AND(ABS(L33)&gt;$P$4,ABS(N33)&gt;$P$3),"C",IF(AND(ABS(H33+J33)&gt;0,J33=0,ABS(L33)&gt;$P$4),"C","")))</f>
        <v/>
      </c>
      <c r="Q33" s="783" t="s">
        <v>146</v>
      </c>
    </row>
    <row r="34" spans="1:17" ht="12.75" customHeight="1">
      <c r="A34" s="24"/>
      <c r="B34" s="414">
        <v>1434</v>
      </c>
      <c r="C34" s="25"/>
      <c r="D34" s="25"/>
      <c r="E34" s="5" t="s">
        <v>194</v>
      </c>
      <c r="H34" s="12">
        <f>'ExhA&amp;B'!D36</f>
        <v>0</v>
      </c>
      <c r="J34" s="12">
        <f>IF(ISNA(INDEX('2022PKG'!$1:$1048576,MATCH($B34,'2022PKG'!$A:$A,0),MATCH($E$2,'2022PKG'!$1:$1,0))),0,(INDEX('2022PKG'!$1:$1048576,MATCH($B34,'2022PKG'!$A:$A,0),MATCH($E$2,'2022PKG'!$1:$1,0))))</f>
        <v>0</v>
      </c>
      <c r="L34" s="11">
        <f t="shared" ref="L34:L35" si="16">H34-J34</f>
        <v>0</v>
      </c>
      <c r="N34" s="17">
        <f>IF(J34=0,0,L34/J34)</f>
        <v>0</v>
      </c>
      <c r="P34" s="620" t="str">
        <f t="shared" si="12"/>
        <v/>
      </c>
    </row>
    <row r="35" spans="1:17" ht="12.75" customHeight="1">
      <c r="A35" s="24"/>
      <c r="B35" s="414">
        <v>1433</v>
      </c>
      <c r="C35" s="25"/>
      <c r="D35" s="25"/>
      <c r="E35" s="5" t="s">
        <v>195</v>
      </c>
      <c r="H35" s="12">
        <f>'ExhA&amp;B'!D37</f>
        <v>21106</v>
      </c>
      <c r="J35" s="12">
        <f>IF(ISNA(INDEX('2022PKG'!$1:$1048576,MATCH($B35,'2022PKG'!$A:$A,0),MATCH($E$2,'2022PKG'!$1:$1,0))),0,(INDEX('2022PKG'!$1:$1048576,MATCH($B35,'2022PKG'!$A:$A,0),MATCH($E$2,'2022PKG'!$1:$1,0))))</f>
        <v>11627</v>
      </c>
      <c r="L35" s="11">
        <f t="shared" si="16"/>
        <v>9479</v>
      </c>
      <c r="N35" s="17">
        <f>IF(J35=0,0,L35/J35)</f>
        <v>0.81530000000000002</v>
      </c>
      <c r="P35" s="620" t="str">
        <f t="shared" si="12"/>
        <v/>
      </c>
    </row>
    <row r="36" spans="1:17" ht="12.75" customHeight="1">
      <c r="A36" s="24">
        <v>1600</v>
      </c>
      <c r="B36" s="414">
        <v>1470</v>
      </c>
      <c r="C36" s="25" t="str">
        <f>IF(D36="","",RANK(D36,$D$9:$D$142,1))</f>
        <v/>
      </c>
      <c r="D36" s="25" t="str">
        <f t="shared" si="11"/>
        <v/>
      </c>
      <c r="E36" s="5" t="s">
        <v>202</v>
      </c>
      <c r="H36" s="12">
        <f>'ExhA&amp;B'!D38</f>
        <v>20942769.91</v>
      </c>
      <c r="J36" s="12">
        <f>IF(ISNA(INDEX('2022PKG'!$1:$1048576,MATCH($B36,'2022PKG'!$A:$A,0),MATCH($E$2,'2022PKG'!$1:$1,0))),0,(INDEX('2022PKG'!$1:$1048576,MATCH($B36,'2022PKG'!$A:$A,0),MATCH($E$2,'2022PKG'!$1:$1,0))))</f>
        <v>20942769.91</v>
      </c>
      <c r="L36" s="11">
        <f t="shared" si="13"/>
        <v>0</v>
      </c>
      <c r="N36" s="17">
        <f t="shared" si="14"/>
        <v>0</v>
      </c>
      <c r="P36" s="620" t="str">
        <f t="shared" si="12"/>
        <v/>
      </c>
    </row>
    <row r="37" spans="1:17" ht="12.75" customHeight="1">
      <c r="A37" s="24">
        <v>1650</v>
      </c>
      <c r="B37" s="414">
        <v>1510</v>
      </c>
      <c r="C37" s="25" t="str">
        <f>IF(D37="","",RANK(D37,$D$9:$D$142,1))</f>
        <v/>
      </c>
      <c r="D37" s="25" t="str">
        <f t="shared" si="11"/>
        <v/>
      </c>
      <c r="E37" s="5" t="s">
        <v>457</v>
      </c>
      <c r="H37" s="12">
        <f>'ExhA&amp;B'!D39</f>
        <v>47305098.560000002</v>
      </c>
      <c r="J37" s="12">
        <f>IF(ISNA(INDEX('2022PKG'!$1:$1048576,MATCH($B37,'2022PKG'!$A:$A,0),MATCH($E$2,'2022PKG'!$1:$1,0))),0,(INDEX('2022PKG'!$1:$1048576,MATCH($B37,'2022PKG'!$A:$A,0),MATCH($E$2,'2022PKG'!$1:$1,0))))</f>
        <v>47305098.560000002</v>
      </c>
      <c r="L37" s="11">
        <f t="shared" si="13"/>
        <v>0</v>
      </c>
      <c r="N37" s="17">
        <f t="shared" si="14"/>
        <v>0</v>
      </c>
      <c r="P37" s="620" t="str">
        <f t="shared" si="12"/>
        <v/>
      </c>
    </row>
    <row r="38" spans="1:17" ht="12.75" customHeight="1">
      <c r="A38" s="24"/>
      <c r="B38" s="414"/>
      <c r="C38" s="25"/>
      <c r="D38" s="25"/>
      <c r="E38" s="5" t="s">
        <v>204</v>
      </c>
      <c r="H38" s="469">
        <f>SUM(H26:H37)</f>
        <v>68268974.469999999</v>
      </c>
      <c r="J38" s="469">
        <f>SUM(J26:J37)</f>
        <v>68259495.469999999</v>
      </c>
      <c r="L38" s="469">
        <f t="shared" si="13"/>
        <v>9479</v>
      </c>
      <c r="N38" s="17">
        <f t="shared" si="14"/>
        <v>1E-4</v>
      </c>
      <c r="P38" s="61"/>
    </row>
    <row r="39" spans="1:17" ht="12.75" customHeight="1">
      <c r="A39" s="24"/>
      <c r="B39" s="414"/>
      <c r="C39" s="25" t="str">
        <f>IF(D39="","",RANK(D39,$D$6:$D$142,1))</f>
        <v/>
      </c>
      <c r="D39" s="25" t="str">
        <f t="shared" ref="D39:D55" si="17">IF(P39="C",A39,"")</f>
        <v/>
      </c>
      <c r="E39" s="5" t="s">
        <v>458</v>
      </c>
      <c r="H39" s="85">
        <f>H23+H38</f>
        <v>68268974.469999999</v>
      </c>
      <c r="I39" s="78"/>
      <c r="J39" s="85">
        <f>J23+J38</f>
        <v>76652894.849999994</v>
      </c>
      <c r="K39" s="78"/>
      <c r="L39" s="85">
        <f t="shared" si="13"/>
        <v>-8383920.3799999999</v>
      </c>
      <c r="N39" s="17">
        <f t="shared" si="14"/>
        <v>-0.1094</v>
      </c>
      <c r="P39" s="20"/>
    </row>
    <row r="40" spans="1:17" ht="12.75" customHeight="1">
      <c r="A40" s="24"/>
      <c r="B40" s="414"/>
      <c r="C40" s="25"/>
      <c r="D40" s="25"/>
      <c r="E40" s="5"/>
      <c r="F40" s="5"/>
      <c r="G40" s="5"/>
      <c r="H40" s="5"/>
      <c r="I40" s="5"/>
      <c r="J40" s="5"/>
      <c r="K40" s="5"/>
      <c r="L40" s="5"/>
      <c r="N40" s="17"/>
      <c r="P40" s="20"/>
    </row>
    <row r="41" spans="1:17" ht="12.75" customHeight="1" thickBot="1">
      <c r="A41" s="24"/>
      <c r="B41" s="414"/>
      <c r="C41" s="25"/>
      <c r="D41" s="25"/>
      <c r="E41" s="63" t="s">
        <v>206</v>
      </c>
      <c r="F41" s="5"/>
      <c r="G41" s="5"/>
      <c r="H41" s="5"/>
      <c r="I41" s="5"/>
      <c r="J41" s="5"/>
      <c r="K41" s="5"/>
      <c r="L41" s="5"/>
      <c r="N41" s="17"/>
      <c r="P41" s="20"/>
    </row>
    <row r="42" spans="1:17" ht="12.75" customHeight="1" thickTop="1">
      <c r="A42" s="24"/>
      <c r="B42" s="414">
        <v>1242</v>
      </c>
      <c r="C42" s="25"/>
      <c r="D42" s="25"/>
      <c r="E42" s="5" t="s">
        <v>207</v>
      </c>
      <c r="F42" s="5"/>
      <c r="G42" s="5"/>
      <c r="H42" s="86">
        <f>'ExhA&amp;B'!D44</f>
        <v>0</v>
      </c>
      <c r="I42" s="5"/>
      <c r="J42" s="12">
        <f>IF(ISNA(INDEX('2022PKG'!$1:$1048576,MATCH($B42,'2022PKG'!$A:$A,0),MATCH($E$2,'2022PKG'!$1:$1,0))),0,(INDEX('2022PKG'!$1:$1048576,MATCH($B42,'2022PKG'!$A:$A,0),MATCH($E$2,'2022PKG'!$1:$1,0))))</f>
        <v>0</v>
      </c>
      <c r="K42" s="5"/>
      <c r="L42" s="11">
        <f>H42-J42</f>
        <v>0</v>
      </c>
      <c r="N42" s="17">
        <f>IF(J42=0,0,L42/J42)</f>
        <v>0</v>
      </c>
      <c r="P42" s="620" t="str">
        <f>IF($H$39=0,"",IF(AND(ABS(L42)&gt;$P$4,ABS(N42)&gt;$P$3),"C",IF(AND(ABS(H42+J42)&gt;0,J42=0,ABS(L42)&gt;$P$4),"C","")))</f>
        <v/>
      </c>
    </row>
    <row r="43" spans="1:17" ht="12.75" customHeight="1">
      <c r="A43" s="24"/>
      <c r="B43" s="414">
        <v>1237</v>
      </c>
      <c r="C43" s="25"/>
      <c r="D43" s="25"/>
      <c r="E43" s="442" t="s">
        <v>208</v>
      </c>
      <c r="F43" s="5"/>
      <c r="G43" s="5"/>
      <c r="H43" s="86">
        <f>'ExhA&amp;B'!D45</f>
        <v>0</v>
      </c>
      <c r="I43" s="5"/>
      <c r="J43" s="12">
        <f>IF(ISNA(INDEX('2022PKG'!$1:$1048576,MATCH($B43,'2022PKG'!$A:$A,0),MATCH($E$2,'2022PKG'!$1:$1,0))),0,(INDEX('2022PKG'!$1:$1048576,MATCH($B43,'2022PKG'!$A:$A,0),MATCH($E$2,'2022PKG'!$1:$1,0))))</f>
        <v>4031638</v>
      </c>
      <c r="K43" s="5"/>
      <c r="L43" s="11">
        <f>H43-J43</f>
        <v>-4031638</v>
      </c>
      <c r="N43" s="17">
        <f>IF(J43=0,0,L43/J43)</f>
        <v>-1</v>
      </c>
      <c r="P43" s="620" t="str">
        <f>IF($H$39=0,"",IF(AND(ABS(L43)&gt;$P$4,ABS(N43)&gt;$P$3),"C",IF(AND(ABS(H43+J43)&gt;0,J43=0,ABS(L43)&gt;$P$4),"C","")))</f>
        <v>C</v>
      </c>
    </row>
    <row r="44" spans="1:17" ht="12.75" customHeight="1">
      <c r="A44" s="24"/>
      <c r="B44" s="414">
        <v>1240</v>
      </c>
      <c r="C44" s="25">
        <v>1238</v>
      </c>
      <c r="D44" s="25"/>
      <c r="E44" s="442" t="s">
        <v>209</v>
      </c>
      <c r="F44" s="5"/>
      <c r="G44" s="5"/>
      <c r="H44" s="86">
        <f>'ExhA&amp;B'!D46</f>
        <v>0</v>
      </c>
      <c r="I44" s="5"/>
      <c r="J44" s="12">
        <f>IF(ISNA(INDEX('2022PKG'!$1:$1048576,MATCH($B44,'2022PKG'!$A:$A,0),MATCH($E$2,'2022PKG'!$1:$1,0))),0,(INDEX('2022PKG'!$1:$1048576,MATCH($B44,'2022PKG'!$A:$A,0),MATCH($E$2,'2022PKG'!$1:$1,0))))</f>
        <v>3988050</v>
      </c>
      <c r="K44" s="5"/>
      <c r="L44" s="11">
        <f>H44-J44</f>
        <v>-3988050</v>
      </c>
      <c r="N44" s="17">
        <f>IF(J44=0,0,L44/J44)</f>
        <v>-1</v>
      </c>
      <c r="P44" s="620" t="str">
        <f>IF($H$39=0,"",IF(AND(ABS(L44)&gt;$P$4,ABS(N44)&gt;$P$3),"C",IF(AND(ABS(H44+J44)&gt;0,J44=0,ABS(L44)&gt;$P$4),"C","")))</f>
        <v>C</v>
      </c>
    </row>
    <row r="45" spans="1:17" ht="12.75" customHeight="1">
      <c r="A45" s="24"/>
      <c r="B45" s="414">
        <v>1239</v>
      </c>
      <c r="C45" s="25"/>
      <c r="D45" s="25"/>
      <c r="E45" s="442" t="s">
        <v>210</v>
      </c>
      <c r="F45" s="5"/>
      <c r="G45" s="5"/>
      <c r="H45" s="86">
        <f>'ExhA&amp;B'!D47</f>
        <v>0</v>
      </c>
      <c r="I45" s="5"/>
      <c r="J45" s="12">
        <f>IF(ISNA(INDEX('2022PKG'!$1:$1048576,MATCH($B45,'2022PKG'!$A:$A,0),MATCH($E$2,'2022PKG'!$1:$1,0))),0,(INDEX('2022PKG'!$1:$1048576,MATCH($B45,'2022PKG'!$A:$A,0),MATCH($E$2,'2022PKG'!$1:$1,0))))</f>
        <v>0</v>
      </c>
      <c r="K45" s="5"/>
      <c r="L45" s="11">
        <f>H45-J45</f>
        <v>0</v>
      </c>
      <c r="N45" s="17">
        <f>IF(J45=0,0,L45/J45)</f>
        <v>0</v>
      </c>
      <c r="P45" s="620" t="str">
        <f>IF($H$39=0,"",IF(AND(ABS(L45)&gt;$P$4,ABS(N45)&gt;$P$3),"C",IF(AND(ABS(H45+J45)&gt;0,J45=0,ABS(L45)&gt;$P$4),"C","")))</f>
        <v/>
      </c>
    </row>
    <row r="46" spans="1:17" ht="12.75" customHeight="1">
      <c r="A46" s="24"/>
      <c r="B46" s="414"/>
      <c r="C46" s="25"/>
      <c r="D46" s="25"/>
      <c r="E46" s="442" t="s">
        <v>459</v>
      </c>
      <c r="F46" s="5"/>
      <c r="G46" s="5"/>
      <c r="H46" s="80">
        <f>SUM(H42:H45)</f>
        <v>0</v>
      </c>
      <c r="J46" s="80">
        <f>SUM(J42:J45)</f>
        <v>8019688</v>
      </c>
      <c r="L46" s="80">
        <f>H46-J46</f>
        <v>-8019688</v>
      </c>
      <c r="N46" s="17">
        <f>IF(J46=0,0,L46/J46)</f>
        <v>-1</v>
      </c>
      <c r="P46" s="20"/>
    </row>
    <row r="47" spans="1:17" ht="12.75" customHeight="1">
      <c r="A47" s="24"/>
      <c r="B47" s="414"/>
      <c r="C47" s="25" t="str">
        <f>IF(D47="","",RANK(D47,$D$6:$D$142,1))</f>
        <v/>
      </c>
      <c r="D47" s="25" t="str">
        <f t="shared" si="17"/>
        <v/>
      </c>
      <c r="E47" s="5"/>
      <c r="H47" s="383"/>
      <c r="I47" s="383"/>
      <c r="J47" s="383"/>
      <c r="K47" s="383"/>
      <c r="L47" s="383"/>
      <c r="M47" s="26"/>
      <c r="N47" s="26"/>
      <c r="O47" s="26"/>
      <c r="P47" s="20"/>
    </row>
    <row r="48" spans="1:17" ht="12.75" customHeight="1" thickBot="1">
      <c r="A48" s="24"/>
      <c r="B48" s="414"/>
      <c r="C48" s="25" t="str">
        <f>IF(D48="","",RANK(D48,$D$6:$D$142,1))</f>
        <v/>
      </c>
      <c r="D48" s="25" t="str">
        <f t="shared" si="17"/>
        <v/>
      </c>
      <c r="E48" s="63" t="s">
        <v>212</v>
      </c>
      <c r="G48" s="16"/>
      <c r="H48" s="383"/>
      <c r="I48" s="383"/>
      <c r="J48" s="383"/>
      <c r="K48" s="383"/>
      <c r="L48" s="383"/>
      <c r="M48" s="26"/>
      <c r="N48" s="26"/>
      <c r="O48" s="26"/>
      <c r="P48" s="20"/>
    </row>
    <row r="49" spans="1:16" ht="12.75" customHeight="1" thickTop="1">
      <c r="A49" s="24">
        <v>3000</v>
      </c>
      <c r="B49" s="414"/>
      <c r="C49" s="25" t="str">
        <f>IF(D49="","",RANK(D49,$D$6:$D$142,1))</f>
        <v/>
      </c>
      <c r="D49" s="25" t="str">
        <f t="shared" si="17"/>
        <v/>
      </c>
      <c r="E49" s="7" t="s">
        <v>213</v>
      </c>
      <c r="G49" s="15"/>
      <c r="H49" s="383"/>
      <c r="I49" s="383"/>
      <c r="J49" s="383"/>
      <c r="K49" s="383"/>
      <c r="L49" s="383"/>
      <c r="M49" s="26"/>
      <c r="N49" s="26"/>
      <c r="O49" s="26"/>
      <c r="P49" s="20"/>
    </row>
    <row r="50" spans="1:16" ht="12.75" customHeight="1">
      <c r="A50" s="24">
        <v>3100</v>
      </c>
      <c r="B50" s="414">
        <v>1640</v>
      </c>
      <c r="C50" s="25">
        <f t="shared" ref="C50:C55" si="18">IF(D50="","",RANK(D50,$D$9:$D$142,1))</f>
        <v>2</v>
      </c>
      <c r="D50" s="25">
        <f t="shared" si="17"/>
        <v>3100</v>
      </c>
      <c r="E50" s="5" t="s">
        <v>214</v>
      </c>
      <c r="H50" s="12">
        <f>'ExhA&amp;B'!D52</f>
        <v>0</v>
      </c>
      <c r="J50" s="12">
        <f>IF(ISNA(INDEX('2022PKG'!$1:$1048576,MATCH($B50,'2022PKG'!$A:$A,0),MATCH($E$2,'2022PKG'!$1:$1,0))),0,(INDEX('2022PKG'!$1:$1048576,MATCH($B50,'2022PKG'!$A:$A,0),MATCH($E$2,'2022PKG'!$1:$1,0))))</f>
        <v>3437286.48</v>
      </c>
      <c r="L50" s="11">
        <f>H50-J50</f>
        <v>-3437286.48</v>
      </c>
      <c r="N50" s="17">
        <f>IF(J50=0,0,L50/J50)</f>
        <v>-1</v>
      </c>
      <c r="P50" s="620" t="str">
        <f t="shared" ref="P50:P55" si="19">IF($H$39=0,"",IF(AND(ABS(L50)&gt;$P$4,ABS(N50)&gt;$P$3),"C",IF(AND(ABS(H50+J50)&gt;0,J50=0,ABS(L50)&gt;$P$4),"C","")))</f>
        <v>C</v>
      </c>
    </row>
    <row r="51" spans="1:16" ht="12.75" customHeight="1">
      <c r="A51" s="24">
        <v>3150</v>
      </c>
      <c r="B51" s="414">
        <v>1740</v>
      </c>
      <c r="C51" s="25" t="str">
        <f t="shared" si="18"/>
        <v/>
      </c>
      <c r="D51" s="25" t="str">
        <f t="shared" si="17"/>
        <v/>
      </c>
      <c r="E51" s="5" t="s">
        <v>460</v>
      </c>
      <c r="H51" s="12">
        <f>'ExhA&amp;B'!D53</f>
        <v>0</v>
      </c>
      <c r="J51" s="12">
        <f>IF(ISNA(INDEX('2022PKG'!$1:$1048576,MATCH($B51,'2022PKG'!$A:$A,0),MATCH($E$2,'2022PKG'!$1:$1,0))),0,(INDEX('2022PKG'!$1:$1048576,MATCH($B51,'2022PKG'!$A:$A,0),MATCH($E$2,'2022PKG'!$1:$1,0))))</f>
        <v>0</v>
      </c>
      <c r="L51" s="11">
        <f t="shared" ref="L51:L61" si="20">H51-J51</f>
        <v>0</v>
      </c>
      <c r="N51" s="17">
        <f t="shared" ref="N51:N61" si="21">IF(J51=0,0,L51/J51)</f>
        <v>0</v>
      </c>
      <c r="P51" s="620" t="str">
        <f t="shared" si="19"/>
        <v/>
      </c>
    </row>
    <row r="52" spans="1:16" ht="12.75" customHeight="1">
      <c r="A52" s="24">
        <v>3200</v>
      </c>
      <c r="B52" s="414">
        <v>1730</v>
      </c>
      <c r="C52" s="25" t="str">
        <f t="shared" si="18"/>
        <v/>
      </c>
      <c r="D52" s="25" t="str">
        <f t="shared" si="17"/>
        <v/>
      </c>
      <c r="E52" s="5" t="s">
        <v>461</v>
      </c>
      <c r="H52" s="12">
        <f>'ExhA&amp;B'!D54</f>
        <v>0</v>
      </c>
      <c r="J52" s="12">
        <f>IF(ISNA(INDEX('2022PKG'!$1:$1048576,MATCH($B52,'2022PKG'!$A:$A,0),MATCH($E$2,'2022PKG'!$1:$1,0))),0,(INDEX('2022PKG'!$1:$1048576,MATCH($B52,'2022PKG'!$A:$A,0),MATCH($E$2,'2022PKG'!$1:$1,0))))</f>
        <v>0</v>
      </c>
      <c r="L52" s="11">
        <f>H52-J52</f>
        <v>0</v>
      </c>
      <c r="N52" s="17">
        <f>IF(J52=0,0,L52/J52)</f>
        <v>0</v>
      </c>
      <c r="P52" s="620" t="str">
        <f t="shared" si="19"/>
        <v/>
      </c>
    </row>
    <row r="53" spans="1:16" ht="12.75" customHeight="1">
      <c r="A53" s="24">
        <v>3250</v>
      </c>
      <c r="B53" s="414">
        <v>1890</v>
      </c>
      <c r="C53" s="25" t="str">
        <f t="shared" si="18"/>
        <v/>
      </c>
      <c r="D53" s="25" t="str">
        <f t="shared" si="17"/>
        <v/>
      </c>
      <c r="E53" s="5" t="s">
        <v>218</v>
      </c>
      <c r="H53" s="12">
        <f>'ExhA&amp;B'!D56</f>
        <v>0</v>
      </c>
      <c r="J53" s="12">
        <f>IF(ISNA(INDEX('2022PKG'!$1:$1048576,MATCH($B53,'2022PKG'!$A:$A,0),MATCH($E$2,'2022PKG'!$1:$1,0))),0,(INDEX('2022PKG'!$1:$1048576,MATCH($B53,'2022PKG'!$A:$A,0),MATCH($E$2,'2022PKG'!$1:$1,0))))</f>
        <v>282371.31</v>
      </c>
      <c r="L53" s="11">
        <f t="shared" si="20"/>
        <v>-282371.31</v>
      </c>
      <c r="N53" s="17">
        <f t="shared" si="21"/>
        <v>-1</v>
      </c>
      <c r="P53" s="620" t="str">
        <f t="shared" si="19"/>
        <v/>
      </c>
    </row>
    <row r="54" spans="1:16" ht="12.75" customHeight="1">
      <c r="A54" s="24">
        <v>3300</v>
      </c>
      <c r="B54" s="414">
        <v>1880</v>
      </c>
      <c r="C54" s="25" t="str">
        <f t="shared" si="18"/>
        <v/>
      </c>
      <c r="D54" s="25" t="str">
        <f t="shared" si="17"/>
        <v/>
      </c>
      <c r="E54" s="5" t="s">
        <v>462</v>
      </c>
      <c r="H54" s="12">
        <f>'ExhA&amp;B'!D57</f>
        <v>0</v>
      </c>
      <c r="J54" s="12">
        <f>IF(ISNA(INDEX('2022PKG'!$1:$1048576,MATCH($B54,'2022PKG'!$A:$A,0),MATCH($E$2,'2022PKG'!$1:$1,0))),0,(INDEX('2022PKG'!$1:$1048576,MATCH($B54,'2022PKG'!$A:$A,0),MATCH($E$2,'2022PKG'!$1:$1,0))))</f>
        <v>356712.9</v>
      </c>
      <c r="L54" s="11">
        <f t="shared" si="20"/>
        <v>-356712.9</v>
      </c>
      <c r="N54" s="17">
        <f t="shared" si="21"/>
        <v>-1</v>
      </c>
      <c r="P54" s="620" t="str">
        <f t="shared" si="19"/>
        <v/>
      </c>
    </row>
    <row r="55" spans="1:16" ht="12.75" customHeight="1">
      <c r="A55" s="24">
        <v>3350</v>
      </c>
      <c r="B55" s="414">
        <v>1895</v>
      </c>
      <c r="C55" s="25" t="str">
        <f t="shared" si="18"/>
        <v/>
      </c>
      <c r="D55" s="25" t="str">
        <f t="shared" si="17"/>
        <v/>
      </c>
      <c r="E55" s="5" t="s">
        <v>220</v>
      </c>
      <c r="H55" s="12">
        <f>'ExhA&amp;B'!D58</f>
        <v>682171.27</v>
      </c>
      <c r="J55" s="12">
        <f>IF(ISNA(INDEX('2022PKG'!$1:$1048576,MATCH($B55,'2022PKG'!$A:$A,0),MATCH($E$2,'2022PKG'!$1:$1,0))),0,(INDEX('2022PKG'!$1:$1048576,MATCH($B55,'2022PKG'!$A:$A,0),MATCH($E$2,'2022PKG'!$1:$1,0))))</f>
        <v>164290.47</v>
      </c>
      <c r="L55" s="11">
        <f t="shared" si="20"/>
        <v>517880.8</v>
      </c>
      <c r="N55" s="17">
        <f t="shared" si="21"/>
        <v>3.1522000000000001</v>
      </c>
      <c r="P55" s="620" t="str">
        <f t="shared" si="19"/>
        <v/>
      </c>
    </row>
    <row r="56" spans="1:16" ht="12.75" customHeight="1">
      <c r="A56" s="24"/>
      <c r="B56" s="414"/>
      <c r="C56" s="25"/>
      <c r="D56" s="25"/>
      <c r="E56" s="5" t="s">
        <v>221</v>
      </c>
      <c r="H56" s="80">
        <f>SUM(H50:H55)</f>
        <v>682171.27</v>
      </c>
      <c r="J56" s="80">
        <f>SUM(J50:J55)</f>
        <v>4240661.16</v>
      </c>
      <c r="L56" s="80">
        <f>H56-J56</f>
        <v>-3558489.89</v>
      </c>
      <c r="N56" s="17">
        <f>IF(J56=0,0,L56/J56)</f>
        <v>-0.83909999999999996</v>
      </c>
      <c r="P56" s="841"/>
    </row>
    <row r="57" spans="1:16" ht="12.75" customHeight="1">
      <c r="A57" s="24"/>
      <c r="B57" s="414"/>
      <c r="C57" s="25"/>
      <c r="D57" s="25"/>
      <c r="E57" s="5"/>
      <c r="H57" s="12"/>
      <c r="J57" s="12"/>
      <c r="N57" s="17"/>
      <c r="P57" s="61"/>
    </row>
    <row r="58" spans="1:16" ht="12.75" customHeight="1">
      <c r="A58" s="24"/>
      <c r="B58" s="414"/>
      <c r="C58" s="25"/>
      <c r="D58" s="25"/>
      <c r="E58" s="7" t="s">
        <v>222</v>
      </c>
      <c r="H58" s="12"/>
      <c r="J58" s="12"/>
      <c r="N58" s="17"/>
      <c r="P58" s="61"/>
    </row>
    <row r="59" spans="1:16" ht="12.75" customHeight="1">
      <c r="A59" s="24">
        <v>3400</v>
      </c>
      <c r="B59" s="414">
        <v>2080</v>
      </c>
      <c r="C59" s="25" t="str">
        <f>IF(D59="","",RANK(D59,$D$9:$D$142,1))</f>
        <v/>
      </c>
      <c r="D59" s="25" t="str">
        <f>IF(P59="C",A59,"")</f>
        <v/>
      </c>
      <c r="E59" s="5" t="s">
        <v>463</v>
      </c>
      <c r="H59" s="12">
        <f>'ExhA&amp;B'!D62</f>
        <v>0</v>
      </c>
      <c r="J59" s="12">
        <f>IF(ISNA(INDEX('2022PKG'!$1:$1048576,MATCH($B59,'2022PKG'!$A:$A,0),MATCH($E$2,'2022PKG'!$1:$1,0))),0,(INDEX('2022PKG'!$1:$1048576,MATCH($B59,'2022PKG'!$A:$A,0),MATCH($E$2,'2022PKG'!$1:$1,0))))</f>
        <v>0</v>
      </c>
      <c r="L59" s="11">
        <f t="shared" si="20"/>
        <v>0</v>
      </c>
      <c r="N59" s="17">
        <f t="shared" si="21"/>
        <v>0</v>
      </c>
      <c r="P59" s="620" t="str">
        <f>IF($H$39=0,"",IF(AND(ABS(L59)&gt;$P$4,ABS(N59)&gt;$P$3),"C",IF(AND(ABS(H59+J59)&gt;0,J59=0,ABS(L59)&gt;$P$4),"C","")))</f>
        <v/>
      </c>
    </row>
    <row r="60" spans="1:16" ht="12.75" customHeight="1">
      <c r="A60" s="24">
        <v>3450</v>
      </c>
      <c r="B60" s="414">
        <v>1950</v>
      </c>
      <c r="C60" s="25" t="str">
        <f>IF(D60="","",RANK(D60,$D$9:$D$142,1))</f>
        <v/>
      </c>
      <c r="D60" s="25" t="str">
        <f>IF(P60="C",A60,"")</f>
        <v/>
      </c>
      <c r="E60" s="5" t="s">
        <v>223</v>
      </c>
      <c r="H60" s="12">
        <f>'ExhA&amp;B'!D63</f>
        <v>0</v>
      </c>
      <c r="J60" s="12">
        <f>IF(ISNA(INDEX('2022PKG'!$1:$1048576,MATCH($B60,'2022PKG'!$A:$A,0),MATCH($E$2,'2022PKG'!$1:$1,0))),0,(INDEX('2022PKG'!$1:$1048576,MATCH($B60,'2022PKG'!$A:$A,0),MATCH($E$2,'2022PKG'!$1:$1,0))))</f>
        <v>0</v>
      </c>
      <c r="L60" s="11">
        <f t="shared" si="20"/>
        <v>0</v>
      </c>
      <c r="N60" s="17">
        <f t="shared" si="21"/>
        <v>0</v>
      </c>
      <c r="P60" s="620" t="str">
        <f>IF($H$39=0,"",IF(AND(ABS(L60)&gt;$P$4,ABS(N60)&gt;$P$3),"C",IF(AND(ABS(H60+J60)&gt;0,J60=0,ABS(L60)&gt;$P$4),"C","")))</f>
        <v/>
      </c>
    </row>
    <row r="61" spans="1:16" ht="12.75" customHeight="1">
      <c r="A61" s="24">
        <v>3475</v>
      </c>
      <c r="B61" s="414">
        <v>1995</v>
      </c>
      <c r="C61" s="25" t="str">
        <f>IF(D61="","",RANK(D61,$D$9:$D$142,1))</f>
        <v/>
      </c>
      <c r="D61" s="25" t="str">
        <f>IF(P61="C",A61,"")</f>
        <v/>
      </c>
      <c r="E61" s="5" t="s">
        <v>464</v>
      </c>
      <c r="H61" s="12">
        <f>'ExhA&amp;B'!D64</f>
        <v>28890680.32</v>
      </c>
      <c r="J61" s="12">
        <f>IF(ISNA(INDEX('2022PKG'!$1:$1048576,MATCH($B61,'2022PKG'!$A:$A,0),MATCH($E$2,'2022PKG'!$1:$1,0))),0,(INDEX('2022PKG'!$1:$1048576,MATCH($B61,'2022PKG'!$A:$A,0),MATCH($E$2,'2022PKG'!$1:$1,0))))</f>
        <v>25961354.120000001</v>
      </c>
      <c r="L61" s="842">
        <f t="shared" si="20"/>
        <v>2929326.2</v>
      </c>
      <c r="N61" s="17">
        <f t="shared" si="21"/>
        <v>0.1128</v>
      </c>
      <c r="P61" s="620" t="str">
        <f>IF($H$39=0,"",IF(AND(ABS(L61)&gt;$P$4,ABS(N61)&gt;$P$3),"C",IF(AND(ABS(H61+J61)&gt;0,J61=0,ABS(L61)&gt;$P$4),"C","")))</f>
        <v/>
      </c>
    </row>
    <row r="62" spans="1:16" ht="12.75" customHeight="1">
      <c r="A62" s="24">
        <v>3500</v>
      </c>
      <c r="B62" s="414"/>
      <c r="C62" s="25" t="str">
        <f>IF(D62="","",RANK(D62,$D$6:$D$142,1))</f>
        <v/>
      </c>
      <c r="D62" s="25" t="str">
        <f>IF(P62="C",A62,"")</f>
        <v/>
      </c>
      <c r="E62" s="5" t="s">
        <v>225</v>
      </c>
      <c r="H62" s="80">
        <f>SUM(H58:H61)</f>
        <v>28890680.32</v>
      </c>
      <c r="J62" s="80">
        <f>SUM(J58:J61)</f>
        <v>25961354.120000001</v>
      </c>
      <c r="L62" s="343">
        <f>H62-J62</f>
        <v>2929326.2</v>
      </c>
      <c r="N62" s="17">
        <f>IF(J62=0,0,L62/J62)</f>
        <v>0.1128</v>
      </c>
      <c r="P62" s="61"/>
    </row>
    <row r="63" spans="1:16" ht="12.75" customHeight="1">
      <c r="A63" s="24"/>
      <c r="B63" s="414"/>
      <c r="C63" s="25"/>
      <c r="D63" s="25"/>
      <c r="E63" s="5" t="s">
        <v>465</v>
      </c>
      <c r="H63" s="87">
        <f>H56+H62</f>
        <v>29572851.59</v>
      </c>
      <c r="J63" s="87">
        <f>J56+J62</f>
        <v>30202015.280000001</v>
      </c>
      <c r="L63" s="80">
        <f>H63-J63</f>
        <v>-629163.68999999994</v>
      </c>
      <c r="N63" s="17">
        <f>IF(J63=0,0,L63/J63)</f>
        <v>-2.0799999999999999E-2</v>
      </c>
      <c r="P63" s="61"/>
    </row>
    <row r="64" spans="1:16" ht="12.75" customHeight="1">
      <c r="A64" s="24"/>
      <c r="B64" s="414"/>
      <c r="C64" s="25" t="str">
        <f>IF(D64="","",RANK(D64,$D$6:$D$142,1))</f>
        <v/>
      </c>
      <c r="D64" s="25" t="str">
        <f t="shared" ref="D64:D144" si="22">IF(P64="C",A64,"")</f>
        <v/>
      </c>
      <c r="E64" s="5"/>
      <c r="H64" s="843"/>
      <c r="J64" s="843"/>
      <c r="L64" s="843"/>
      <c r="N64" s="17"/>
      <c r="P64" s="20"/>
    </row>
    <row r="65" spans="1:17" ht="12.75" customHeight="1" thickBot="1">
      <c r="A65" s="24"/>
      <c r="B65" s="414"/>
      <c r="C65" s="25"/>
      <c r="D65" s="25"/>
      <c r="E65" s="63" t="s">
        <v>227</v>
      </c>
      <c r="H65" s="843"/>
      <c r="J65" s="843"/>
      <c r="L65" s="843"/>
      <c r="N65" s="17"/>
      <c r="P65" s="20"/>
    </row>
    <row r="66" spans="1:17" ht="12.75" customHeight="1" thickTop="1">
      <c r="A66" s="24"/>
      <c r="B66" s="414">
        <v>2026</v>
      </c>
      <c r="C66" s="25"/>
      <c r="D66" s="25"/>
      <c r="E66" s="442" t="s">
        <v>466</v>
      </c>
      <c r="H66" s="12">
        <f>'ExhA&amp;B'!D69</f>
        <v>0</v>
      </c>
      <c r="J66" s="12">
        <f>IF(ISNA(INDEX('2022PKG'!$1:$1048576,MATCH($B66,'2022PKG'!$A:$A,0),MATCH($E$2,'2022PKG'!$1:$1,0))),0,(INDEX('2022PKG'!$1:$1048576,MATCH($B66,'2022PKG'!$A:$A,0),MATCH($E$2,'2022PKG'!$1:$1,0))))</f>
        <v>0</v>
      </c>
      <c r="L66" s="11">
        <f t="shared" ref="L66:L73" si="23">H66-J66</f>
        <v>0</v>
      </c>
      <c r="N66" s="17">
        <f t="shared" ref="N66:N73" si="24">IF(J66=0,0,L66/J66)</f>
        <v>0</v>
      </c>
      <c r="P66" s="620" t="str">
        <f t="shared" ref="P66:P72" si="25">IF($H$39=0,"",IF(AND(ABS(L66)&gt;$P$4,ABS(N66)&gt;$P$3),"C",IF(AND(ABS(H66+J66)&gt;0,J66=0,ABS(L66)&gt;$P$4),"C","")))</f>
        <v/>
      </c>
    </row>
    <row r="67" spans="1:17" ht="12.75" customHeight="1">
      <c r="A67" s="24"/>
      <c r="B67" s="414">
        <v>1768</v>
      </c>
      <c r="C67" s="25"/>
      <c r="D67" s="25"/>
      <c r="E67" s="442" t="s">
        <v>230</v>
      </c>
      <c r="H67" s="12">
        <f>'ExhA&amp;B'!D70</f>
        <v>0</v>
      </c>
      <c r="J67" s="12">
        <f>IF(ISNA(INDEX('2022PKG'!$1:$1048576,MATCH($B67,'2022PKG'!$A:$A,0),MATCH($E$2,'2022PKG'!$1:$1,0))),0,(INDEX('2022PKG'!$1:$1048576,MATCH($B67,'2022PKG'!$A:$A,0),MATCH($E$2,'2022PKG'!$1:$1,0))))</f>
        <v>0</v>
      </c>
      <c r="L67" s="11">
        <f t="shared" si="23"/>
        <v>0</v>
      </c>
      <c r="N67" s="17">
        <f t="shared" si="24"/>
        <v>0</v>
      </c>
      <c r="P67" s="620" t="str">
        <f t="shared" si="25"/>
        <v/>
      </c>
    </row>
    <row r="68" spans="1:17" ht="12.75" customHeight="1">
      <c r="A68" s="24"/>
      <c r="B68" s="414">
        <v>1772</v>
      </c>
      <c r="C68" s="25"/>
      <c r="D68" s="25"/>
      <c r="E68" s="442" t="s">
        <v>231</v>
      </c>
      <c r="H68" s="12">
        <f>'ExhA&amp;B'!D71</f>
        <v>0</v>
      </c>
      <c r="J68" s="12">
        <f>IF(ISNA(INDEX('2022PKG'!$1:$1048576,MATCH($B68,'2022PKG'!$A:$A,0),MATCH($E$2,'2022PKG'!$1:$1,0))),0,(INDEX('2022PKG'!$1:$1048576,MATCH($B68,'2022PKG'!$A:$A,0),MATCH($E$2,'2022PKG'!$1:$1,0))))</f>
        <v>0</v>
      </c>
      <c r="L68" s="11">
        <f t="shared" si="23"/>
        <v>0</v>
      </c>
      <c r="N68" s="17">
        <f t="shared" si="24"/>
        <v>0</v>
      </c>
      <c r="P68" s="620" t="str">
        <f t="shared" si="25"/>
        <v/>
      </c>
    </row>
    <row r="69" spans="1:17" ht="12.75" customHeight="1">
      <c r="A69" s="24"/>
      <c r="B69" s="414">
        <v>1767</v>
      </c>
      <c r="C69" s="25"/>
      <c r="D69" s="25"/>
      <c r="E69" s="442" t="s">
        <v>232</v>
      </c>
      <c r="H69" s="12">
        <f>'ExhA&amp;B'!D72</f>
        <v>295327</v>
      </c>
      <c r="J69" s="12">
        <f>IF(ISNA(INDEX('2022PKG'!$1:$1048576,MATCH($B69,'2022PKG'!$A:$A,0),MATCH($E$2,'2022PKG'!$1:$1,0))),0,(INDEX('2022PKG'!$1:$1048576,MATCH($B69,'2022PKG'!$A:$A,0),MATCH($E$2,'2022PKG'!$1:$1,0))))</f>
        <v>5147245</v>
      </c>
      <c r="L69" s="11">
        <f t="shared" si="23"/>
        <v>-4851918</v>
      </c>
      <c r="N69" s="17">
        <f t="shared" si="24"/>
        <v>-0.94259999999999999</v>
      </c>
      <c r="P69" s="620" t="str">
        <f t="shared" si="25"/>
        <v>C</v>
      </c>
    </row>
    <row r="70" spans="1:17" ht="12.75" customHeight="1">
      <c r="A70" s="24"/>
      <c r="B70" s="414">
        <v>1771</v>
      </c>
      <c r="C70" s="25"/>
      <c r="D70" s="25"/>
      <c r="E70" s="442" t="s">
        <v>233</v>
      </c>
      <c r="H70" s="12">
        <f>'ExhA&amp;B'!D73</f>
        <v>9171874</v>
      </c>
      <c r="J70" s="12">
        <f>IF(ISNA(INDEX('2022PKG'!$1:$1048576,MATCH($B70,'2022PKG'!$A:$A,0),MATCH($E$2,'2022PKG'!$1:$1,0))),0,(INDEX('2022PKG'!$1:$1048576,MATCH($B70,'2022PKG'!$A:$A,0),MATCH($E$2,'2022PKG'!$1:$1,0))))</f>
        <v>7824713</v>
      </c>
      <c r="L70" s="11">
        <f t="shared" si="23"/>
        <v>1347161</v>
      </c>
      <c r="N70" s="17">
        <f t="shared" si="24"/>
        <v>0.17219999999999999</v>
      </c>
      <c r="P70" s="18" t="str">
        <f t="shared" si="25"/>
        <v/>
      </c>
    </row>
    <row r="71" spans="1:17" ht="12.75" customHeight="1">
      <c r="A71" s="24"/>
      <c r="B71" s="414">
        <v>1773</v>
      </c>
      <c r="C71" s="25"/>
      <c r="D71" s="25"/>
      <c r="E71" s="442" t="s">
        <v>234</v>
      </c>
      <c r="H71" s="12">
        <f>'ExhA&amp;B'!D74</f>
        <v>0</v>
      </c>
      <c r="J71" s="12">
        <f>IF(ISNA(INDEX('2022PKG'!$1:$1048576,MATCH($B71,'2022PKG'!$A:$A,0),MATCH($E$2,'2022PKG'!$1:$1,0))),0,(INDEX('2022PKG'!$1:$1048576,MATCH($B71,'2022PKG'!$A:$A,0),MATCH($E$2,'2022PKG'!$1:$1,0))))</f>
        <v>0</v>
      </c>
      <c r="L71" s="11">
        <f t="shared" ref="L71" si="26">H71-J71</f>
        <v>0</v>
      </c>
      <c r="N71" s="17">
        <f t="shared" ref="N71" si="27">IF(J71=0,0,L71/J71)</f>
        <v>0</v>
      </c>
      <c r="P71" s="18" t="str">
        <f t="shared" ref="P71" si="28">IF($H$39=0,"",IF(AND(ABS(L71)&gt;$P$4,ABS(N71)&gt;$P$3),"C",IF(AND(ABS(H71+J71)&gt;0,J71=0,ABS(L71)&gt;$P$4),"C","")))</f>
        <v/>
      </c>
      <c r="Q71" s="783" t="s">
        <v>146</v>
      </c>
    </row>
    <row r="72" spans="1:17" ht="12.75" customHeight="1">
      <c r="A72" s="24"/>
      <c r="B72" s="414">
        <v>1769</v>
      </c>
      <c r="C72" s="25"/>
      <c r="D72" s="25"/>
      <c r="E72" s="442" t="s">
        <v>235</v>
      </c>
      <c r="H72" s="12">
        <f>'ExhA&amp;B'!D75</f>
        <v>0</v>
      </c>
      <c r="J72" s="12">
        <f>IF(ISNA(INDEX('2022PKG'!$1:$1048576,MATCH($B72,'2022PKG'!$A:$A,0),MATCH($E$2,'2022PKG'!$1:$1,0))),0,(INDEX('2022PKG'!$1:$1048576,MATCH($B72,'2022PKG'!$A:$A,0),MATCH($E$2,'2022PKG'!$1:$1,0))))</f>
        <v>0</v>
      </c>
      <c r="L72" s="11">
        <f t="shared" si="23"/>
        <v>0</v>
      </c>
      <c r="N72" s="17">
        <f t="shared" si="24"/>
        <v>0</v>
      </c>
      <c r="P72" s="620" t="str">
        <f t="shared" si="25"/>
        <v/>
      </c>
    </row>
    <row r="73" spans="1:17" ht="12.75" customHeight="1">
      <c r="A73" s="24"/>
      <c r="B73" s="414"/>
      <c r="C73" s="25"/>
      <c r="D73" s="25"/>
      <c r="E73" s="442" t="s">
        <v>467</v>
      </c>
      <c r="H73" s="80">
        <f>SUM(H66:H72)</f>
        <v>9467201</v>
      </c>
      <c r="J73" s="80">
        <f>SUM(J66:J72)</f>
        <v>12971958</v>
      </c>
      <c r="L73" s="80">
        <f t="shared" si="23"/>
        <v>-3504757</v>
      </c>
      <c r="N73" s="17">
        <f t="shared" si="24"/>
        <v>-0.2702</v>
      </c>
      <c r="P73" s="20"/>
    </row>
    <row r="74" spans="1:17" ht="12.75" customHeight="1">
      <c r="A74" s="24"/>
      <c r="B74" s="414"/>
      <c r="C74" s="25"/>
      <c r="D74" s="25"/>
      <c r="E74" s="442"/>
      <c r="H74" s="843"/>
      <c r="J74" s="843"/>
      <c r="L74" s="843"/>
      <c r="N74" s="17"/>
      <c r="P74" s="20"/>
    </row>
    <row r="75" spans="1:17" ht="12.75" customHeight="1" thickBot="1">
      <c r="A75" s="24"/>
      <c r="B75" s="414"/>
      <c r="C75" s="25"/>
      <c r="D75" s="25"/>
      <c r="E75" s="63" t="s">
        <v>237</v>
      </c>
      <c r="H75" s="843"/>
      <c r="J75" s="843"/>
      <c r="L75" s="843"/>
      <c r="N75" s="17"/>
      <c r="P75" s="20"/>
    </row>
    <row r="76" spans="1:17" ht="21" customHeight="1" thickTop="1">
      <c r="A76" s="24">
        <v>3600</v>
      </c>
      <c r="B76" s="414">
        <v>2130</v>
      </c>
      <c r="C76" s="25" t="str">
        <f>IF(D76="","",RANK(D76,$D$9:$D$142,1))</f>
        <v/>
      </c>
      <c r="D76" s="25" t="str">
        <f>IF(P76="C",A76,"")</f>
        <v/>
      </c>
      <c r="E76" s="5" t="s">
        <v>238</v>
      </c>
      <c r="G76" s="15"/>
      <c r="H76" s="12">
        <f>'ExhA&amp;B'!D79</f>
        <v>0</v>
      </c>
      <c r="J76" s="12">
        <f>IF(ISNA(INDEX('2022PKG'!$1:$1048576,MATCH($B76,'2022PKG'!$A:$A,0),MATCH($E$2,'2022PKG'!$1:$1,0))),0,(INDEX('2022PKG'!$1:$1048576,MATCH($B76,'2022PKG'!$A:$A,0),MATCH($E$2,'2022PKG'!$1:$1,0))))</f>
        <v>68050602.769999996</v>
      </c>
      <c r="L76" s="11">
        <f>H76-J76</f>
        <v>-68050602.769999996</v>
      </c>
      <c r="N76" s="17">
        <f>IF(J76=0,0,L76/J76)</f>
        <v>-1</v>
      </c>
      <c r="P76" s="61" t="s">
        <v>468</v>
      </c>
    </row>
    <row r="77" spans="1:17" ht="12.75" customHeight="1">
      <c r="A77" s="24">
        <v>3900</v>
      </c>
      <c r="B77" s="414"/>
      <c r="C77" s="25" t="str">
        <f>IF(D77="","",RANK(D77,$D$6:$D$142,1))</f>
        <v/>
      </c>
      <c r="D77" s="25" t="str">
        <f t="shared" si="22"/>
        <v/>
      </c>
      <c r="E77" s="1" t="s">
        <v>241</v>
      </c>
      <c r="H77" s="12"/>
      <c r="J77" s="12"/>
      <c r="N77" s="17"/>
      <c r="P77" s="61"/>
    </row>
    <row r="78" spans="1:17" ht="12.75" customHeight="1">
      <c r="A78" s="24"/>
      <c r="B78" s="414"/>
      <c r="C78" s="25" t="str">
        <f>IF(D78="","",RANK(D78,$D$6:$D$142,1))</f>
        <v/>
      </c>
      <c r="D78" s="25" t="str">
        <f t="shared" si="22"/>
        <v/>
      </c>
      <c r="E78" s="1" t="s">
        <v>242</v>
      </c>
      <c r="H78" s="12"/>
      <c r="J78" s="12"/>
      <c r="P78" s="20"/>
    </row>
    <row r="79" spans="1:17" ht="12.75" customHeight="1">
      <c r="A79" s="24">
        <v>4000</v>
      </c>
      <c r="B79" s="414">
        <v>2141</v>
      </c>
      <c r="C79" s="25" t="str">
        <f>IF(D79="","",RANK(D79,$D$9:$D$142,1))</f>
        <v/>
      </c>
      <c r="D79" s="25" t="str">
        <f t="shared" si="22"/>
        <v/>
      </c>
      <c r="E79" s="419" t="s">
        <v>243</v>
      </c>
      <c r="H79" s="12">
        <f>'ExhA&amp;B'!D82</f>
        <v>0</v>
      </c>
      <c r="J79" s="12">
        <f>IF(ISNA(INDEX('2022PKG'!$1:$1048576,MATCH($B79,'2022PKG'!$A:$A,0),MATCH($E$2,'2022PKG'!$1:$1,0))),0,(INDEX('2022PKG'!$1:$1048576,MATCH($B79,'2022PKG'!$A:$A,0),MATCH($E$2,'2022PKG'!$1:$1,0))))</f>
        <v>269.44</v>
      </c>
      <c r="L79" s="11">
        <f>H79-J79</f>
        <v>-269.44</v>
      </c>
      <c r="N79" s="17">
        <f>IF(J79=0,0,L79/J79)</f>
        <v>-1</v>
      </c>
      <c r="P79" s="61" t="s">
        <v>468</v>
      </c>
    </row>
    <row r="80" spans="1:17" ht="12.75" customHeight="1">
      <c r="A80" s="24">
        <v>4050</v>
      </c>
      <c r="B80" s="414">
        <v>2142</v>
      </c>
      <c r="C80" s="25" t="str">
        <f>IF(D80="","",RANK(D80,$D$9:$D$142,1))</f>
        <v/>
      </c>
      <c r="D80" s="25" t="str">
        <f t="shared" si="22"/>
        <v/>
      </c>
      <c r="E80" s="419" t="s">
        <v>246</v>
      </c>
      <c r="H80" s="12">
        <f>'ExhA&amp;B'!D83</f>
        <v>0</v>
      </c>
      <c r="J80" s="12">
        <f>IF(ISNA(INDEX('2022PKG'!$1:$1048576,MATCH($B80,'2022PKG'!$A:$A,0),MATCH($E$2,'2022PKG'!$1:$1,0))),0,(INDEX('2022PKG'!$1:$1048576,MATCH($B80,'2022PKG'!$A:$A,0),MATCH($E$2,'2022PKG'!$1:$1,0))))</f>
        <v>0</v>
      </c>
      <c r="L80" s="11">
        <f>H80-J80</f>
        <v>0</v>
      </c>
      <c r="N80" s="17">
        <f>IF(J80=0,0,L80/J80)</f>
        <v>0</v>
      </c>
      <c r="P80" s="61" t="s">
        <v>468</v>
      </c>
    </row>
    <row r="81" spans="1:16" ht="12.75" customHeight="1">
      <c r="A81" s="24">
        <v>4070</v>
      </c>
      <c r="B81" s="414">
        <v>2143</v>
      </c>
      <c r="C81" s="25" t="str">
        <f>IF(D81="","",RANK(D81,$D$9:$D$142,1))</f>
        <v/>
      </c>
      <c r="D81" s="25" t="str">
        <f t="shared" si="22"/>
        <v/>
      </c>
      <c r="E81" s="419" t="s">
        <v>248</v>
      </c>
      <c r="H81" s="12">
        <f>'ExhA&amp;B'!D84</f>
        <v>0</v>
      </c>
      <c r="J81" s="12">
        <f>IF(ISNA(INDEX('2022PKG'!$1:$1048576,MATCH($B81,'2022PKG'!$A:$A,0),MATCH($E$2,'2022PKG'!$1:$1,0))),0,(INDEX('2022PKG'!$1:$1048576,MATCH($B81,'2022PKG'!$A:$A,0),MATCH($E$2,'2022PKG'!$1:$1,0))))</f>
        <v>0</v>
      </c>
      <c r="L81" s="11">
        <f t="shared" ref="L81:L87" si="29">H81-J81</f>
        <v>0</v>
      </c>
      <c r="N81" s="17">
        <f t="shared" ref="N81:N88" si="30">IF(J81=0,0,L81/J81)</f>
        <v>0</v>
      </c>
      <c r="P81" s="61" t="s">
        <v>468</v>
      </c>
    </row>
    <row r="82" spans="1:16" ht="12.75" customHeight="1">
      <c r="A82" s="24">
        <v>4100</v>
      </c>
      <c r="B82" s="414"/>
      <c r="C82" s="25" t="str">
        <f>IF(D82="","",RANK(D82,$D$6:$D$142,1))</f>
        <v/>
      </c>
      <c r="D82" s="25" t="str">
        <f t="shared" si="22"/>
        <v/>
      </c>
      <c r="E82" s="1" t="s">
        <v>250</v>
      </c>
      <c r="H82" s="12"/>
      <c r="J82" s="12"/>
      <c r="N82" s="17"/>
      <c r="P82" s="61"/>
    </row>
    <row r="83" spans="1:16" ht="12.75" customHeight="1">
      <c r="A83" s="24">
        <v>4150</v>
      </c>
      <c r="B83" s="414">
        <v>2151</v>
      </c>
      <c r="C83" s="25" t="str">
        <f>IF(D83="","",RANK(D83,$D$9:$D$142,1))</f>
        <v/>
      </c>
      <c r="D83" s="25" t="str">
        <f>IF(P83="C",A83,"")</f>
        <v/>
      </c>
      <c r="E83" s="419" t="s">
        <v>243</v>
      </c>
      <c r="H83" s="12">
        <f>'ExhA&amp;B'!D86</f>
        <v>0</v>
      </c>
      <c r="J83" s="12">
        <f>IF(ISNA(INDEX('2022PKG'!$1:$1048576,MATCH($B83,'2022PKG'!$A:$A,0),MATCH($E$2,'2022PKG'!$1:$1,0))),0,(INDEX('2022PKG'!$1:$1048576,MATCH($B83,'2022PKG'!$A:$A,0),MATCH($E$2,'2022PKG'!$1:$1,0))))</f>
        <v>0</v>
      </c>
      <c r="L83" s="11">
        <f>H83-J83</f>
        <v>0</v>
      </c>
      <c r="N83" s="17">
        <f>IF(J83=0,0,L83/J83)</f>
        <v>0</v>
      </c>
      <c r="P83" s="61" t="s">
        <v>468</v>
      </c>
    </row>
    <row r="84" spans="1:16" ht="12.75" customHeight="1">
      <c r="A84" s="24">
        <v>4200</v>
      </c>
      <c r="B84" s="414">
        <v>2152</v>
      </c>
      <c r="C84" s="25" t="str">
        <f>IF(D84="","",RANK(D84,$D$9:$D$142,1))</f>
        <v/>
      </c>
      <c r="D84" s="25" t="str">
        <f>IF(P84="C",A84,"")</f>
        <v/>
      </c>
      <c r="E84" s="419" t="s">
        <v>246</v>
      </c>
      <c r="H84" s="12">
        <f>'ExhA&amp;B'!D87</f>
        <v>0</v>
      </c>
      <c r="J84" s="12">
        <f>IF(ISNA(INDEX('2022PKG'!$1:$1048576,MATCH($B84,'2022PKG'!$A:$A,0),MATCH($E$2,'2022PKG'!$1:$1,0))),0,(INDEX('2022PKG'!$1:$1048576,MATCH($B84,'2022PKG'!$A:$A,0),MATCH($E$2,'2022PKG'!$1:$1,0))))</f>
        <v>0</v>
      </c>
      <c r="L84" s="11">
        <f t="shared" si="29"/>
        <v>0</v>
      </c>
      <c r="N84" s="17">
        <f t="shared" si="30"/>
        <v>0</v>
      </c>
      <c r="P84" s="61" t="s">
        <v>468</v>
      </c>
    </row>
    <row r="85" spans="1:16" ht="12.75" customHeight="1">
      <c r="A85" s="24">
        <v>4250</v>
      </c>
      <c r="B85" s="414">
        <v>2153</v>
      </c>
      <c r="C85" s="25" t="str">
        <f>IF(D85="","",RANK(D85,$D$9:$D$142,1))</f>
        <v/>
      </c>
      <c r="D85" s="25" t="str">
        <f>IF(P85="C",A85,"")</f>
        <v/>
      </c>
      <c r="E85" s="419" t="s">
        <v>252</v>
      </c>
      <c r="H85" s="12">
        <f>'ExhA&amp;B'!D88</f>
        <v>0</v>
      </c>
      <c r="J85" s="12">
        <f>IF(ISNA(INDEX('2022PKG'!$1:$1048576,MATCH($B85,'2022PKG'!$A:$A,0),MATCH($E$2,'2022PKG'!$1:$1,0))),0,(INDEX('2022PKG'!$1:$1048576,MATCH($B85,'2022PKG'!$A:$A,0),MATCH($E$2,'2022PKG'!$1:$1,0))))</f>
        <v>0</v>
      </c>
      <c r="L85" s="11">
        <f t="shared" si="29"/>
        <v>0</v>
      </c>
      <c r="N85" s="17">
        <f t="shared" si="30"/>
        <v>0</v>
      </c>
      <c r="P85" s="61" t="s">
        <v>468</v>
      </c>
    </row>
    <row r="86" spans="1:16" ht="12.75" customHeight="1">
      <c r="A86" s="24">
        <v>4300</v>
      </c>
      <c r="B86" s="414">
        <v>2154</v>
      </c>
      <c r="C86" s="25" t="str">
        <f>IF(D86="","",RANK(D86,$D$9:$D$142,1))</f>
        <v/>
      </c>
      <c r="D86" s="25" t="str">
        <f>IF(P86="C",A86,"")</f>
        <v/>
      </c>
      <c r="E86" s="419" t="s">
        <v>248</v>
      </c>
      <c r="H86" s="12">
        <f>'ExhA&amp;B'!D89</f>
        <v>0</v>
      </c>
      <c r="J86" s="12">
        <f>IF(ISNA(INDEX('2022PKG'!$1:$1048576,MATCH($B86,'2022PKG'!$A:$A,0),MATCH($E$2,'2022PKG'!$1:$1,0))),0,(INDEX('2022PKG'!$1:$1048576,MATCH($B86,'2022PKG'!$A:$A,0),MATCH($E$2,'2022PKG'!$1:$1,0))))</f>
        <v>0</v>
      </c>
      <c r="L86" s="11">
        <f t="shared" si="29"/>
        <v>0</v>
      </c>
      <c r="N86" s="17">
        <f t="shared" si="30"/>
        <v>0</v>
      </c>
      <c r="P86" s="61" t="s">
        <v>468</v>
      </c>
    </row>
    <row r="87" spans="1:16" ht="12.75" customHeight="1">
      <c r="A87" s="24">
        <v>4350</v>
      </c>
      <c r="B87" s="414">
        <v>2180</v>
      </c>
      <c r="C87" s="25" t="str">
        <f>IF(D87="","",RANK(D87,$D$9:$D$142,1))</f>
        <v/>
      </c>
      <c r="D87" s="25" t="str">
        <f>IF(P87="C",A87,"")</f>
        <v/>
      </c>
      <c r="E87" s="5" t="s">
        <v>253</v>
      </c>
      <c r="H87" s="12">
        <f>'ExhA&amp;B'!D90</f>
        <v>0</v>
      </c>
      <c r="J87" s="12">
        <f>IF(ISNA(INDEX('2022PKG'!$1:$1048576,MATCH($B87,'2022PKG'!$A:$A,0),MATCH($E$2,'2022PKG'!$1:$1,0))),0,(INDEX('2022PKG'!$1:$1048576,MATCH($B87,'2022PKG'!$A:$A,0),MATCH($E$2,'2022PKG'!$1:$1,0))))</f>
        <v>-26552262.640000001</v>
      </c>
      <c r="L87" s="842">
        <f t="shared" si="29"/>
        <v>26552262.640000001</v>
      </c>
      <c r="N87" s="17">
        <f t="shared" si="30"/>
        <v>-1</v>
      </c>
      <c r="P87" s="61" t="s">
        <v>468</v>
      </c>
    </row>
    <row r="88" spans="1:16" ht="12.75" customHeight="1" thickBot="1">
      <c r="A88" s="24">
        <v>4360</v>
      </c>
      <c r="B88" s="414"/>
      <c r="C88" s="25" t="str">
        <f>IF(D88="","",RANK(D88,$D$6:$D$142,1))</f>
        <v/>
      </c>
      <c r="D88" s="25" t="str">
        <f t="shared" si="22"/>
        <v/>
      </c>
      <c r="E88" s="5" t="s">
        <v>256</v>
      </c>
      <c r="H88" s="90">
        <f>SUM(H76:H87)</f>
        <v>0</v>
      </c>
      <c r="J88" s="90">
        <f>SUM(J76:J87)</f>
        <v>41498609.57</v>
      </c>
      <c r="L88" s="90">
        <f>H88-J88</f>
        <v>-41498609.57</v>
      </c>
      <c r="N88" s="17">
        <f t="shared" si="30"/>
        <v>-1</v>
      </c>
      <c r="P88" s="61"/>
    </row>
    <row r="89" spans="1:16" ht="12.75" customHeight="1" thickTop="1">
      <c r="A89" s="24"/>
      <c r="B89" s="414"/>
      <c r="C89" s="25" t="str">
        <f>IF(D89="","",RANK(D89,$D$6:$D$142,1))</f>
        <v/>
      </c>
      <c r="D89" s="25" t="str">
        <f t="shared" si="22"/>
        <v/>
      </c>
      <c r="E89" s="5"/>
      <c r="H89" s="844"/>
      <c r="I89" s="78"/>
      <c r="J89" s="844"/>
      <c r="K89" s="78"/>
      <c r="L89" s="844"/>
      <c r="N89" s="17"/>
      <c r="P89" s="20"/>
    </row>
    <row r="90" spans="1:16" ht="12.75" customHeight="1">
      <c r="A90" s="24"/>
      <c r="B90" s="414"/>
      <c r="C90" s="25" t="str">
        <f>IF(D90="","",RANK(D90,$D$6:$D$142,1))</f>
        <v/>
      </c>
      <c r="D90" s="25" t="str">
        <f t="shared" si="22"/>
        <v/>
      </c>
      <c r="H90" s="845" t="str">
        <f>IF(H39+H46=H63+H73+H88,"In Bal.","NOT")</f>
        <v>NOT</v>
      </c>
      <c r="I90" s="383"/>
      <c r="J90" s="845" t="str">
        <f>IF(J39+J46=J63+J73+J88,"In Bal.","NOT")</f>
        <v>In Bal.</v>
      </c>
      <c r="K90" s="383"/>
      <c r="L90" s="383"/>
      <c r="M90" s="26"/>
      <c r="N90" s="26"/>
      <c r="P90" s="20"/>
    </row>
    <row r="91" spans="1:16" ht="12.75" customHeight="1">
      <c r="A91" s="24"/>
      <c r="B91" s="414"/>
      <c r="C91" s="25" t="str">
        <f>IF(D91="","",RANK(D91,$D$6:$D$142,1))</f>
        <v/>
      </c>
      <c r="D91" s="25" t="str">
        <f t="shared" si="22"/>
        <v/>
      </c>
      <c r="E91" s="8" t="s">
        <v>469</v>
      </c>
      <c r="H91" s="845"/>
      <c r="J91" s="845"/>
      <c r="P91" s="20"/>
    </row>
    <row r="92" spans="1:16" ht="12.75" customHeight="1">
      <c r="A92" s="24"/>
      <c r="B92" s="414"/>
      <c r="C92" s="25" t="str">
        <f>IF(D92="","",RANK(D92,$D$6:$D$142,1))</f>
        <v/>
      </c>
      <c r="D92" s="25" t="str">
        <f t="shared" si="22"/>
        <v/>
      </c>
      <c r="E92" s="11"/>
      <c r="H92" s="14"/>
      <c r="J92" s="14"/>
      <c r="P92" s="20"/>
    </row>
    <row r="93" spans="1:16" ht="12.75" customHeight="1">
      <c r="A93" s="24"/>
      <c r="B93" s="414"/>
      <c r="C93" s="25"/>
      <c r="D93" s="25"/>
      <c r="E93" s="7" t="s">
        <v>259</v>
      </c>
      <c r="H93" s="14"/>
      <c r="J93" s="14"/>
      <c r="P93" s="20"/>
    </row>
    <row r="94" spans="1:16" ht="12.75" customHeight="1">
      <c r="A94" s="24"/>
      <c r="B94" s="414"/>
      <c r="C94" s="25" t="str">
        <f>IF(D94="","",RANK(D94,$D$6:$D$142,1))</f>
        <v/>
      </c>
      <c r="D94" s="25" t="str">
        <f t="shared" si="22"/>
        <v/>
      </c>
      <c r="E94" s="7" t="s">
        <v>260</v>
      </c>
      <c r="G94" s="15"/>
      <c r="H94" s="12"/>
      <c r="J94" s="12"/>
      <c r="P94" s="20"/>
    </row>
    <row r="95" spans="1:16" ht="12.75" customHeight="1">
      <c r="A95" s="24">
        <v>4500</v>
      </c>
      <c r="B95" s="414">
        <v>2320</v>
      </c>
      <c r="C95" s="25">
        <f t="shared" ref="C95:C101" si="31">IF(D95="","",RANK(D95,$D$9:$D$142,1))</f>
        <v>3</v>
      </c>
      <c r="D95" s="25">
        <f t="shared" si="22"/>
        <v>4500</v>
      </c>
      <c r="E95" s="5" t="s">
        <v>261</v>
      </c>
      <c r="G95" s="15"/>
      <c r="H95" s="470">
        <f>'ExhA&amp;B'!D98</f>
        <v>0</v>
      </c>
      <c r="J95" s="470">
        <f>IF(ISNA(INDEX('2022PKG'!$1:$1048576,MATCH($B95,'2022PKG'!$A:$A,0),MATCH($E$2,'2022PKG'!$1:$1,0))),0,(INDEX('2022PKG'!$1:$1048576,MATCH($B95,'2022PKG'!$A:$A,0),MATCH($E$2,'2022PKG'!$1:$1,0))))</f>
        <v>2223077.75</v>
      </c>
      <c r="L95" s="78">
        <f t="shared" ref="L95:L110" si="32">H95-J95</f>
        <v>-2223077.75</v>
      </c>
      <c r="N95" s="17">
        <f t="shared" ref="N95:N114" si="33">IF(J95=0,0,L95/J95)</f>
        <v>-1</v>
      </c>
      <c r="P95" s="620" t="str">
        <f t="shared" ref="P95:P101" si="34">IF($H$39=0,"",IF(AND(ABS(L95)&gt;$P$4,ABS(N95)&gt;$P$3),"C",IF(AND(ABS(H95+J95)&gt;0,J95=0,ABS(L95)&gt;$P$4),"C","")))</f>
        <v>C</v>
      </c>
    </row>
    <row r="96" spans="1:16" ht="12.75" customHeight="1">
      <c r="A96" s="24">
        <v>5000</v>
      </c>
      <c r="B96" s="414">
        <v>2360</v>
      </c>
      <c r="C96" s="25">
        <f t="shared" si="31"/>
        <v>4</v>
      </c>
      <c r="D96" s="25">
        <f t="shared" si="22"/>
        <v>5000</v>
      </c>
      <c r="E96" s="5" t="s">
        <v>470</v>
      </c>
      <c r="H96" s="12">
        <f>'ExhA&amp;B'!D99</f>
        <v>0</v>
      </c>
      <c r="I96" s="78"/>
      <c r="J96" s="12">
        <f>IF(ISNA(INDEX('2022PKG'!$1:$1048576,MATCH($B96,'2022PKG'!$A:$A,0),MATCH($E$2,'2022PKG'!$1:$1,0))),0,(INDEX('2022PKG'!$1:$1048576,MATCH($B96,'2022PKG'!$A:$A,0),MATCH($E$2,'2022PKG'!$1:$1,0))))</f>
        <v>3958197.91</v>
      </c>
      <c r="K96" s="78"/>
      <c r="L96" s="11">
        <f t="shared" si="32"/>
        <v>-3958197.91</v>
      </c>
      <c r="N96" s="17">
        <f t="shared" si="33"/>
        <v>-1</v>
      </c>
      <c r="P96" s="620" t="str">
        <f t="shared" si="34"/>
        <v>C</v>
      </c>
    </row>
    <row r="97" spans="1:17" ht="12.75" customHeight="1">
      <c r="A97" s="24">
        <v>5050</v>
      </c>
      <c r="B97" s="414">
        <v>2380</v>
      </c>
      <c r="C97" s="25" t="str">
        <f t="shared" si="31"/>
        <v/>
      </c>
      <c r="D97" s="25" t="str">
        <f t="shared" si="22"/>
        <v/>
      </c>
      <c r="E97" s="5" t="s">
        <v>264</v>
      </c>
      <c r="H97" s="12">
        <f>'ExhA&amp;B'!D100</f>
        <v>0</v>
      </c>
      <c r="J97" s="12">
        <f>IF(ISNA(INDEX('2022PKG'!$1:$1048576,MATCH($B97,'2022PKG'!$A:$A,0),MATCH($E$2,'2022PKG'!$1:$1,0))),0,(INDEX('2022PKG'!$1:$1048576,MATCH($B97,'2022PKG'!$A:$A,0),MATCH($E$2,'2022PKG'!$1:$1,0))))</f>
        <v>0</v>
      </c>
      <c r="L97" s="11">
        <f t="shared" si="32"/>
        <v>0</v>
      </c>
      <c r="N97" s="17">
        <f t="shared" si="33"/>
        <v>0</v>
      </c>
      <c r="P97" s="620" t="str">
        <f t="shared" si="34"/>
        <v/>
      </c>
    </row>
    <row r="98" spans="1:17" ht="12.75" customHeight="1">
      <c r="A98" s="24">
        <v>5100</v>
      </c>
      <c r="B98" s="414">
        <v>2400</v>
      </c>
      <c r="C98" s="25" t="str">
        <f t="shared" si="31"/>
        <v/>
      </c>
      <c r="D98" s="25" t="str">
        <f t="shared" si="22"/>
        <v/>
      </c>
      <c r="E98" s="5" t="s">
        <v>266</v>
      </c>
      <c r="H98" s="12">
        <f>'ExhA&amp;B'!D101</f>
        <v>0</v>
      </c>
      <c r="J98" s="12">
        <f>IF(ISNA(INDEX('2022PKG'!$1:$1048576,MATCH($B98,'2022PKG'!$A:$A,0),MATCH($E$2,'2022PKG'!$1:$1,0))),0,(INDEX('2022PKG'!$1:$1048576,MATCH($B98,'2022PKG'!$A:$A,0),MATCH($E$2,'2022PKG'!$1:$1,0))))</f>
        <v>0</v>
      </c>
      <c r="L98" s="11">
        <f t="shared" si="32"/>
        <v>0</v>
      </c>
      <c r="N98" s="17">
        <f t="shared" si="33"/>
        <v>0</v>
      </c>
      <c r="P98" s="620" t="str">
        <f t="shared" si="34"/>
        <v/>
      </c>
    </row>
    <row r="99" spans="1:17" ht="12.75" customHeight="1">
      <c r="A99" s="24">
        <v>5150</v>
      </c>
      <c r="B99" s="414">
        <v>2310</v>
      </c>
      <c r="C99" s="25" t="str">
        <f t="shared" si="31"/>
        <v/>
      </c>
      <c r="D99" s="25" t="str">
        <f t="shared" si="22"/>
        <v/>
      </c>
      <c r="E99" s="5" t="s">
        <v>268</v>
      </c>
      <c r="H99" s="12">
        <f>'ExhA&amp;B'!D102</f>
        <v>0</v>
      </c>
      <c r="J99" s="12">
        <f>IF(ISNA(INDEX('2022PKG'!$1:$1048576,MATCH($B99,'2022PKG'!$A:$A,0),MATCH($E$2,'2022PKG'!$1:$1,0))),0,(INDEX('2022PKG'!$1:$1048576,MATCH($B99,'2022PKG'!$A:$A,0),MATCH($E$2,'2022PKG'!$1:$1,0))))</f>
        <v>0</v>
      </c>
      <c r="L99" s="11">
        <f t="shared" si="32"/>
        <v>0</v>
      </c>
      <c r="N99" s="17">
        <f t="shared" si="33"/>
        <v>0</v>
      </c>
      <c r="P99" s="620" t="str">
        <f t="shared" si="34"/>
        <v/>
      </c>
    </row>
    <row r="100" spans="1:17" ht="12.75" customHeight="1">
      <c r="A100" s="24"/>
      <c r="B100" s="414">
        <v>2311</v>
      </c>
      <c r="C100" s="25"/>
      <c r="D100" s="25"/>
      <c r="E100" s="5" t="s">
        <v>269</v>
      </c>
      <c r="H100" s="12">
        <f>'ExhA&amp;B'!D103</f>
        <v>0</v>
      </c>
      <c r="J100" s="12">
        <f>IF(ISNA(INDEX('2022PKG'!$1:$1048576,MATCH($B100,'2022PKG'!$A:$A,0),MATCH($E$2,'2022PKG'!$1:$1,0))),0,(INDEX('2022PKG'!$1:$1048576,MATCH($B100,'2022PKG'!$A:$A,0),MATCH($E$2,'2022PKG'!$1:$1,0))))</f>
        <v>84471.84</v>
      </c>
      <c r="L100" s="11">
        <f t="shared" ref="L100" si="35">H100-J100</f>
        <v>-84471.84</v>
      </c>
      <c r="N100" s="17">
        <f t="shared" ref="N100" si="36">IF(J100=0,0,L100/J100)</f>
        <v>-1</v>
      </c>
      <c r="P100" s="620" t="str">
        <f t="shared" ref="P100" si="37">IF($H$39=0,"",IF(AND(ABS(L100)&gt;$P$4,ABS(N100)&gt;$P$3),"C",IF(AND(ABS(H100+J100)&gt;0,J100=0,ABS(L100)&gt;$P$4),"C","")))</f>
        <v/>
      </c>
      <c r="Q100" s="783" t="s">
        <v>146</v>
      </c>
    </row>
    <row r="101" spans="1:17" ht="12.75" customHeight="1">
      <c r="A101" s="24">
        <v>5200</v>
      </c>
      <c r="B101" s="414">
        <v>2450</v>
      </c>
      <c r="C101" s="25" t="str">
        <f t="shared" si="31"/>
        <v/>
      </c>
      <c r="D101" s="25" t="str">
        <f t="shared" si="22"/>
        <v/>
      </c>
      <c r="E101" s="5" t="s">
        <v>270</v>
      </c>
      <c r="H101" s="12">
        <f>'ExhA&amp;B'!D104</f>
        <v>0</v>
      </c>
      <c r="J101" s="12">
        <f>IF(ISNA(INDEX('2022PKG'!$1:$1048576,MATCH($B101,'2022PKG'!$A:$A,0),MATCH($E$2,'2022PKG'!$1:$1,0))),0,(INDEX('2022PKG'!$1:$1048576,MATCH($B101,'2022PKG'!$A:$A,0),MATCH($E$2,'2022PKG'!$1:$1,0))))</f>
        <v>109936.5</v>
      </c>
      <c r="L101" s="842">
        <f t="shared" si="32"/>
        <v>-109936.5</v>
      </c>
      <c r="N101" s="17">
        <f t="shared" si="33"/>
        <v>-1</v>
      </c>
      <c r="P101" s="620" t="str">
        <f t="shared" si="34"/>
        <v/>
      </c>
    </row>
    <row r="102" spans="1:17" ht="12.75" customHeight="1">
      <c r="A102" s="846">
        <v>5250</v>
      </c>
      <c r="B102" s="847"/>
      <c r="C102" s="25" t="str">
        <f>IF(D102="","",RANK(D102,$D$6:$D$142,1))</f>
        <v/>
      </c>
      <c r="D102" s="25" t="str">
        <f t="shared" si="22"/>
        <v/>
      </c>
      <c r="E102" s="5" t="s">
        <v>271</v>
      </c>
      <c r="H102" s="80">
        <f>SUM(H95:H101)</f>
        <v>0</v>
      </c>
      <c r="J102" s="80">
        <f>SUM(J95:J101)</f>
        <v>6375684</v>
      </c>
      <c r="L102" s="80">
        <f t="shared" si="32"/>
        <v>-6375684</v>
      </c>
      <c r="N102" s="848">
        <f t="shared" si="33"/>
        <v>-1</v>
      </c>
      <c r="P102" s="20" t="str">
        <f>IF($H$87=0,"",IF(AND(ABS((H102+J102)/($H$87+$J$87))&gt;$P$4,ABS(N102)&gt;$P$3-0.000000001),"C",IF(AND(ABS(H102+J102)&gt;0,J102=0,H102/$H$87&gt;$P$4*2),"C","")))</f>
        <v/>
      </c>
    </row>
    <row r="103" spans="1:17" ht="12.75" customHeight="1">
      <c r="A103" s="24"/>
      <c r="B103" s="414"/>
      <c r="C103" s="25" t="str">
        <f>IF(D103="","",RANK(D103,$D$6:$D$142,1))</f>
        <v/>
      </c>
      <c r="D103" s="25" t="str">
        <f>IF(P103="C",A103,"")</f>
        <v/>
      </c>
      <c r="E103" s="7" t="s">
        <v>272</v>
      </c>
      <c r="H103" s="86"/>
      <c r="J103" s="86"/>
      <c r="L103" s="86"/>
      <c r="N103" s="17"/>
      <c r="P103" s="61"/>
    </row>
    <row r="104" spans="1:17" ht="12.75" customHeight="1">
      <c r="A104" s="24"/>
      <c r="B104" s="414"/>
      <c r="C104" s="25"/>
      <c r="D104" s="25"/>
      <c r="E104" s="7" t="s">
        <v>273</v>
      </c>
      <c r="H104" s="12"/>
      <c r="J104" s="12"/>
      <c r="N104" s="17"/>
      <c r="P104" s="61"/>
    </row>
    <row r="105" spans="1:17" ht="12.75" customHeight="1">
      <c r="A105" s="24">
        <v>5270</v>
      </c>
      <c r="B105" s="414">
        <v>2490</v>
      </c>
      <c r="C105" s="25">
        <f t="shared" ref="C105:C110" si="38">IF(D105="","",RANK(D105,$D$9:$D$142,1))</f>
        <v>5</v>
      </c>
      <c r="D105" s="25">
        <f t="shared" ref="D105:D110" si="39">IF(P105="C",A105,"")</f>
        <v>5270</v>
      </c>
      <c r="E105" s="5" t="s">
        <v>471</v>
      </c>
      <c r="H105" s="12">
        <f>'ExhA&amp;B'!D108</f>
        <v>0</v>
      </c>
      <c r="J105" s="12">
        <f>IF(ISNA(INDEX('2022PKG'!$1:$1048576,MATCH($B105,'2022PKG'!$A:$A,0),MATCH($E$2,'2022PKG'!$1:$1,0))),0,(INDEX('2022PKG'!$1:$1048576,MATCH($B105,'2022PKG'!$A:$A,0),MATCH($E$2,'2022PKG'!$1:$1,0))))</f>
        <v>23895211.690000001</v>
      </c>
      <c r="L105" s="11">
        <f t="shared" si="32"/>
        <v>-23895211.690000001</v>
      </c>
      <c r="N105" s="848">
        <f t="shared" si="33"/>
        <v>-1</v>
      </c>
      <c r="P105" s="18" t="str">
        <f t="shared" ref="P105:P110" si="40">IF($H$39=0,"",IF(AND(ABS(L105)&gt;$P$4,ABS(N105)&gt;$P$3),"C",IF(AND(ABS(H105+J105)&gt;0,J105=0,ABS(L105)&gt;$P$4),"C","")))</f>
        <v>C</v>
      </c>
    </row>
    <row r="106" spans="1:17" ht="12.75" customHeight="1">
      <c r="A106" s="24">
        <v>5280</v>
      </c>
      <c r="B106" s="414">
        <v>2510</v>
      </c>
      <c r="C106" s="25">
        <f t="shared" si="38"/>
        <v>6</v>
      </c>
      <c r="D106" s="25">
        <f t="shared" si="39"/>
        <v>5280</v>
      </c>
      <c r="E106" s="5" t="s">
        <v>275</v>
      </c>
      <c r="H106" s="12">
        <f>'ExhA&amp;B'!D109</f>
        <v>0</v>
      </c>
      <c r="J106" s="12">
        <f>IF(ISNA(INDEX('2022PKG'!$1:$1048576,MATCH($B106,'2022PKG'!$A:$A,0),MATCH($E$2,'2022PKG'!$1:$1,0))),0,(INDEX('2022PKG'!$1:$1048576,MATCH($B106,'2022PKG'!$A:$A,0),MATCH($E$2,'2022PKG'!$1:$1,0))))</f>
        <v>6142720.9500000002</v>
      </c>
      <c r="L106" s="11">
        <f t="shared" si="32"/>
        <v>-6142720.9500000002</v>
      </c>
      <c r="N106" s="848">
        <f>IF(J106=0,0,L106/J106)</f>
        <v>-1</v>
      </c>
      <c r="P106" s="620" t="str">
        <f t="shared" si="40"/>
        <v>C</v>
      </c>
    </row>
    <row r="107" spans="1:17" ht="12.75" customHeight="1">
      <c r="A107" s="24">
        <v>5300</v>
      </c>
      <c r="B107" s="414">
        <v>2520</v>
      </c>
      <c r="C107" s="25">
        <f t="shared" si="38"/>
        <v>7</v>
      </c>
      <c r="D107" s="25">
        <f t="shared" si="39"/>
        <v>5300</v>
      </c>
      <c r="E107" s="5" t="s">
        <v>276</v>
      </c>
      <c r="H107" s="12">
        <f>'ExhA&amp;B'!D110</f>
        <v>0</v>
      </c>
      <c r="J107" s="12">
        <f>IF(ISNA(INDEX('2022PKG'!$1:$1048576,MATCH($B107,'2022PKG'!$A:$A,0),MATCH($E$2,'2022PKG'!$1:$1,0))),0,(INDEX('2022PKG'!$1:$1048576,MATCH($B107,'2022PKG'!$A:$A,0),MATCH($E$2,'2022PKG'!$1:$1,0))))</f>
        <v>4761622.33</v>
      </c>
      <c r="L107" s="11">
        <f t="shared" si="32"/>
        <v>-4761622.33</v>
      </c>
      <c r="N107" s="848">
        <f t="shared" si="33"/>
        <v>-1</v>
      </c>
      <c r="P107" s="620" t="str">
        <f t="shared" si="40"/>
        <v>C</v>
      </c>
    </row>
    <row r="108" spans="1:17" ht="12.75" customHeight="1">
      <c r="A108" s="24">
        <v>5350</v>
      </c>
      <c r="B108" s="414">
        <v>2590</v>
      </c>
      <c r="C108" s="25">
        <f t="shared" si="38"/>
        <v>8</v>
      </c>
      <c r="D108" s="25">
        <f t="shared" si="39"/>
        <v>5350</v>
      </c>
      <c r="E108" s="5" t="s">
        <v>277</v>
      </c>
      <c r="H108" s="12">
        <f>'ExhA&amp;B'!D111</f>
        <v>0</v>
      </c>
      <c r="J108" s="12">
        <f>IF(ISNA(INDEX('2022PKG'!$1:$1048576,MATCH($B108,'2022PKG'!$A:$A,0),MATCH($E$2,'2022PKG'!$1:$1,0))),0,(INDEX('2022PKG'!$1:$1048576,MATCH($B108,'2022PKG'!$A:$A,0),MATCH($E$2,'2022PKG'!$1:$1,0))))</f>
        <v>8121352.9000000004</v>
      </c>
      <c r="L108" s="11">
        <f t="shared" si="32"/>
        <v>-8121352.9000000004</v>
      </c>
      <c r="N108" s="848">
        <f t="shared" si="33"/>
        <v>-1</v>
      </c>
      <c r="P108" s="620" t="str">
        <f t="shared" si="40"/>
        <v>C</v>
      </c>
    </row>
    <row r="109" spans="1:17" ht="12.75" customHeight="1">
      <c r="A109" s="24">
        <v>5400</v>
      </c>
      <c r="B109" s="414">
        <v>2522</v>
      </c>
      <c r="C109" s="25" t="str">
        <f t="shared" si="38"/>
        <v/>
      </c>
      <c r="D109" s="25" t="str">
        <f t="shared" si="39"/>
        <v/>
      </c>
      <c r="E109" s="5" t="s">
        <v>278</v>
      </c>
      <c r="H109" s="12">
        <f>'ExhA&amp;B'!D112</f>
        <v>0</v>
      </c>
      <c r="J109" s="12">
        <f>IF(ISNA(INDEX('2022PKG'!$1:$1048576,MATCH($B109,'2022PKG'!$A:$A,0),MATCH($E$2,'2022PKG'!$1:$1,0))),0,(INDEX('2022PKG'!$1:$1048576,MATCH($B109,'2022PKG'!$A:$A,0),MATCH($E$2,'2022PKG'!$1:$1,0))))</f>
        <v>941572.46</v>
      </c>
      <c r="L109" s="11">
        <f t="shared" si="32"/>
        <v>-941572.46</v>
      </c>
      <c r="N109" s="848">
        <f t="shared" si="33"/>
        <v>-1</v>
      </c>
      <c r="P109" s="620" t="str">
        <f t="shared" si="40"/>
        <v/>
      </c>
    </row>
    <row r="110" spans="1:17" ht="12.75" customHeight="1">
      <c r="A110" s="24">
        <v>5450</v>
      </c>
      <c r="B110" s="414">
        <v>2560</v>
      </c>
      <c r="C110" s="25" t="str">
        <f t="shared" si="38"/>
        <v/>
      </c>
      <c r="D110" s="25" t="str">
        <f t="shared" si="39"/>
        <v/>
      </c>
      <c r="E110" s="5" t="s">
        <v>279</v>
      </c>
      <c r="H110" s="849">
        <f>'ExhA&amp;B'!D113</f>
        <v>0</v>
      </c>
      <c r="J110" s="12">
        <f>IF(ISNA(INDEX('2022PKG'!$1:$1048576,MATCH($B110,'2022PKG'!$A:$A,0),MATCH($E$2,'2022PKG'!$1:$1,0))),0,(INDEX('2022PKG'!$1:$1048576,MATCH($B110,'2022PKG'!$A:$A,0),MATCH($E$2,'2022PKG'!$1:$1,0))))</f>
        <v>1653561.86</v>
      </c>
      <c r="L110" s="11">
        <f t="shared" si="32"/>
        <v>-1653561.86</v>
      </c>
      <c r="N110" s="848">
        <f t="shared" si="33"/>
        <v>-1</v>
      </c>
      <c r="P110" s="620" t="str">
        <f t="shared" si="40"/>
        <v/>
      </c>
    </row>
    <row r="111" spans="1:17" ht="12.75" customHeight="1">
      <c r="A111" s="846">
        <v>5500</v>
      </c>
      <c r="B111" s="847"/>
      <c r="C111" s="25" t="str">
        <f>IF(D111="","",RANK(D111,$D$6:$D$142,1))</f>
        <v/>
      </c>
      <c r="D111" s="25" t="str">
        <f t="shared" si="22"/>
        <v/>
      </c>
      <c r="E111" s="5" t="s">
        <v>280</v>
      </c>
      <c r="H111" s="79">
        <f>SUM(H105:H110)</f>
        <v>0</v>
      </c>
      <c r="J111" s="80">
        <f>SUM(J105:J110)</f>
        <v>45516042.189999998</v>
      </c>
      <c r="L111" s="80">
        <f>H111-J111</f>
        <v>-45516042.189999998</v>
      </c>
      <c r="N111" s="848">
        <f t="shared" si="33"/>
        <v>-1</v>
      </c>
      <c r="P111" s="20"/>
    </row>
    <row r="112" spans="1:17" ht="12.75" customHeight="1">
      <c r="A112" s="846">
        <v>5550</v>
      </c>
      <c r="B112" s="847"/>
      <c r="C112" s="25" t="str">
        <f>IF(D112="","",RANK(D112,$D$6:$D$142,1))</f>
        <v/>
      </c>
      <c r="D112" s="25" t="str">
        <f t="shared" si="22"/>
        <v/>
      </c>
      <c r="E112" s="5" t="s">
        <v>472</v>
      </c>
      <c r="H112" s="80">
        <f>H102-H111</f>
        <v>0</v>
      </c>
      <c r="J112" s="80">
        <f>J102-J111</f>
        <v>-39140358.189999998</v>
      </c>
      <c r="L112" s="80">
        <f>H112-J112</f>
        <v>39140358.189999998</v>
      </c>
      <c r="N112" s="848">
        <f t="shared" si="33"/>
        <v>-1</v>
      </c>
      <c r="P112" s="20"/>
    </row>
    <row r="113" spans="1:17" ht="12.75" customHeight="1">
      <c r="A113" s="24">
        <v>5600</v>
      </c>
      <c r="B113" s="414"/>
      <c r="C113" s="25" t="str">
        <f>IF(D113="","",RANK(D113,$D$6:$D$142,1))</f>
        <v/>
      </c>
      <c r="D113" s="25" t="str">
        <f t="shared" si="22"/>
        <v/>
      </c>
      <c r="E113" s="7" t="s">
        <v>282</v>
      </c>
      <c r="H113" s="86"/>
      <c r="J113" s="86"/>
      <c r="L113" s="86"/>
      <c r="N113" s="17"/>
      <c r="P113" s="20"/>
    </row>
    <row r="114" spans="1:17" ht="12.75" customHeight="1">
      <c r="A114" s="24">
        <v>5700</v>
      </c>
      <c r="B114" s="414">
        <v>2690</v>
      </c>
      <c r="C114" s="25">
        <f t="shared" ref="C114:C125" si="41">IF(D114="","",RANK(D114,$D$9:$D$142,1))</f>
        <v>9</v>
      </c>
      <c r="D114" s="25">
        <f t="shared" si="22"/>
        <v>5700</v>
      </c>
      <c r="E114" s="5" t="s">
        <v>473</v>
      </c>
      <c r="G114" s="15"/>
      <c r="H114" s="12">
        <f>'ExhA&amp;B'!D117</f>
        <v>0</v>
      </c>
      <c r="J114" s="12">
        <f>IF(ISNA(INDEX('2022PKG'!$1:$1048576,MATCH($B114,'2022PKG'!$A:$A,0),MATCH($E$2,'2022PKG'!$1:$1,0))),0,(INDEX('2022PKG'!$1:$1048576,MATCH($B114,'2022PKG'!$A:$A,0),MATCH($E$2,'2022PKG'!$1:$1,0))))</f>
        <v>22679559.18</v>
      </c>
      <c r="L114" s="11">
        <f>H114-J114</f>
        <v>-22679559.18</v>
      </c>
      <c r="N114" s="17">
        <f t="shared" si="33"/>
        <v>-1</v>
      </c>
      <c r="P114" s="18" t="str">
        <f t="shared" ref="P114:P125" si="42">IF($H$39=0,"",IF(AND(ABS(L114)&gt;$P$4,ABS(N114)&gt;$P$3),"C",IF(AND(ABS(H114+J114)&gt;0,J114=0,ABS(L114)&gt;$P$4),"C","")))</f>
        <v>C</v>
      </c>
    </row>
    <row r="115" spans="1:17" ht="12.75" customHeight="1">
      <c r="A115" s="24"/>
      <c r="B115" s="414" t="s">
        <v>284</v>
      </c>
      <c r="C115" s="25"/>
      <c r="D115" s="25"/>
      <c r="E115" s="5" t="s">
        <v>474</v>
      </c>
      <c r="G115" s="15"/>
      <c r="H115" s="12">
        <f>'ExhA&amp;B'!D118</f>
        <v>0</v>
      </c>
      <c r="J115" s="12">
        <f>IF(ISNA(INDEX('2022PKG'!$1:$1048576,MATCH($B115,'2022PKG'!$A:$A,0),MATCH($E$2,'2022PKG'!$1:$1,0))),0,(INDEX('2022PKG'!$1:$1048576,MATCH($B115,'2022PKG'!$A:$A,0),MATCH($E$2,'2022PKG'!$1:$1,0))))</f>
        <v>0</v>
      </c>
      <c r="L115" s="11">
        <f>H115-J115</f>
        <v>0</v>
      </c>
      <c r="N115" s="17">
        <f t="shared" ref="N115" si="43">IF(J115=0,0,L115/J115)</f>
        <v>0</v>
      </c>
      <c r="P115" s="18" t="str">
        <f t="shared" ref="P115" si="44">IF($H$39=0,"",IF(AND(ABS(L115)&gt;$P$4,ABS(N115)&gt;$P$3),"C",IF(AND(ABS(H115+J115)&gt;0,J115=0,ABS(L115)&gt;$P$4),"C","")))</f>
        <v/>
      </c>
    </row>
    <row r="116" spans="1:17" ht="12.75" customHeight="1">
      <c r="A116" s="24">
        <v>5800</v>
      </c>
      <c r="B116" s="414">
        <v>2691</v>
      </c>
      <c r="C116" s="25">
        <f t="shared" si="41"/>
        <v>10</v>
      </c>
      <c r="D116" s="25">
        <f t="shared" si="22"/>
        <v>5800</v>
      </c>
      <c r="E116" s="5" t="s">
        <v>286</v>
      </c>
      <c r="H116" s="12">
        <f>'ExhA&amp;B'!D119</f>
        <v>0</v>
      </c>
      <c r="J116" s="12">
        <f>IF(ISNA(INDEX('2022PKG'!$1:$1048576,MATCH($B116,'2022PKG'!$A:$A,0),MATCH($E$2,'2022PKG'!$1:$1,0))),0,(INDEX('2022PKG'!$1:$1048576,MATCH($B116,'2022PKG'!$A:$A,0),MATCH($E$2,'2022PKG'!$1:$1,0))))</f>
        <v>3533556</v>
      </c>
      <c r="L116" s="11">
        <f t="shared" ref="L116:L130" si="45">H116-J116</f>
        <v>-3533556</v>
      </c>
      <c r="N116" s="17">
        <f t="shared" ref="N116:N130" si="46">IF(J116=0,0,L116/J116)</f>
        <v>-1</v>
      </c>
      <c r="P116" s="620" t="str">
        <f t="shared" si="42"/>
        <v>C</v>
      </c>
    </row>
    <row r="117" spans="1:17" ht="12.75" customHeight="1">
      <c r="A117" s="24">
        <v>5850</v>
      </c>
      <c r="B117" s="414">
        <v>2692</v>
      </c>
      <c r="C117" s="25">
        <f t="shared" si="41"/>
        <v>11</v>
      </c>
      <c r="D117" s="25">
        <f t="shared" si="22"/>
        <v>5850</v>
      </c>
      <c r="E117" s="5" t="s">
        <v>475</v>
      </c>
      <c r="H117" s="12">
        <f>'ExhA&amp;B'!D120</f>
        <v>0</v>
      </c>
      <c r="J117" s="12">
        <f>IF(ISNA(INDEX('2022PKG'!$1:$1048576,MATCH($B117,'2022PKG'!$A:$A,0),MATCH($E$2,'2022PKG'!$1:$1,0))),0,(INDEX('2022PKG'!$1:$1048576,MATCH($B117,'2022PKG'!$A:$A,0),MATCH($E$2,'2022PKG'!$1:$1,0))))</f>
        <v>6024770.5</v>
      </c>
      <c r="L117" s="11">
        <f t="shared" si="45"/>
        <v>-6024770.5</v>
      </c>
      <c r="N117" s="17">
        <f t="shared" si="46"/>
        <v>-1</v>
      </c>
      <c r="P117" s="18" t="str">
        <f t="shared" si="42"/>
        <v>C</v>
      </c>
    </row>
    <row r="118" spans="1:17" ht="12.75" customHeight="1">
      <c r="A118" s="24"/>
      <c r="B118" s="414">
        <v>2701</v>
      </c>
      <c r="C118" s="25"/>
      <c r="D118" s="25"/>
      <c r="E118" s="5" t="s">
        <v>289</v>
      </c>
      <c r="H118" s="12">
        <f>'ExhA&amp;B'!D121</f>
        <v>0</v>
      </c>
      <c r="J118" s="12">
        <f>IF(ISNA(INDEX('2022PKG'!$1:$1048576,MATCH($B118,'2022PKG'!$A:$A,0),MATCH($E$2,'2022PKG'!$1:$1,0))),0,(INDEX('2022PKG'!$1:$1048576,MATCH($B118,'2022PKG'!$A:$A,0),MATCH($E$2,'2022PKG'!$1:$1,0))))</f>
        <v>10709120.25</v>
      </c>
      <c r="L118" s="11">
        <f t="shared" ref="L118" si="47">H118-J118</f>
        <v>-10709120.25</v>
      </c>
      <c r="N118" s="17">
        <f t="shared" ref="N118" si="48">IF(J118=0,0,L118/J118)</f>
        <v>-1</v>
      </c>
      <c r="P118" s="18" t="str">
        <f t="shared" ref="P118" si="49">IF($H$39=0,"",IF(AND(ABS(L118)&gt;$P$4,ABS(N118)&gt;$P$3),"C",IF(AND(ABS(H118+J118)&gt;0,J118=0,ABS(L118)&gt;$P$4),"C","")))</f>
        <v>C</v>
      </c>
    </row>
    <row r="119" spans="1:17" ht="12.75" customHeight="1">
      <c r="A119" s="24">
        <v>6000</v>
      </c>
      <c r="B119" s="414">
        <v>2710</v>
      </c>
      <c r="C119" s="25" t="str">
        <f t="shared" si="41"/>
        <v/>
      </c>
      <c r="D119" s="25" t="str">
        <f t="shared" si="22"/>
        <v/>
      </c>
      <c r="E119" s="5" t="s">
        <v>291</v>
      </c>
      <c r="H119" s="12">
        <f>'ExhA&amp;B'!D122</f>
        <v>0</v>
      </c>
      <c r="J119" s="12">
        <f>IF(ISNA(INDEX('2022PKG'!$1:$1048576,MATCH($B119,'2022PKG'!$A:$A,0),MATCH($E$2,'2022PKG'!$1:$1,0))),0,(INDEX('2022PKG'!$1:$1048576,MATCH($B119,'2022PKG'!$A:$A,0),MATCH($E$2,'2022PKG'!$1:$1,0))))</f>
        <v>1009037.46</v>
      </c>
      <c r="L119" s="11">
        <f t="shared" si="45"/>
        <v>-1009037.46</v>
      </c>
      <c r="N119" s="17">
        <f t="shared" si="46"/>
        <v>-1</v>
      </c>
      <c r="P119" s="620" t="str">
        <f t="shared" si="42"/>
        <v/>
      </c>
    </row>
    <row r="120" spans="1:17" ht="12.75" customHeight="1">
      <c r="A120" s="24"/>
      <c r="B120" s="414">
        <v>2711</v>
      </c>
      <c r="C120" s="25"/>
      <c r="D120" s="25"/>
      <c r="E120" s="5" t="s">
        <v>292</v>
      </c>
      <c r="H120" s="12">
        <f>'ExhA&amp;B'!D123</f>
        <v>0</v>
      </c>
      <c r="J120" s="12">
        <f>IF(ISNA(INDEX('2022PKG'!$1:$1048576,MATCH($B120,'2022PKG'!$A:$A,0),MATCH($E$2,'2022PKG'!$1:$1,0))),0,(INDEX('2022PKG'!$1:$1048576,MATCH($B120,'2022PKG'!$A:$A,0),MATCH($E$2,'2022PKG'!$1:$1,0))))</f>
        <v>129872</v>
      </c>
      <c r="L120" s="11">
        <f t="shared" si="45"/>
        <v>-129872</v>
      </c>
      <c r="N120" s="17">
        <f t="shared" si="46"/>
        <v>-1</v>
      </c>
      <c r="P120" s="620" t="str">
        <f t="shared" si="42"/>
        <v/>
      </c>
    </row>
    <row r="121" spans="1:17" ht="12.75" customHeight="1">
      <c r="A121" s="24">
        <v>6050</v>
      </c>
      <c r="B121" s="414">
        <v>2760</v>
      </c>
      <c r="C121" s="25" t="str">
        <f t="shared" si="41"/>
        <v/>
      </c>
      <c r="D121" s="25" t="str">
        <f t="shared" si="22"/>
        <v/>
      </c>
      <c r="E121" s="5" t="s">
        <v>293</v>
      </c>
      <c r="H121" s="12">
        <f>'ExhA&amp;B'!D124</f>
        <v>0</v>
      </c>
      <c r="J121" s="12">
        <f>IF(ISNA(INDEX('2022PKG'!$1:$1048576,MATCH($B121,'2022PKG'!$A:$A,0),MATCH($E$2,'2022PKG'!$1:$1,0))),0,(INDEX('2022PKG'!$1:$1048576,MATCH($B121,'2022PKG'!$A:$A,0),MATCH($E$2,'2022PKG'!$1:$1,0))))</f>
        <v>4331.4799999999996</v>
      </c>
      <c r="L121" s="11">
        <f t="shared" si="45"/>
        <v>-4331.4799999999996</v>
      </c>
      <c r="N121" s="17">
        <f t="shared" si="46"/>
        <v>-1</v>
      </c>
      <c r="P121" s="620" t="str">
        <f t="shared" si="42"/>
        <v/>
      </c>
    </row>
    <row r="122" spans="1:17" ht="12.75" customHeight="1">
      <c r="A122" s="24">
        <v>6100</v>
      </c>
      <c r="B122" s="414">
        <v>2720</v>
      </c>
      <c r="C122" s="25" t="str">
        <f t="shared" si="41"/>
        <v/>
      </c>
      <c r="D122" s="25" t="str">
        <f t="shared" si="22"/>
        <v/>
      </c>
      <c r="E122" s="5" t="s">
        <v>294</v>
      </c>
      <c r="H122" s="12">
        <f>'ExhA&amp;B'!D125</f>
        <v>0</v>
      </c>
      <c r="J122" s="12">
        <f>IF(ISNA(INDEX('2022PKG'!$1:$1048576,MATCH($B122,'2022PKG'!$A:$A,0),MATCH($E$2,'2022PKG'!$1:$1,0))),0,(INDEX('2022PKG'!$1:$1048576,MATCH($B122,'2022PKG'!$A:$A,0),MATCH($E$2,'2022PKG'!$1:$1,0))))</f>
        <v>0</v>
      </c>
      <c r="L122" s="11">
        <f t="shared" si="45"/>
        <v>0</v>
      </c>
      <c r="N122" s="848">
        <f t="shared" si="46"/>
        <v>0</v>
      </c>
      <c r="P122" s="620" t="str">
        <f t="shared" si="42"/>
        <v/>
      </c>
    </row>
    <row r="123" spans="1:17" ht="12.75" customHeight="1">
      <c r="A123" s="24"/>
      <c r="B123" s="414">
        <v>2721</v>
      </c>
      <c r="C123" s="25"/>
      <c r="D123" s="25"/>
      <c r="E123" s="5" t="s">
        <v>295</v>
      </c>
      <c r="H123" s="12">
        <f>'ExhA&amp;B'!D126</f>
        <v>0</v>
      </c>
      <c r="J123" s="12">
        <f>IF(ISNA(INDEX('2022PKG'!$1:$1048576,MATCH($B123,'2022PKG'!$A:$A,0),MATCH($E$2,'2022PKG'!$1:$1,0))),0,(INDEX('2022PKG'!$1:$1048576,MATCH($B123,'2022PKG'!$A:$A,0),MATCH($E$2,'2022PKG'!$1:$1,0))))</f>
        <v>0</v>
      </c>
      <c r="L123" s="11">
        <f t="shared" ref="L123" si="50">H123-J123</f>
        <v>0</v>
      </c>
      <c r="N123" s="848">
        <f t="shared" ref="N123" si="51">IF(J123=0,0,L123/J123)</f>
        <v>0</v>
      </c>
      <c r="P123" s="620" t="str">
        <f t="shared" ref="P123" si="52">IF($H$39=0,"",IF(AND(ABS(L123)&gt;$P$4,ABS(N123)&gt;$P$3),"C",IF(AND(ABS(H123+J123)&gt;0,J123=0,ABS(L123)&gt;$P$4),"C","")))</f>
        <v/>
      </c>
      <c r="Q123" s="783" t="s">
        <v>146</v>
      </c>
    </row>
    <row r="124" spans="1:17" ht="12.75" customHeight="1">
      <c r="A124" s="24">
        <v>6125</v>
      </c>
      <c r="B124" s="414">
        <v>2800</v>
      </c>
      <c r="C124" s="25" t="str">
        <f t="shared" si="41"/>
        <v/>
      </c>
      <c r="D124" s="25" t="str">
        <f t="shared" si="22"/>
        <v/>
      </c>
      <c r="E124" s="5" t="s">
        <v>296</v>
      </c>
      <c r="H124" s="12">
        <f>'ExhA&amp;B'!D127</f>
        <v>0</v>
      </c>
      <c r="J124" s="12">
        <f>IF(ISNA(INDEX('2022PKG'!$1:$1048576,MATCH($B124,'2022PKG'!$A:$A,0),MATCH($E$2,'2022PKG'!$1:$1,0))),0,(INDEX('2022PKG'!$1:$1048576,MATCH($B124,'2022PKG'!$A:$A,0),MATCH($E$2,'2022PKG'!$1:$1,0))))</f>
        <v>0</v>
      </c>
      <c r="L124" s="11">
        <f>H124-J124</f>
        <v>0</v>
      </c>
      <c r="N124" s="17">
        <f>IF(J124=0,0,L124/J124)</f>
        <v>0</v>
      </c>
      <c r="P124" s="620" t="str">
        <f t="shared" si="42"/>
        <v/>
      </c>
    </row>
    <row r="125" spans="1:17" ht="12.75" customHeight="1">
      <c r="A125" s="24">
        <v>6150</v>
      </c>
      <c r="B125" s="414">
        <v>2810</v>
      </c>
      <c r="C125" s="25" t="str">
        <f t="shared" si="41"/>
        <v/>
      </c>
      <c r="D125" s="25" t="str">
        <f t="shared" si="22"/>
        <v/>
      </c>
      <c r="E125" s="5" t="s">
        <v>297</v>
      </c>
      <c r="H125" s="849">
        <f>'ExhA&amp;B'!D128</f>
        <v>0</v>
      </c>
      <c r="J125" s="12">
        <f>IF(ISNA(INDEX('2022PKG'!$1:$1048576,MATCH($B125,'2022PKG'!$A:$A,0),MATCH($E$2,'2022PKG'!$1:$1,0))),0,(INDEX('2022PKG'!$1:$1048576,MATCH($B125,'2022PKG'!$A:$A,0),MATCH($E$2,'2022PKG'!$1:$1,0))))</f>
        <v>-7695.47</v>
      </c>
      <c r="L125" s="11">
        <f t="shared" si="45"/>
        <v>7695.47</v>
      </c>
      <c r="N125" s="848">
        <f t="shared" si="46"/>
        <v>-1</v>
      </c>
      <c r="P125" s="620" t="str">
        <f t="shared" si="42"/>
        <v/>
      </c>
    </row>
    <row r="126" spans="1:17" ht="12.75" customHeight="1">
      <c r="A126" s="846">
        <v>6200</v>
      </c>
      <c r="B126" s="847"/>
      <c r="C126" s="25" t="str">
        <f t="shared" ref="C126:C136" si="53">IF(D126="","",RANK(D126,$D$6:$D$142,1))</f>
        <v/>
      </c>
      <c r="D126" s="25" t="str">
        <f t="shared" si="22"/>
        <v/>
      </c>
      <c r="E126" s="5" t="s">
        <v>298</v>
      </c>
      <c r="H126" s="79">
        <f>SUM(H114:H125)</f>
        <v>0</v>
      </c>
      <c r="J126" s="80">
        <f>SUM(J114:J125)</f>
        <v>44082551.399999999</v>
      </c>
      <c r="L126" s="80">
        <f>H126-J126</f>
        <v>-44082551.399999999</v>
      </c>
      <c r="N126" s="848">
        <f t="shared" si="46"/>
        <v>-1</v>
      </c>
      <c r="P126" s="20"/>
    </row>
    <row r="127" spans="1:17" ht="12.75" customHeight="1">
      <c r="A127" s="24">
        <v>6250</v>
      </c>
      <c r="B127" s="414"/>
      <c r="C127" s="25" t="str">
        <f t="shared" si="53"/>
        <v/>
      </c>
      <c r="D127" s="25" t="str">
        <f t="shared" si="22"/>
        <v/>
      </c>
      <c r="E127" s="5" t="s">
        <v>299</v>
      </c>
      <c r="H127" s="86">
        <f>H112+H126</f>
        <v>0</v>
      </c>
      <c r="J127" s="86">
        <f>J112+J126</f>
        <v>4942193.21</v>
      </c>
      <c r="L127" s="850">
        <f>H127-J127</f>
        <v>-4942193.21</v>
      </c>
      <c r="N127" s="17">
        <f>IF(J127=0,0,L127/J127)</f>
        <v>-1</v>
      </c>
      <c r="P127" s="61"/>
    </row>
    <row r="128" spans="1:17" ht="12.75" customHeight="1">
      <c r="A128" s="24">
        <v>6300</v>
      </c>
      <c r="B128" s="414">
        <v>2870</v>
      </c>
      <c r="C128" s="25" t="str">
        <f t="shared" si="53"/>
        <v/>
      </c>
      <c r="D128" s="25" t="str">
        <f>IF(P128="C",A128,"")</f>
        <v/>
      </c>
      <c r="E128" s="5" t="s">
        <v>300</v>
      </c>
      <c r="H128" s="12">
        <f>'ExhA&amp;B'!D131</f>
        <v>0</v>
      </c>
      <c r="J128" s="12">
        <f>IF(ISNA(INDEX('2022PKG'!$1:$1048576,MATCH($B128,'2022PKG'!$A:$A,0),MATCH($E$2,'2022PKG'!$1:$1,0))),0,(INDEX('2022PKG'!$1:$1048576,MATCH($B128,'2022PKG'!$A:$A,0),MATCH($E$2,'2022PKG'!$1:$1,0))))</f>
        <v>0</v>
      </c>
      <c r="L128" s="86">
        <f>H128-J128</f>
        <v>0</v>
      </c>
      <c r="N128" s="17">
        <f>IF(J128=0,0,L128/J128)</f>
        <v>0</v>
      </c>
      <c r="P128" s="620" t="str">
        <f t="shared" ref="P128:P134" si="54">IF($H$39=0,"",IF(AND(ABS(L128)&gt;$P$4,ABS(N128)&gt;$P$3),"C",IF(AND(ABS(H128+J128)&gt;0,J128=0,ABS(L128)&gt;$P$4),"C","")))</f>
        <v/>
      </c>
    </row>
    <row r="129" spans="1:16" ht="12.75" customHeight="1">
      <c r="A129" s="24">
        <v>6325</v>
      </c>
      <c r="B129" s="414">
        <v>2860</v>
      </c>
      <c r="C129" s="25">
        <f t="shared" si="53"/>
        <v>12</v>
      </c>
      <c r="D129" s="25">
        <f t="shared" si="22"/>
        <v>6325</v>
      </c>
      <c r="E129" s="5" t="s">
        <v>301</v>
      </c>
      <c r="H129" s="12">
        <f>'ExhA&amp;B'!D132</f>
        <v>0</v>
      </c>
      <c r="J129" s="12">
        <f>IF(ISNA(INDEX('2022PKG'!$1:$1048576,MATCH($B129,'2022PKG'!$A:$A,0),MATCH($E$2,'2022PKG'!$1:$1,0))),0,(INDEX('2022PKG'!$1:$1048576,MATCH($B129,'2022PKG'!$A:$A,0),MATCH($E$2,'2022PKG'!$1:$1,0))))</f>
        <v>14606743.24</v>
      </c>
      <c r="L129" s="86">
        <f>H129-J129</f>
        <v>-14606743.24</v>
      </c>
      <c r="N129" s="17">
        <f>IF(J129=0,0,L129/J129)</f>
        <v>-1</v>
      </c>
      <c r="P129" s="620" t="str">
        <f t="shared" si="54"/>
        <v>C</v>
      </c>
    </row>
    <row r="130" spans="1:16" ht="12.75" customHeight="1">
      <c r="A130" s="24">
        <v>6350</v>
      </c>
      <c r="B130" s="414">
        <v>2880</v>
      </c>
      <c r="C130" s="25" t="str">
        <f t="shared" si="53"/>
        <v/>
      </c>
      <c r="D130" s="25" t="str">
        <f t="shared" si="22"/>
        <v/>
      </c>
      <c r="E130" s="5" t="s">
        <v>476</v>
      </c>
      <c r="H130" s="12">
        <f>'ExhA&amp;B'!D133</f>
        <v>0</v>
      </c>
      <c r="J130" s="12">
        <f>IF(ISNA(INDEX('2022PKG'!$1:$1048576,MATCH($B130,'2022PKG'!$A:$A,0),MATCH($E$2,'2022PKG'!$1:$1,0))),0,(INDEX('2022PKG'!$1:$1048576,MATCH($B130,'2022PKG'!$A:$A,0),MATCH($E$2,'2022PKG'!$1:$1,0))))</f>
        <v>75520.67</v>
      </c>
      <c r="L130" s="11">
        <f t="shared" si="45"/>
        <v>-75520.67</v>
      </c>
      <c r="N130" s="17">
        <f t="shared" si="46"/>
        <v>-1</v>
      </c>
      <c r="P130" s="620" t="str">
        <f t="shared" si="54"/>
        <v/>
      </c>
    </row>
    <row r="131" spans="1:16" ht="12.75" customHeight="1">
      <c r="A131" s="24">
        <v>6400</v>
      </c>
      <c r="B131" s="414">
        <v>2890</v>
      </c>
      <c r="C131" s="25" t="str">
        <f t="shared" si="53"/>
        <v/>
      </c>
      <c r="D131" s="25" t="str">
        <f t="shared" si="22"/>
        <v/>
      </c>
      <c r="E131" s="5" t="s">
        <v>304</v>
      </c>
      <c r="H131" s="12">
        <f>'ExhA&amp;B'!D134</f>
        <v>0</v>
      </c>
      <c r="J131" s="12">
        <f>IF(ISNA(INDEX('2022PKG'!$1:$1048576,MATCH($B131,'2022PKG'!$A:$A,0),MATCH($E$2,'2022PKG'!$1:$1,0))),0,(INDEX('2022PKG'!$1:$1048576,MATCH($B131,'2022PKG'!$A:$A,0),MATCH($E$2,'2022PKG'!$1:$1,0))))</f>
        <v>0</v>
      </c>
      <c r="L131" s="11">
        <f>H131-J131</f>
        <v>0</v>
      </c>
      <c r="N131" s="17">
        <f t="shared" ref="N131:N139" si="55">IF(J131=0,0,L131/J131)</f>
        <v>0</v>
      </c>
      <c r="P131" s="620" t="str">
        <f t="shared" si="54"/>
        <v/>
      </c>
    </row>
    <row r="132" spans="1:16" ht="12.75" customHeight="1">
      <c r="A132" s="24">
        <v>6450</v>
      </c>
      <c r="B132" s="414">
        <v>2900</v>
      </c>
      <c r="C132" s="25" t="str">
        <f t="shared" si="53"/>
        <v/>
      </c>
      <c r="D132" s="25" t="str">
        <f t="shared" si="22"/>
        <v/>
      </c>
      <c r="E132" s="5" t="s">
        <v>305</v>
      </c>
      <c r="H132" s="12">
        <f>'ExhA&amp;B'!D135</f>
        <v>0</v>
      </c>
      <c r="J132" s="12">
        <f>IF(ISNA(INDEX('2022PKG'!$1:$1048576,MATCH($B132,'2022PKG'!$A:$A,0),MATCH($E$2,'2022PKG'!$1:$1,0))),0,(INDEX('2022PKG'!$1:$1048576,MATCH($B132,'2022PKG'!$A:$A,0),MATCH($E$2,'2022PKG'!$1:$1,0))))</f>
        <v>0</v>
      </c>
      <c r="L132" s="11">
        <f>H132-J132</f>
        <v>0</v>
      </c>
      <c r="N132" s="17">
        <f t="shared" si="55"/>
        <v>0</v>
      </c>
      <c r="P132" s="620" t="str">
        <f t="shared" si="54"/>
        <v/>
      </c>
    </row>
    <row r="133" spans="1:16" ht="12.75" customHeight="1">
      <c r="A133" s="24">
        <v>6550</v>
      </c>
      <c r="B133" s="414">
        <v>2950</v>
      </c>
      <c r="C133" s="25" t="str">
        <f t="shared" si="53"/>
        <v/>
      </c>
      <c r="D133" s="25" t="str">
        <f t="shared" si="22"/>
        <v/>
      </c>
      <c r="E133" s="5" t="s">
        <v>306</v>
      </c>
      <c r="H133" s="12">
        <f>'ExhA&amp;B'!D136</f>
        <v>0</v>
      </c>
      <c r="J133" s="12">
        <f>IF(ISNA(INDEX('2022PKG'!$1:$1048576,MATCH($B133,'2022PKG'!$A:$A,0),MATCH($E$2,'2022PKG'!$1:$1,0))),0,(INDEX('2022PKG'!$1:$1048576,MATCH($B133,'2022PKG'!$A:$A,0),MATCH($E$2,'2022PKG'!$1:$1,0))))</f>
        <v>0</v>
      </c>
      <c r="L133" s="11">
        <f>H133-J133</f>
        <v>0</v>
      </c>
      <c r="N133" s="848">
        <f t="shared" si="55"/>
        <v>0</v>
      </c>
      <c r="P133" s="620" t="str">
        <f t="shared" si="54"/>
        <v/>
      </c>
    </row>
    <row r="134" spans="1:16" ht="12.75" customHeight="1">
      <c r="A134" s="24">
        <v>6600</v>
      </c>
      <c r="B134" s="414">
        <v>2951</v>
      </c>
      <c r="C134" s="25" t="str">
        <f t="shared" si="53"/>
        <v/>
      </c>
      <c r="D134" s="25" t="str">
        <f t="shared" si="22"/>
        <v/>
      </c>
      <c r="E134" s="5" t="s">
        <v>307</v>
      </c>
      <c r="H134" s="849">
        <f>'ExhA&amp;B'!D137</f>
        <v>0</v>
      </c>
      <c r="J134" s="12">
        <f>IF(ISNA(INDEX('2022PKG'!$1:$1048576,MATCH($B134,'2022PKG'!$A:$A,0),MATCH($E$2,'2022PKG'!$1:$1,0))),0,(INDEX('2022PKG'!$1:$1048576,MATCH($B134,'2022PKG'!$A:$A,0),MATCH($E$2,'2022PKG'!$1:$1,0))))</f>
        <v>0</v>
      </c>
      <c r="L134" s="842">
        <f>H134-J134</f>
        <v>0</v>
      </c>
      <c r="N134" s="848">
        <f t="shared" si="55"/>
        <v>0</v>
      </c>
      <c r="P134" s="620" t="str">
        <f t="shared" si="54"/>
        <v/>
      </c>
    </row>
    <row r="135" spans="1:16" ht="12.75" customHeight="1">
      <c r="A135" s="846">
        <v>6650</v>
      </c>
      <c r="B135" s="847"/>
      <c r="C135" s="25" t="str">
        <f t="shared" si="53"/>
        <v/>
      </c>
      <c r="D135" s="25" t="str">
        <f t="shared" si="22"/>
        <v/>
      </c>
      <c r="E135" s="5" t="s">
        <v>308</v>
      </c>
      <c r="H135" s="12">
        <f>SUM(H127:H134)</f>
        <v>0</v>
      </c>
      <c r="J135" s="826">
        <f>SUM(J127:J134)</f>
        <v>19624457.120000001</v>
      </c>
      <c r="L135" s="11">
        <f>H135-J135</f>
        <v>-19624457.120000001</v>
      </c>
      <c r="N135" s="848">
        <f t="shared" si="55"/>
        <v>-1</v>
      </c>
      <c r="P135" s="20"/>
    </row>
    <row r="136" spans="1:16" ht="12.75" customHeight="1">
      <c r="A136" s="24">
        <v>6700</v>
      </c>
      <c r="B136" s="414"/>
      <c r="C136" s="25" t="str">
        <f t="shared" si="53"/>
        <v/>
      </c>
      <c r="D136" s="25" t="str">
        <f t="shared" si="22"/>
        <v/>
      </c>
      <c r="E136" s="363" t="s">
        <v>237</v>
      </c>
      <c r="H136" s="12"/>
      <c r="J136" s="12"/>
      <c r="N136" s="17"/>
      <c r="P136" s="61"/>
    </row>
    <row r="137" spans="1:16" ht="12.75" customHeight="1">
      <c r="A137" s="24">
        <v>6750</v>
      </c>
      <c r="B137" s="414">
        <v>2980</v>
      </c>
      <c r="C137" s="25" t="str">
        <f>IF(D137="","",RANK(D137,$D$9:$D$142,1))</f>
        <v/>
      </c>
      <c r="D137" s="25" t="str">
        <f>IF(O137="C",A137,"")</f>
        <v/>
      </c>
      <c r="E137" s="5" t="s">
        <v>309</v>
      </c>
      <c r="H137" s="12">
        <f>'ExhA&amp;B'!D140</f>
        <v>41498609.57</v>
      </c>
      <c r="J137" s="12">
        <f>IF(ISNA(INDEX('2022PKG'!$1:$1048576,MATCH($B137,'2022PKG'!$A:$A,0),MATCH($E$2,'2022PKG'!$1:$1,0))),0,(INDEX('2022PKG'!$1:$1048576,MATCH($B137,'2022PKG'!$A:$A,0),MATCH($E$2,'2022PKG'!$1:$1,0))))</f>
        <v>21265670.600000001</v>
      </c>
      <c r="L137" s="11">
        <f>H137-J137</f>
        <v>20232938.969999999</v>
      </c>
      <c r="N137" s="17">
        <f t="shared" si="55"/>
        <v>0.95140000000000002</v>
      </c>
      <c r="O137" s="467" t="s">
        <v>468</v>
      </c>
      <c r="P137" s="20"/>
    </row>
    <row r="138" spans="1:16" ht="12.75" customHeight="1">
      <c r="A138" s="24">
        <v>6800</v>
      </c>
      <c r="B138" s="414">
        <v>2990</v>
      </c>
      <c r="C138" s="25" t="str">
        <f>IF(D138="","",RANK(D138,$D$9:$D$142,1))</f>
        <v/>
      </c>
      <c r="D138" s="25" t="str">
        <f>IF(P138="C",A138,"")</f>
        <v/>
      </c>
      <c r="E138" s="5" t="s">
        <v>310</v>
      </c>
      <c r="H138" s="12">
        <f>'ExhA&amp;B'!D141</f>
        <v>0</v>
      </c>
      <c r="J138" s="12">
        <f>IF(ISNA(INDEX('2022PKG'!$1:$1048576,MATCH($B138,'2022PKG'!$A:$A,0),MATCH($E$2,'2022PKG'!$1:$1,0))),0,(INDEX('2022PKG'!$1:$1048576,MATCH($B138,'2022PKG'!$A:$A,0),MATCH($E$2,'2022PKG'!$1:$1,0))))</f>
        <v>608481.85</v>
      </c>
      <c r="L138" s="11">
        <f>H138-J138</f>
        <v>-608481.85</v>
      </c>
      <c r="N138" s="17">
        <f t="shared" si="55"/>
        <v>-1</v>
      </c>
      <c r="O138" s="467" t="s">
        <v>468</v>
      </c>
      <c r="P138" s="61" t="s">
        <v>468</v>
      </c>
    </row>
    <row r="139" spans="1:16" s="177" customFormat="1" ht="12.75" customHeight="1" thickBot="1">
      <c r="A139" s="174">
        <v>6850</v>
      </c>
      <c r="B139" s="415"/>
      <c r="C139" s="175" t="str">
        <f>IF(D139="","",RANK(D139,$D$6:$D$142,1))</f>
        <v/>
      </c>
      <c r="D139" s="175"/>
      <c r="E139" s="5" t="s">
        <v>311</v>
      </c>
      <c r="F139" s="851"/>
      <c r="G139" s="176"/>
      <c r="H139" s="827">
        <f>SUM(H135:H138)</f>
        <v>41498609.57</v>
      </c>
      <c r="I139" s="11"/>
      <c r="J139" s="827">
        <f>SUM(J135:J138)</f>
        <v>41498609.57</v>
      </c>
      <c r="K139" s="11"/>
      <c r="L139" s="852">
        <f>H139-J139</f>
        <v>0</v>
      </c>
      <c r="M139" s="1"/>
      <c r="N139" s="848">
        <f t="shared" si="55"/>
        <v>0</v>
      </c>
      <c r="P139" s="61" t="str">
        <f>IF($H$139=0,"",IF(AND(ABS((H138+J138)/($H$139+$J$139))&gt;$P$4,ABS(N138)&gt;$P$3),"C",IF(AND(ABS(H138+J138)&gt;0,J138=0,H138/$H$139&gt;$P$4*2),"C","")))</f>
        <v/>
      </c>
    </row>
    <row r="140" spans="1:16" ht="12.75" customHeight="1" thickTop="1">
      <c r="A140" s="24">
        <v>6900</v>
      </c>
      <c r="B140" s="414"/>
      <c r="C140" s="25" t="str">
        <f>IF(D140="","",RANK(D140,$D$6:$D$142,1))</f>
        <v/>
      </c>
      <c r="D140" s="25" t="str">
        <f t="shared" si="22"/>
        <v/>
      </c>
      <c r="E140" s="5"/>
      <c r="H140" s="470"/>
      <c r="I140" s="78"/>
      <c r="J140" s="470"/>
      <c r="K140" s="78"/>
      <c r="L140" s="78"/>
      <c r="N140" s="17"/>
      <c r="P140" s="61"/>
    </row>
    <row r="141" spans="1:16" ht="12.75" customHeight="1">
      <c r="A141" s="24"/>
      <c r="B141" s="414"/>
      <c r="C141" s="25"/>
      <c r="D141" s="25"/>
      <c r="F141" s="20"/>
      <c r="H141" s="14"/>
      <c r="J141" s="14"/>
      <c r="P141" s="26"/>
    </row>
    <row r="142" spans="1:16" ht="12.75" customHeight="1">
      <c r="A142" s="24"/>
      <c r="B142" s="414"/>
      <c r="C142" s="25" t="str">
        <f>IF(D142="","",RANK(D142,$D$6:$D$142,1))</f>
        <v/>
      </c>
      <c r="D142" s="25" t="str">
        <f t="shared" si="22"/>
        <v/>
      </c>
      <c r="H142" s="845" t="str">
        <f>IF(H88=H139,"In Bal.","NOT")</f>
        <v>NOT</v>
      </c>
      <c r="J142" s="845" t="str">
        <f>IF(J88=J139,"In Bal.","NOT")</f>
        <v>In Bal.</v>
      </c>
      <c r="P142" s="20"/>
    </row>
    <row r="143" spans="1:16" ht="12.75" customHeight="1">
      <c r="A143" s="24"/>
      <c r="B143" s="414"/>
      <c r="C143" s="25" t="str">
        <f>IF(D143="","",RANK(D143,$D$6:$D$142,1))</f>
        <v/>
      </c>
      <c r="D143" s="25" t="str">
        <f t="shared" si="22"/>
        <v/>
      </c>
      <c r="H143" s="845"/>
      <c r="J143" s="845"/>
      <c r="P143" s="20"/>
    </row>
    <row r="144" spans="1:16" ht="12.75" customHeight="1">
      <c r="A144" s="24"/>
      <c r="B144" s="414"/>
      <c r="C144" s="25" t="str">
        <f>IF(D144="","",RANK(D144,$D$6:$D$142,1))</f>
        <v/>
      </c>
      <c r="D144" s="25" t="str">
        <f t="shared" si="22"/>
        <v/>
      </c>
      <c r="P144" s="20"/>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sheetData>
  <sheetProtection algorithmName="SHA-512" hashValue="3ttCGObFK0LUv+qOPoW+dQ07a0tlrBIFVnhPD0Km/kaZEUS5ebezFZxwQ+UTlb1CHgbltsS2tjrCn5BSADDsTQ==" saltValue="CX39hfn4hBokSByHKgV5Sg==" spinCount="100000" sheet="1" objects="1" scenarios="1" autoFilter="0"/>
  <customSheetViews>
    <customSheetView guid="{09B6E9FC-05EC-46D9-876B-83C9B6994F28}" showGridLines="0" hiddenColumns="1" showRuler="0" topLeftCell="D1">
      <selection activeCell="D9" sqref="D9"/>
      <rowBreaks count="1" manualBreakCount="1">
        <brk id="63" max="16383" man="1"/>
      </rowBreaks>
      <pageMargins left="0" right="0" top="0" bottom="0" header="0" footer="0"/>
      <pageSetup orientation="portrait" r:id="rId1"/>
      <headerFooter alignWithMargins="0">
        <oddFooter>&amp;L&amp;F &amp;D &amp;T&amp;R&amp;A Page &amp;P of &amp;N</oddFooter>
      </headerFooter>
    </customSheetView>
  </customSheetViews>
  <phoneticPr fontId="43" type="noConversion"/>
  <printOptions horizontalCentered="1"/>
  <pageMargins left="0.5" right="0.25" top="0.5" bottom="0.25" header="0.5" footer="0.25"/>
  <pageSetup scale="84" fitToHeight="0" orientation="portrait" r:id="rId2"/>
  <headerFooter alignWithMargins="0"/>
  <rowBreaks count="1" manualBreakCount="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68"/>
  <sheetViews>
    <sheetView showGridLines="0" zoomScaleNormal="100" workbookViewId="0">
      <selection activeCell="E17" sqref="E17:K17"/>
    </sheetView>
  </sheetViews>
  <sheetFormatPr defaultColWidth="10.7109375" defaultRowHeight="12.6"/>
  <cols>
    <col min="1" max="1" width="4.85546875" style="228" customWidth="1"/>
    <col min="2" max="2" width="3.85546875" style="228" customWidth="1"/>
    <col min="3" max="3" width="17.140625" style="228" customWidth="1"/>
    <col min="4" max="4" width="10.7109375" style="228" customWidth="1"/>
    <col min="5" max="5" width="12.85546875" style="228" customWidth="1"/>
    <col min="6" max="6" width="9.85546875" style="228" customWidth="1"/>
    <col min="7" max="7" width="6.85546875" style="228" customWidth="1"/>
    <col min="8" max="8" width="10.7109375" style="228" customWidth="1"/>
    <col min="9" max="9" width="8.85546875" style="228" customWidth="1"/>
    <col min="10" max="10" width="10.7109375" style="228" customWidth="1"/>
    <col min="11" max="11" width="17.140625" style="228" customWidth="1"/>
    <col min="12" max="12" width="4.140625" style="228" customWidth="1"/>
    <col min="13" max="16384" width="10.7109375" style="228"/>
  </cols>
  <sheetData>
    <row r="1" spans="1:20" ht="15.6">
      <c r="A1" s="1063" t="str">
        <f>+Index!$A$1</f>
        <v>Office of the State Controller</v>
      </c>
      <c r="B1" s="1063"/>
      <c r="C1" s="1063"/>
      <c r="D1" s="1063"/>
      <c r="E1" s="1063"/>
      <c r="F1" s="1063"/>
      <c r="G1" s="1063"/>
      <c r="H1" s="1063"/>
      <c r="I1" s="1063"/>
      <c r="J1" s="1063"/>
      <c r="K1" s="1063"/>
      <c r="L1" s="1075"/>
    </row>
    <row r="2" spans="1:20" ht="15.6">
      <c r="A2" s="1078" t="str">
        <f>+Index!$A$2</f>
        <v>2023 Year-End ACFR Package</v>
      </c>
      <c r="B2" s="1078"/>
      <c r="C2" s="1078"/>
      <c r="D2" s="1078"/>
      <c r="E2" s="1078"/>
      <c r="F2" s="1078"/>
      <c r="G2" s="1078"/>
      <c r="H2" s="1078"/>
      <c r="I2" s="1078"/>
      <c r="J2" s="1078"/>
      <c r="K2" s="1078"/>
      <c r="L2" s="1075"/>
    </row>
    <row r="3" spans="1:20" ht="15.6">
      <c r="A3" s="1079" t="s">
        <v>477</v>
      </c>
      <c r="B3" s="1079"/>
      <c r="C3" s="1079"/>
      <c r="D3" s="1079"/>
      <c r="E3" s="1079"/>
      <c r="F3" s="1079"/>
      <c r="G3" s="1079"/>
      <c r="H3" s="1079"/>
      <c r="I3" s="1079"/>
      <c r="J3" s="1079"/>
      <c r="K3" s="1079"/>
      <c r="L3" s="1075"/>
    </row>
    <row r="4" spans="1:20" ht="12.75" customHeight="1">
      <c r="A4" s="621"/>
      <c r="B4" s="621"/>
      <c r="C4" s="621"/>
      <c r="D4" s="621"/>
      <c r="E4" s="621"/>
      <c r="F4" s="621"/>
      <c r="G4" s="621"/>
      <c r="H4" s="621"/>
      <c r="I4" s="621"/>
      <c r="J4" s="621"/>
      <c r="K4" s="622"/>
      <c r="L4" s="232"/>
    </row>
    <row r="5" spans="1:20" ht="15.6">
      <c r="A5" s="853" t="s">
        <v>478</v>
      </c>
      <c r="B5" s="853"/>
      <c r="C5" s="623"/>
      <c r="D5" s="624"/>
      <c r="E5" s="992"/>
      <c r="F5" s="992"/>
      <c r="G5" s="854" t="s">
        <v>479</v>
      </c>
      <c r="H5" s="1080" t="str">
        <f>+Index!$D$10</f>
        <v>C0</v>
      </c>
      <c r="I5" s="1080"/>
      <c r="J5" s="1080"/>
      <c r="K5" s="1080"/>
    </row>
    <row r="6" spans="1:20" ht="15.6">
      <c r="A6" s="259"/>
      <c r="B6" s="259"/>
      <c r="C6" s="259"/>
      <c r="D6" s="259"/>
      <c r="E6" s="625"/>
      <c r="F6" s="992"/>
      <c r="G6" s="854" t="s">
        <v>480</v>
      </c>
      <c r="H6" s="1076" t="str">
        <f>+Index!$D$9</f>
        <v>Alamance Community College</v>
      </c>
      <c r="I6" s="1076"/>
      <c r="J6" s="1076"/>
      <c r="K6" s="1076"/>
    </row>
    <row r="7" spans="1:20" ht="15.6">
      <c r="A7" s="853"/>
      <c r="B7" s="853"/>
      <c r="C7" s="992"/>
      <c r="D7" s="626"/>
      <c r="E7" s="626"/>
      <c r="F7" s="992"/>
      <c r="G7" s="854" t="s">
        <v>481</v>
      </c>
      <c r="H7" s="1076" t="str">
        <f>CONCATENATE(Index!$D$11," ",Index!$D$12)</f>
        <v xml:space="preserve"> </v>
      </c>
      <c r="I7" s="1076"/>
      <c r="J7" s="1076"/>
      <c r="K7" s="1076"/>
    </row>
    <row r="8" spans="1:20" ht="12.75" customHeight="1" thickBot="1">
      <c r="A8" s="627"/>
      <c r="B8" s="627"/>
      <c r="C8" s="627"/>
      <c r="D8" s="627"/>
      <c r="E8" s="627"/>
      <c r="F8" s="627"/>
      <c r="G8" s="627"/>
      <c r="H8" s="627"/>
      <c r="I8" s="627"/>
      <c r="J8" s="627"/>
      <c r="K8" s="627"/>
    </row>
    <row r="9" spans="1:20" ht="12.75" customHeight="1">
      <c r="A9" s="992"/>
      <c r="B9" s="992"/>
      <c r="C9" s="992"/>
      <c r="D9" s="992"/>
      <c r="E9" s="992"/>
      <c r="F9" s="992"/>
      <c r="G9" s="992"/>
      <c r="H9" s="992"/>
      <c r="I9" s="992"/>
      <c r="J9" s="992"/>
      <c r="K9" s="992"/>
    </row>
    <row r="10" spans="1:20" ht="12" customHeight="1">
      <c r="A10" s="476" t="s">
        <v>482</v>
      </c>
      <c r="B10" s="476" t="s">
        <v>483</v>
      </c>
      <c r="C10" s="326"/>
      <c r="D10" s="326"/>
      <c r="E10" s="326"/>
      <c r="F10" s="326"/>
      <c r="G10" s="326"/>
      <c r="H10" s="326"/>
      <c r="I10" s="326"/>
      <c r="J10" s="326"/>
      <c r="K10" s="326"/>
    </row>
    <row r="11" spans="1:20" ht="12" customHeight="1">
      <c r="A11" s="476"/>
      <c r="B11" s="326" t="s">
        <v>484</v>
      </c>
      <c r="C11" s="326"/>
      <c r="D11" s="326"/>
      <c r="E11" s="326"/>
      <c r="F11" s="326"/>
      <c r="G11" s="326"/>
      <c r="H11" s="326"/>
      <c r="I11" s="326"/>
      <c r="J11" s="326"/>
      <c r="K11" s="326"/>
    </row>
    <row r="12" spans="1:20" ht="12" customHeight="1">
      <c r="A12" s="326"/>
      <c r="B12" s="628" t="s">
        <v>485</v>
      </c>
      <c r="C12" s="326" t="s">
        <v>486</v>
      </c>
      <c r="D12" s="326"/>
      <c r="E12" s="855" t="s">
        <v>485</v>
      </c>
      <c r="F12" s="326" t="s">
        <v>487</v>
      </c>
      <c r="G12" s="326"/>
      <c r="H12" s="629"/>
      <c r="I12" s="856"/>
      <c r="J12" s="629"/>
      <c r="K12" s="856"/>
    </row>
    <row r="13" spans="1:20" ht="12" customHeight="1">
      <c r="A13" s="326"/>
      <c r="B13" s="628" t="s">
        <v>485</v>
      </c>
      <c r="C13" s="326" t="s">
        <v>488</v>
      </c>
      <c r="D13" s="326"/>
      <c r="E13" s="855" t="s">
        <v>485</v>
      </c>
      <c r="F13" s="326" t="s">
        <v>489</v>
      </c>
      <c r="G13" s="326"/>
      <c r="H13" s="629"/>
      <c r="I13" s="856"/>
      <c r="J13" s="629"/>
      <c r="K13" s="856"/>
    </row>
    <row r="14" spans="1:20" ht="12" customHeight="1">
      <c r="A14" s="326"/>
      <c r="B14" s="326" t="s">
        <v>490</v>
      </c>
      <c r="C14" s="259"/>
      <c r="D14" s="326"/>
      <c r="E14" s="326"/>
      <c r="F14" s="326"/>
      <c r="G14" s="326"/>
      <c r="H14" s="629"/>
      <c r="I14" s="856"/>
      <c r="J14" s="1069" t="str">
        <f>IF(ISBLANK(E16)=TRUE,"Valuation Missing"," ")</f>
        <v xml:space="preserve"> </v>
      </c>
      <c r="K14" s="1070"/>
    </row>
    <row r="15" spans="1:20" ht="12" customHeight="1">
      <c r="A15" s="326"/>
      <c r="B15" s="326"/>
      <c r="C15" s="991" t="s">
        <v>491</v>
      </c>
      <c r="D15" s="326"/>
      <c r="E15" s="1077" t="s">
        <v>492</v>
      </c>
      <c r="F15" s="1077"/>
      <c r="G15" s="1077"/>
      <c r="H15" s="1077"/>
      <c r="I15" s="1077"/>
      <c r="J15" s="1077"/>
      <c r="K15" s="1077"/>
    </row>
    <row r="16" spans="1:20" ht="15.75" customHeight="1">
      <c r="A16" s="326"/>
      <c r="B16" s="326"/>
      <c r="C16" s="801" t="s">
        <v>493</v>
      </c>
      <c r="D16" s="326"/>
      <c r="E16" s="801" t="s">
        <v>146</v>
      </c>
      <c r="F16" s="801"/>
      <c r="G16" s="801"/>
      <c r="H16" s="801"/>
      <c r="I16" s="801"/>
      <c r="J16" s="801"/>
      <c r="K16" s="801"/>
      <c r="T16" s="228" t="s">
        <v>847</v>
      </c>
    </row>
    <row r="17" spans="1:13" ht="15.75" customHeight="1">
      <c r="A17" s="326"/>
      <c r="B17" s="326"/>
      <c r="C17" s="801"/>
      <c r="D17" s="326"/>
      <c r="E17" s="1068"/>
      <c r="F17" s="1068"/>
      <c r="G17" s="1068"/>
      <c r="H17" s="1068"/>
      <c r="I17" s="1068"/>
      <c r="J17" s="1068"/>
      <c r="K17" s="1068"/>
      <c r="M17" s="379"/>
    </row>
    <row r="18" spans="1:13" ht="15.75" customHeight="1">
      <c r="A18" s="326"/>
      <c r="B18" s="326"/>
      <c r="C18" s="857"/>
      <c r="D18" s="326"/>
      <c r="E18" s="1068"/>
      <c r="F18" s="1068"/>
      <c r="G18" s="1068"/>
      <c r="H18" s="1068"/>
      <c r="I18" s="1068"/>
      <c r="J18" s="1068"/>
      <c r="K18" s="1068"/>
      <c r="M18" s="379"/>
    </row>
    <row r="19" spans="1:13" ht="9.75" customHeight="1">
      <c r="A19" s="326"/>
      <c r="B19" s="326"/>
      <c r="C19" s="326"/>
      <c r="D19" s="326"/>
      <c r="E19" s="326"/>
      <c r="F19" s="326"/>
      <c r="G19" s="326"/>
      <c r="H19" s="629"/>
      <c r="I19" s="856"/>
      <c r="J19" s="629"/>
      <c r="K19" s="856"/>
    </row>
    <row r="20" spans="1:13" ht="12" customHeight="1">
      <c r="A20" s="476" t="s">
        <v>494</v>
      </c>
      <c r="B20" s="476" t="s">
        <v>317</v>
      </c>
      <c r="C20" s="326"/>
      <c r="D20" s="326"/>
      <c r="E20" s="326"/>
      <c r="F20" s="326"/>
      <c r="G20" s="326"/>
      <c r="H20" s="326"/>
      <c r="I20" s="326"/>
      <c r="J20" s="326"/>
      <c r="K20" s="326"/>
    </row>
    <row r="21" spans="1:13" ht="12" customHeight="1">
      <c r="A21" s="326"/>
      <c r="B21" s="630" t="s">
        <v>495</v>
      </c>
      <c r="C21" s="259"/>
      <c r="D21" s="326"/>
      <c r="E21" s="326"/>
      <c r="F21" s="326"/>
      <c r="G21" s="631"/>
      <c r="H21" s="797"/>
      <c r="I21" s="631"/>
      <c r="J21" s="797"/>
      <c r="K21" s="326"/>
    </row>
    <row r="22" spans="1:13" ht="12" customHeight="1">
      <c r="A22" s="326"/>
      <c r="B22" s="326" t="s">
        <v>496</v>
      </c>
      <c r="C22" s="259"/>
      <c r="D22" s="326"/>
      <c r="E22" s="326"/>
      <c r="F22" s="326"/>
      <c r="G22" s="631"/>
      <c r="H22" s="797"/>
      <c r="I22" s="631"/>
      <c r="J22" s="797"/>
      <c r="K22" s="326"/>
    </row>
    <row r="23" spans="1:13" ht="12" customHeight="1">
      <c r="A23" s="326"/>
      <c r="B23" s="326" t="s">
        <v>497</v>
      </c>
      <c r="C23" s="259"/>
      <c r="D23" s="326"/>
      <c r="E23" s="326"/>
      <c r="F23" s="326"/>
      <c r="G23" s="631"/>
      <c r="H23" s="797"/>
      <c r="I23" s="631"/>
      <c r="J23" s="797"/>
      <c r="K23" s="326"/>
    </row>
    <row r="24" spans="1:13" ht="12" customHeight="1">
      <c r="A24" s="326"/>
      <c r="B24" s="326" t="s">
        <v>498</v>
      </c>
      <c r="C24" s="259"/>
      <c r="D24" s="326"/>
      <c r="E24" s="326"/>
      <c r="F24" s="326"/>
      <c r="G24" s="631"/>
      <c r="H24" s="797"/>
      <c r="I24" s="631"/>
      <c r="J24" s="797"/>
      <c r="K24" s="326"/>
    </row>
    <row r="25" spans="1:13" ht="12" customHeight="1">
      <c r="A25" s="326"/>
      <c r="B25" s="259" t="s">
        <v>499</v>
      </c>
      <c r="C25" s="326" t="s">
        <v>500</v>
      </c>
      <c r="D25" s="326"/>
      <c r="E25" s="326"/>
      <c r="F25" s="326"/>
      <c r="G25" s="631"/>
      <c r="H25" s="631" t="s">
        <v>501</v>
      </c>
      <c r="I25" s="382"/>
      <c r="J25" s="631" t="s">
        <v>502</v>
      </c>
      <c r="K25" s="382"/>
    </row>
    <row r="26" spans="1:13" ht="12" customHeight="1">
      <c r="A26" s="326"/>
      <c r="B26" s="259"/>
      <c r="C26" s="476" t="s">
        <v>503</v>
      </c>
      <c r="D26" s="326"/>
      <c r="E26" s="326"/>
      <c r="F26" s="1074"/>
      <c r="G26" s="1074"/>
      <c r="H26" s="1074"/>
      <c r="I26" s="1074"/>
      <c r="J26" s="1074"/>
      <c r="K26" s="1074"/>
    </row>
    <row r="27" spans="1:13" ht="15.75" customHeight="1">
      <c r="A27" s="326"/>
      <c r="B27" s="259"/>
      <c r="C27" s="476"/>
      <c r="D27" s="326"/>
      <c r="E27" s="326"/>
      <c r="F27" s="798"/>
      <c r="G27" s="507"/>
      <c r="H27" s="507"/>
      <c r="I27" s="507"/>
      <c r="J27" s="1069" t="str">
        <f>IF(AND(ISBLANK($I$25),ISBLANK($K$25))=TRUE,"Answer Missing"," ")</f>
        <v>Answer Missing</v>
      </c>
      <c r="K27" s="1070"/>
      <c r="L27" s="1081"/>
      <c r="M27" s="1082"/>
    </row>
    <row r="28" spans="1:13" ht="15.75" customHeight="1">
      <c r="A28" s="326"/>
      <c r="B28" s="630" t="s">
        <v>504</v>
      </c>
      <c r="C28" s="476"/>
      <c r="D28" s="326"/>
      <c r="E28" s="326"/>
      <c r="F28" s="798"/>
      <c r="G28" s="507"/>
      <c r="H28" s="507"/>
      <c r="I28" s="507"/>
      <c r="J28" s="507"/>
      <c r="K28" s="507"/>
      <c r="L28" s="993"/>
      <c r="M28"/>
    </row>
    <row r="29" spans="1:13" ht="15.75" customHeight="1">
      <c r="A29" s="326"/>
      <c r="B29" s="966" t="s">
        <v>505</v>
      </c>
      <c r="C29" s="476"/>
      <c r="D29" s="326"/>
      <c r="E29" s="326"/>
      <c r="F29" s="798"/>
      <c r="G29" s="507"/>
      <c r="H29" s="507"/>
      <c r="I29" s="507"/>
      <c r="J29" s="507"/>
      <c r="K29" s="507"/>
      <c r="L29" s="993"/>
      <c r="M29"/>
    </row>
    <row r="30" spans="1:13" ht="15.75" customHeight="1">
      <c r="A30" s="326"/>
      <c r="B30" s="966" t="s">
        <v>506</v>
      </c>
      <c r="C30" s="476"/>
      <c r="D30" s="326"/>
      <c r="E30" s="326"/>
      <c r="F30" s="798"/>
      <c r="G30" s="507"/>
      <c r="H30" s="507"/>
      <c r="I30" s="507"/>
      <c r="J30" s="507"/>
      <c r="K30" s="507"/>
      <c r="L30" s="993"/>
      <c r="M30"/>
    </row>
    <row r="31" spans="1:13" ht="15.75" customHeight="1">
      <c r="A31" s="326"/>
      <c r="B31" s="259" t="s">
        <v>507</v>
      </c>
      <c r="C31" s="326" t="s">
        <v>508</v>
      </c>
      <c r="D31" s="326"/>
      <c r="E31" s="326"/>
      <c r="F31" s="326"/>
      <c r="G31" s="631"/>
      <c r="H31" s="631" t="s">
        <v>501</v>
      </c>
      <c r="I31" s="382"/>
      <c r="J31" s="631" t="s">
        <v>502</v>
      </c>
      <c r="K31" s="382"/>
      <c r="L31" s="993"/>
      <c r="M31"/>
    </row>
    <row r="32" spans="1:13" ht="15.75" customHeight="1">
      <c r="A32" s="326"/>
      <c r="B32" s="259" t="s">
        <v>509</v>
      </c>
      <c r="C32" s="326" t="s">
        <v>508</v>
      </c>
      <c r="D32" s="326"/>
      <c r="E32" s="326"/>
      <c r="F32" s="326"/>
      <c r="G32" s="631"/>
      <c r="H32" s="631" t="s">
        <v>501</v>
      </c>
      <c r="I32" s="382"/>
      <c r="J32" s="631" t="s">
        <v>502</v>
      </c>
      <c r="K32" s="382"/>
      <c r="L32" s="993"/>
      <c r="M32"/>
    </row>
    <row r="33" spans="1:19" ht="15.75" customHeight="1">
      <c r="A33" s="326"/>
      <c r="B33" s="259"/>
      <c r="C33" s="476" t="s">
        <v>503</v>
      </c>
      <c r="D33" s="326"/>
      <c r="E33" s="326"/>
      <c r="F33" s="1074"/>
      <c r="G33" s="1074"/>
      <c r="H33" s="1074"/>
      <c r="I33" s="1074"/>
      <c r="J33" s="1074"/>
      <c r="K33" s="1074"/>
      <c r="L33" s="993"/>
      <c r="M33"/>
    </row>
    <row r="34" spans="1:19" ht="15.75" customHeight="1">
      <c r="A34" s="326"/>
      <c r="B34" s="259"/>
      <c r="C34" s="476"/>
      <c r="D34" s="326"/>
      <c r="E34" s="326"/>
      <c r="F34" s="798"/>
      <c r="G34" s="507"/>
      <c r="H34" s="507"/>
      <c r="I34" s="507"/>
      <c r="J34" s="1069" t="str">
        <f>IF(AND(ISBLANK($I$31),ISBLANK($K$31))=TRUE,"Answer Missing"," ")</f>
        <v>Answer Missing</v>
      </c>
      <c r="K34" s="1070"/>
      <c r="L34" s="993"/>
      <c r="M34"/>
    </row>
    <row r="35" spans="1:19" ht="15.75" customHeight="1">
      <c r="A35" s="326"/>
      <c r="B35" s="259"/>
      <c r="C35" s="476"/>
      <c r="D35" s="326"/>
      <c r="E35" s="326"/>
      <c r="F35" s="858"/>
      <c r="G35" s="859"/>
      <c r="H35" s="859"/>
      <c r="I35" s="859"/>
      <c r="J35" s="1069" t="str">
        <f>IF(AND(ISBLANK($I$32),ISBLANK($K$32))=TRUE,"Answer Missing"," ")</f>
        <v>Answer Missing</v>
      </c>
      <c r="K35" s="1070"/>
      <c r="L35" s="993"/>
      <c r="M35"/>
    </row>
    <row r="36" spans="1:19" ht="14.1" customHeight="1">
      <c r="A36" s="326"/>
      <c r="B36" s="630" t="s">
        <v>510</v>
      </c>
      <c r="C36" s="326"/>
      <c r="D36" s="326"/>
      <c r="E36" s="1069" t="str">
        <f>IF(ISBLANK(C38)=TRUE,"Answer Missing"," ")</f>
        <v>Answer Missing</v>
      </c>
      <c r="F36" s="1070"/>
      <c r="G36" s="629"/>
      <c r="H36" s="629"/>
      <c r="I36" s="856"/>
      <c r="J36" s="259"/>
      <c r="K36" s="259"/>
    </row>
    <row r="37" spans="1:19" ht="12" customHeight="1">
      <c r="A37" s="326"/>
      <c r="B37" s="259" t="s">
        <v>511</v>
      </c>
      <c r="C37" s="326" t="s">
        <v>512</v>
      </c>
      <c r="D37" s="326"/>
      <c r="E37" s="326"/>
      <c r="F37" s="326"/>
      <c r="G37" s="629"/>
      <c r="H37" s="629"/>
      <c r="I37" s="856"/>
      <c r="J37" s="259"/>
      <c r="K37" s="259"/>
    </row>
    <row r="38" spans="1:19" ht="15.75" customHeight="1">
      <c r="A38" s="326"/>
      <c r="B38" s="326"/>
      <c r="C38" s="801"/>
      <c r="D38" s="802"/>
      <c r="E38" s="802"/>
      <c r="F38" s="802"/>
      <c r="G38" s="802"/>
      <c r="H38" s="802"/>
      <c r="I38" s="802"/>
      <c r="J38" s="802"/>
      <c r="K38" s="802"/>
    </row>
    <row r="39" spans="1:19" ht="12" customHeight="1">
      <c r="A39" s="326"/>
      <c r="B39" s="326"/>
      <c r="C39" s="326"/>
      <c r="D39" s="326"/>
      <c r="E39" s="326"/>
      <c r="F39" s="326"/>
      <c r="G39" s="629"/>
      <c r="H39" s="856"/>
      <c r="I39" s="629"/>
      <c r="J39" s="856"/>
      <c r="K39" s="326"/>
    </row>
    <row r="40" spans="1:19" ht="12" customHeight="1">
      <c r="A40" s="476" t="s">
        <v>513</v>
      </c>
      <c r="B40" s="476" t="s">
        <v>514</v>
      </c>
      <c r="C40" s="326"/>
      <c r="D40" s="326"/>
      <c r="E40" s="326"/>
      <c r="F40" s="326"/>
      <c r="G40" s="326"/>
      <c r="H40" s="326"/>
      <c r="I40" s="326"/>
      <c r="J40" s="326"/>
      <c r="K40" s="326"/>
    </row>
    <row r="41" spans="1:19" ht="12" customHeight="1">
      <c r="A41" s="326"/>
      <c r="B41" s="326" t="s">
        <v>515</v>
      </c>
      <c r="C41" s="326"/>
      <c r="D41" s="326"/>
      <c r="E41" s="326"/>
      <c r="F41" s="326"/>
      <c r="G41" s="326"/>
      <c r="H41" s="326"/>
      <c r="I41" s="326"/>
      <c r="J41" s="1069" t="str">
        <f>IF(AND(ISBLANK(I42),ISBLANK(K42))=TRUE,"Answer Missing"," ")</f>
        <v>Answer Missing</v>
      </c>
      <c r="K41" s="1070"/>
    </row>
    <row r="42" spans="1:19" ht="12" customHeight="1">
      <c r="A42" s="326"/>
      <c r="B42" s="326" t="s">
        <v>516</v>
      </c>
      <c r="C42" s="326"/>
      <c r="D42" s="326"/>
      <c r="E42" s="326"/>
      <c r="F42" s="326"/>
      <c r="G42" s="326"/>
      <c r="H42" s="629" t="s">
        <v>501</v>
      </c>
      <c r="I42" s="381"/>
      <c r="J42" s="629" t="s">
        <v>502</v>
      </c>
      <c r="K42" s="381"/>
    </row>
    <row r="43" spans="1:19" ht="12" customHeight="1">
      <c r="A43" s="326"/>
      <c r="B43" s="476" t="s">
        <v>517</v>
      </c>
      <c r="C43" s="326"/>
      <c r="D43" s="326"/>
      <c r="E43" s="1071" t="str">
        <f>IF(ISTEXT(I42), "Response for Yes needed", " ")</f>
        <v xml:space="preserve"> </v>
      </c>
      <c r="F43" s="1070"/>
      <c r="G43" s="1070"/>
      <c r="H43" s="259"/>
      <c r="I43" s="259"/>
      <c r="J43" s="259"/>
      <c r="K43" s="326"/>
    </row>
    <row r="44" spans="1:19" ht="15.75" customHeight="1">
      <c r="A44" s="326"/>
      <c r="B44" s="1073"/>
      <c r="C44" s="1073"/>
      <c r="D44" s="1073"/>
      <c r="E44" s="1073"/>
      <c r="F44" s="1073"/>
      <c r="G44" s="1073"/>
      <c r="H44" s="1073"/>
      <c r="I44" s="1073"/>
      <c r="J44" s="1073"/>
      <c r="K44" s="1073"/>
      <c r="S44" s="228" t="s">
        <v>146</v>
      </c>
    </row>
    <row r="45" spans="1:19" ht="15.75" customHeight="1">
      <c r="A45" s="326"/>
      <c r="B45" s="1068"/>
      <c r="C45" s="1068"/>
      <c r="D45" s="1068"/>
      <c r="E45" s="1068"/>
      <c r="F45" s="1068"/>
      <c r="G45" s="1068"/>
      <c r="H45" s="1068"/>
      <c r="I45" s="1068"/>
      <c r="J45" s="1068"/>
      <c r="K45" s="1068"/>
    </row>
    <row r="46" spans="1:19" ht="10.5" customHeight="1">
      <c r="A46" s="326"/>
      <c r="B46" s="326"/>
      <c r="C46" s="326"/>
      <c r="D46" s="326"/>
      <c r="E46" s="326"/>
      <c r="F46" s="326"/>
      <c r="G46" s="326"/>
      <c r="H46" s="326"/>
      <c r="I46" s="326"/>
      <c r="J46" s="326"/>
      <c r="K46" s="326"/>
    </row>
    <row r="47" spans="1:19" ht="12" customHeight="1">
      <c r="A47" s="476" t="s">
        <v>518</v>
      </c>
      <c r="B47" s="476" t="s">
        <v>519</v>
      </c>
      <c r="C47" s="326"/>
      <c r="D47" s="326"/>
      <c r="E47" s="326"/>
      <c r="F47" s="326"/>
      <c r="G47" s="326"/>
      <c r="H47" s="326"/>
      <c r="I47" s="326"/>
      <c r="J47" s="326"/>
      <c r="K47" s="326"/>
    </row>
    <row r="48" spans="1:19" ht="12" customHeight="1">
      <c r="A48" s="326"/>
      <c r="B48" s="326" t="s">
        <v>520</v>
      </c>
      <c r="C48" s="326"/>
      <c r="D48" s="326"/>
      <c r="E48" s="326"/>
      <c r="F48" s="326"/>
      <c r="G48" s="326"/>
      <c r="H48" s="326"/>
      <c r="I48" s="326"/>
      <c r="J48" s="1069" t="str">
        <f>IF(AND(ISBLANK(I49),ISBLANK(K49))=TRUE,"Answer Missing"," ")</f>
        <v>Answer Missing</v>
      </c>
      <c r="K48" s="1070"/>
    </row>
    <row r="49" spans="1:11" ht="12" customHeight="1">
      <c r="A49" s="259"/>
      <c r="B49" s="860" t="s">
        <v>521</v>
      </c>
      <c r="C49" s="259"/>
      <c r="D49" s="259"/>
      <c r="E49" s="259"/>
      <c r="F49" s="259"/>
      <c r="G49" s="259"/>
      <c r="H49" s="631" t="s">
        <v>501</v>
      </c>
      <c r="I49" s="382"/>
      <c r="J49" s="631" t="s">
        <v>502</v>
      </c>
      <c r="K49" s="989"/>
    </row>
    <row r="50" spans="1:11" ht="14.25" customHeight="1">
      <c r="A50" s="259"/>
      <c r="B50" s="259"/>
      <c r="C50" s="326" t="s">
        <v>522</v>
      </c>
      <c r="D50" s="259"/>
      <c r="E50" s="1072"/>
      <c r="F50" s="1072"/>
      <c r="G50" s="1072"/>
      <c r="H50" s="1072"/>
      <c r="I50" s="1072"/>
      <c r="J50" s="1072"/>
      <c r="K50" s="1072"/>
    </row>
    <row r="51" spans="1:11" ht="15.75" customHeight="1">
      <c r="A51" s="326"/>
      <c r="B51" s="1073"/>
      <c r="C51" s="1073"/>
      <c r="D51" s="1073"/>
      <c r="E51" s="1073"/>
      <c r="F51" s="1073"/>
      <c r="G51" s="1073"/>
      <c r="H51" s="1073"/>
      <c r="I51" s="1073"/>
      <c r="J51" s="1073"/>
      <c r="K51" s="1073"/>
    </row>
    <row r="52" spans="1:11" ht="15.75" customHeight="1">
      <c r="A52" s="326"/>
      <c r="B52" s="1068"/>
      <c r="C52" s="1068"/>
      <c r="D52" s="1068"/>
      <c r="E52" s="1068"/>
      <c r="F52" s="1068"/>
      <c r="G52" s="1068"/>
      <c r="H52" s="1068"/>
      <c r="I52" s="1068"/>
      <c r="J52" s="1068"/>
      <c r="K52" s="1068"/>
    </row>
    <row r="53" spans="1:11" ht="11.25" customHeight="1">
      <c r="A53" s="326"/>
      <c r="B53" s="326"/>
      <c r="C53" s="326"/>
      <c r="D53" s="326"/>
      <c r="E53" s="326"/>
      <c r="F53" s="326"/>
      <c r="G53" s="326"/>
      <c r="H53" s="326"/>
      <c r="I53" s="326"/>
      <c r="J53" s="326"/>
      <c r="K53" s="326"/>
    </row>
    <row r="54" spans="1:11">
      <c r="A54" s="476" t="s">
        <v>523</v>
      </c>
      <c r="B54" s="476" t="s">
        <v>524</v>
      </c>
      <c r="C54" s="326"/>
      <c r="D54" s="326"/>
      <c r="E54" s="326"/>
      <c r="F54" s="326"/>
      <c r="G54" s="326"/>
      <c r="H54" s="326"/>
      <c r="I54" s="326"/>
      <c r="J54" s="1069" t="str">
        <f>IF(AND(ISBLANK(I57),ISBLANK(K57))=TRUE,"Answer Missing"," ")</f>
        <v>Answer Missing</v>
      </c>
      <c r="K54" s="1070"/>
    </row>
    <row r="55" spans="1:11" ht="8.25" customHeight="1">
      <c r="A55" s="476"/>
      <c r="B55" s="476"/>
      <c r="C55" s="326"/>
      <c r="D55" s="326"/>
      <c r="E55" s="326"/>
      <c r="F55" s="326"/>
      <c r="G55" s="326"/>
      <c r="H55" s="326"/>
      <c r="I55" s="326"/>
      <c r="J55" s="326"/>
      <c r="K55" s="326"/>
    </row>
    <row r="56" spans="1:11">
      <c r="A56" s="326"/>
      <c r="B56" s="326" t="s">
        <v>525</v>
      </c>
      <c r="C56" s="326"/>
      <c r="D56" s="326"/>
      <c r="E56" s="326"/>
      <c r="F56" s="326"/>
      <c r="G56" s="326"/>
      <c r="H56" s="326"/>
      <c r="I56" s="326"/>
      <c r="J56" s="326"/>
      <c r="K56" s="326"/>
    </row>
    <row r="57" spans="1:11">
      <c r="A57" s="259"/>
      <c r="B57" s="860"/>
      <c r="C57" s="1083" t="str">
        <f>IF(ISTEXT(I57), "Response for Yes needed", " ")</f>
        <v xml:space="preserve"> </v>
      </c>
      <c r="D57" s="1070"/>
      <c r="E57" s="259"/>
      <c r="F57" s="259"/>
      <c r="G57" s="259"/>
      <c r="H57" s="631" t="s">
        <v>501</v>
      </c>
      <c r="I57" s="382"/>
      <c r="J57" s="631" t="s">
        <v>502</v>
      </c>
      <c r="K57" s="989"/>
    </row>
    <row r="58" spans="1:11">
      <c r="A58" s="259"/>
      <c r="B58" s="326" t="s">
        <v>526</v>
      </c>
      <c r="C58" s="259"/>
      <c r="D58" s="259"/>
      <c r="E58" s="259"/>
      <c r="G58" s="1072"/>
      <c r="H58" s="1072"/>
      <c r="I58" s="1072"/>
      <c r="J58" s="1072"/>
      <c r="K58" s="1072"/>
    </row>
    <row r="59" spans="1:11">
      <c r="A59" s="326"/>
      <c r="B59" s="1073"/>
      <c r="C59" s="1073"/>
      <c r="D59" s="1073"/>
      <c r="E59" s="1073"/>
      <c r="F59" s="1073"/>
      <c r="G59" s="1073"/>
      <c r="H59" s="1073"/>
      <c r="I59" s="1073"/>
      <c r="J59" s="1073"/>
      <c r="K59" s="1073"/>
    </row>
    <row r="60" spans="1:11">
      <c r="A60" s="326"/>
      <c r="B60" s="1068"/>
      <c r="C60" s="1068"/>
      <c r="D60" s="1068"/>
      <c r="E60" s="1068"/>
      <c r="F60" s="1068"/>
      <c r="G60" s="1068"/>
      <c r="H60" s="1068"/>
      <c r="I60" s="1068"/>
      <c r="J60" s="1068"/>
      <c r="K60" s="1068"/>
    </row>
    <row r="61" spans="1:11" ht="6" customHeight="1">
      <c r="A61" s="259"/>
      <c r="B61" s="259"/>
      <c r="C61" s="259"/>
      <c r="D61" s="259"/>
      <c r="E61" s="259"/>
      <c r="F61" s="259"/>
      <c r="G61" s="259"/>
      <c r="H61" s="259"/>
      <c r="I61" s="259"/>
      <c r="J61" s="259"/>
      <c r="K61" s="259"/>
    </row>
    <row r="62" spans="1:11">
      <c r="A62" s="259"/>
      <c r="B62" s="326" t="s">
        <v>527</v>
      </c>
      <c r="C62" s="326"/>
      <c r="D62" s="326"/>
      <c r="E62" s="326"/>
      <c r="F62" s="326"/>
      <c r="G62" s="326"/>
      <c r="H62" s="326"/>
      <c r="I62" s="326"/>
      <c r="J62" s="326"/>
      <c r="K62" s="326"/>
    </row>
    <row r="63" spans="1:11">
      <c r="A63" s="259"/>
      <c r="B63" s="326" t="s">
        <v>528</v>
      </c>
      <c r="C63" s="326"/>
      <c r="D63" s="326"/>
      <c r="E63" s="326"/>
      <c r="F63" s="326"/>
      <c r="G63" s="326"/>
      <c r="H63" s="326"/>
      <c r="I63" s="326"/>
      <c r="J63" s="1069" t="str">
        <f>IF(AND(ISBLANK(I64),ISBLANK(K64))=TRUE,"Answer Missing"," ")</f>
        <v>Answer Missing</v>
      </c>
      <c r="K63" s="1070"/>
    </row>
    <row r="64" spans="1:11">
      <c r="A64" s="259"/>
      <c r="B64" s="860"/>
      <c r="C64" s="1083" t="str">
        <f>IF(ISTEXT(I64), "Response for Yes needed", " ")</f>
        <v xml:space="preserve"> </v>
      </c>
      <c r="D64" s="1070"/>
      <c r="E64" s="259"/>
      <c r="F64" s="259"/>
      <c r="G64" s="259"/>
      <c r="H64" s="631" t="s">
        <v>529</v>
      </c>
      <c r="I64" s="382"/>
      <c r="J64" s="631" t="s">
        <v>502</v>
      </c>
      <c r="K64" s="989"/>
    </row>
    <row r="65" spans="1:11">
      <c r="A65" s="259"/>
      <c r="B65" s="326" t="s">
        <v>526</v>
      </c>
      <c r="C65" s="259"/>
      <c r="D65" s="259"/>
      <c r="E65" s="259"/>
      <c r="F65" s="730"/>
      <c r="G65" s="1072"/>
      <c r="H65" s="1072"/>
      <c r="I65" s="1072"/>
      <c r="J65" s="1072"/>
      <c r="K65" s="1072"/>
    </row>
    <row r="66" spans="1:11">
      <c r="A66" s="259"/>
      <c r="B66" s="1073"/>
      <c r="C66" s="1073"/>
      <c r="D66" s="1073"/>
      <c r="E66" s="1073"/>
      <c r="F66" s="1073"/>
      <c r="G66" s="1073"/>
      <c r="H66" s="1073"/>
      <c r="I66" s="1073"/>
      <c r="J66" s="1073"/>
      <c r="K66" s="1073"/>
    </row>
    <row r="67" spans="1:11">
      <c r="A67" s="259"/>
      <c r="B67" s="1068"/>
      <c r="C67" s="1068"/>
      <c r="D67" s="1068"/>
      <c r="E67" s="1068"/>
      <c r="F67" s="1068"/>
      <c r="G67" s="1068"/>
      <c r="H67" s="1068"/>
      <c r="I67" s="1068"/>
      <c r="J67" s="1068"/>
      <c r="K67" s="1068"/>
    </row>
    <row r="68" spans="1:11">
      <c r="A68" s="259"/>
      <c r="B68" s="476" t="s">
        <v>530</v>
      </c>
      <c r="C68" s="259"/>
      <c r="D68" s="259"/>
      <c r="E68" s="259"/>
      <c r="F68" s="259"/>
      <c r="G68" s="259"/>
      <c r="H68" s="259"/>
      <c r="I68" s="259"/>
      <c r="J68" s="259"/>
      <c r="K68" s="259"/>
    </row>
  </sheetData>
  <sheetProtection algorithmName="SHA-512" hashValue="ktz0vOS6fngjpnithptcPx0P6yTyU5lN8Afn3XfLqykVwd9RY4+2D8wNM4sonkM8W+w3S65sbWzW7zca+4VhdQ==" saltValue="FM2vHV6XUpZY4im2jOz/Nw==" spinCount="100000" sheet="1" objects="1" scenarios="1" autoFilter="0"/>
  <mergeCells count="36">
    <mergeCell ref="B66:K66"/>
    <mergeCell ref="B67:K67"/>
    <mergeCell ref="L27:M27"/>
    <mergeCell ref="C57:D57"/>
    <mergeCell ref="J63:K63"/>
    <mergeCell ref="C64:D64"/>
    <mergeCell ref="B59:K59"/>
    <mergeCell ref="G65:K65"/>
    <mergeCell ref="G58:K58"/>
    <mergeCell ref="F33:K33"/>
    <mergeCell ref="J27:K27"/>
    <mergeCell ref="J34:K34"/>
    <mergeCell ref="B60:K60"/>
    <mergeCell ref="J35:K35"/>
    <mergeCell ref="L1:L3"/>
    <mergeCell ref="A1:K1"/>
    <mergeCell ref="H6:K6"/>
    <mergeCell ref="H7:K7"/>
    <mergeCell ref="E15:K15"/>
    <mergeCell ref="A2:K2"/>
    <mergeCell ref="A3:K3"/>
    <mergeCell ref="H5:K5"/>
    <mergeCell ref="J14:K14"/>
    <mergeCell ref="E17:K17"/>
    <mergeCell ref="E18:K18"/>
    <mergeCell ref="J54:K54"/>
    <mergeCell ref="E36:F36"/>
    <mergeCell ref="J41:K41"/>
    <mergeCell ref="E43:G43"/>
    <mergeCell ref="J48:K48"/>
    <mergeCell ref="E50:K50"/>
    <mergeCell ref="B44:K44"/>
    <mergeCell ref="B45:K45"/>
    <mergeCell ref="B51:K51"/>
    <mergeCell ref="B52:K52"/>
    <mergeCell ref="F26:K26"/>
  </mergeCells>
  <phoneticPr fontId="43" type="noConversion"/>
  <conditionalFormatting sqref="C57:D57">
    <cfRule type="containsText" dxfId="80" priority="11" stopIfTrue="1" operator="containsText" text="Response for Yes needed">
      <formula>NOT(ISERROR(SEARCH("Response for Yes needed",C57)))</formula>
    </cfRule>
    <cfRule type="containsText" dxfId="79" priority="22" stopIfTrue="1" operator="containsText" text="Response for Yes needed">
      <formula>NOT(ISERROR(SEARCH("Response for Yes needed",C57)))</formula>
    </cfRule>
  </conditionalFormatting>
  <conditionalFormatting sqref="C64:D64">
    <cfRule type="containsText" dxfId="78" priority="9" stopIfTrue="1" operator="containsText" text="Response for Yes needed">
      <formula>NOT(ISERROR(SEARCH("Response for Yes needed",C64)))</formula>
    </cfRule>
    <cfRule type="containsText" dxfId="77" priority="20" stopIfTrue="1" operator="containsText" text="Response for Yes needed">
      <formula>NOT(ISERROR(SEARCH("Response for Yes needed",C64)))</formula>
    </cfRule>
  </conditionalFormatting>
  <conditionalFormatting sqref="E36">
    <cfRule type="containsText" dxfId="76" priority="28" stopIfTrue="1" operator="containsText" text="Answer Missing">
      <formula>NOT(ISERROR(SEARCH("Answer Missing",E36)))</formula>
    </cfRule>
  </conditionalFormatting>
  <conditionalFormatting sqref="E43">
    <cfRule type="containsText" dxfId="75" priority="25" stopIfTrue="1" operator="containsText" text="Response for Yes needed">
      <formula>NOT(ISERROR(SEARCH("Response for Yes needed",E43)))</formula>
    </cfRule>
  </conditionalFormatting>
  <conditionalFormatting sqref="E36:F36">
    <cfRule type="containsText" dxfId="74" priority="16" stopIfTrue="1" operator="containsText" text="Answer Missing">
      <formula>NOT(ISERROR(SEARCH("Answer Missing",E36)))</formula>
    </cfRule>
  </conditionalFormatting>
  <conditionalFormatting sqref="E43:G43">
    <cfRule type="containsText" dxfId="73" priority="14" stopIfTrue="1" operator="containsText" text="Response for Yes needed">
      <formula>NOT(ISERROR(SEARCH("Response for Yes needed",E43)))</formula>
    </cfRule>
  </conditionalFormatting>
  <conditionalFormatting sqref="J14">
    <cfRule type="containsText" dxfId="72" priority="33" stopIfTrue="1" operator="containsText" text="valuation missing">
      <formula>NOT(ISERROR(SEARCH("valuation missing",J14)))</formula>
    </cfRule>
  </conditionalFormatting>
  <conditionalFormatting sqref="J27">
    <cfRule type="containsText" dxfId="71" priority="5" stopIfTrue="1" operator="containsText" text="Answer Missing">
      <formula>NOT(ISERROR(SEARCH("Answer Missing",J27)))</formula>
    </cfRule>
  </conditionalFormatting>
  <conditionalFormatting sqref="J34:J35">
    <cfRule type="containsText" dxfId="70" priority="3" stopIfTrue="1" operator="containsText" text="Answer Missing">
      <formula>NOT(ISERROR(SEARCH("Answer Missing",J34)))</formula>
    </cfRule>
  </conditionalFormatting>
  <conditionalFormatting sqref="J41">
    <cfRule type="containsText" dxfId="69" priority="26" stopIfTrue="1" operator="containsText" text="Answer Missing">
      <formula>NOT(ISERROR(SEARCH("Answer Missing",J41)))</formula>
    </cfRule>
    <cfRule type="containsText" dxfId="68" priority="27" stopIfTrue="1" operator="containsText" text="Answer Missing">
      <formula>NOT(ISERROR(SEARCH("Answer Missing",J41)))</formula>
    </cfRule>
  </conditionalFormatting>
  <conditionalFormatting sqref="J14:K14">
    <cfRule type="containsText" dxfId="67" priority="19" stopIfTrue="1" operator="containsText" text="Valuation Missing">
      <formula>NOT(ISERROR(SEARCH("Valuation Missing",J14)))</formula>
    </cfRule>
    <cfRule type="containsText" dxfId="66" priority="30" stopIfTrue="1" operator="containsText" text="Valuation Missing">
      <formula>NOT(ISERROR(SEARCH("Valuation Missing",J14)))</formula>
    </cfRule>
  </conditionalFormatting>
  <conditionalFormatting sqref="J27:K27">
    <cfRule type="containsText" dxfId="65" priority="4" stopIfTrue="1" operator="containsText" text="Answer Missing">
      <formula>NOT(ISERROR(SEARCH("Answer Missing",J27)))</formula>
    </cfRule>
  </conditionalFormatting>
  <conditionalFormatting sqref="J34:K35">
    <cfRule type="containsText" dxfId="64" priority="1" stopIfTrue="1" operator="containsText" text="Answer Missing">
      <formula>NOT(ISERROR(SEARCH("Answer Missing",J34)))</formula>
    </cfRule>
  </conditionalFormatting>
  <conditionalFormatting sqref="J41:K41">
    <cfRule type="containsText" dxfId="63" priority="15" stopIfTrue="1" operator="containsText" text="Answer Missing">
      <formula>NOT(ISERROR(SEARCH("Answer Missing",J41)))</formula>
    </cfRule>
  </conditionalFormatting>
  <conditionalFormatting sqref="J48:K48">
    <cfRule type="containsText" dxfId="62" priority="13" stopIfTrue="1" operator="containsText" text="Answer Missing">
      <formula>NOT(ISERROR(SEARCH("Answer Missing",J48)))</formula>
    </cfRule>
    <cfRule type="containsText" dxfId="61" priority="24" stopIfTrue="1" operator="containsText" text="Answer Missing">
      <formula>NOT(ISERROR(SEARCH("Answer Missing",J48)))</formula>
    </cfRule>
  </conditionalFormatting>
  <conditionalFormatting sqref="J54:K54">
    <cfRule type="containsText" dxfId="60" priority="12" stopIfTrue="1" operator="containsText" text="Answer Missing">
      <formula>NOT(ISERROR(SEARCH("Answer Missing",J54)))</formula>
    </cfRule>
    <cfRule type="containsText" dxfId="59" priority="23" stopIfTrue="1" operator="containsText" text="Answer Missing">
      <formula>NOT(ISERROR(SEARCH("Answer Missing",J54)))</formula>
    </cfRule>
  </conditionalFormatting>
  <conditionalFormatting sqref="J63:K63">
    <cfRule type="containsText" dxfId="58" priority="10" stopIfTrue="1" operator="containsText" text="Answer Missing">
      <formula>NOT(ISERROR(SEARCH("Answer Missing",J63)))</formula>
    </cfRule>
    <cfRule type="containsText" dxfId="57" priority="21" stopIfTrue="1" operator="containsText" text="Answer Missing">
      <formula>NOT(ISERROR(SEARCH("Answer Missing",J63)))</formula>
    </cfRule>
  </conditionalFormatting>
  <conditionalFormatting sqref="L1:L3">
    <cfRule type="cellIs" dxfId="56" priority="34" stopIfTrue="1" operator="equal">
      <formula>"na"</formula>
    </cfRule>
  </conditionalFormatting>
  <conditionalFormatting sqref="L27:L35">
    <cfRule type="containsText" dxfId="55" priority="29" stopIfTrue="1" operator="containsText" text="Response for No needed">
      <formula>NOT(ISERROR(SEARCH("Response for No needed",L27)))</formula>
    </cfRule>
  </conditionalFormatting>
  <conditionalFormatting sqref="L27:M35">
    <cfRule type="containsText" dxfId="54" priority="17" stopIfTrue="1" operator="containsText" text="Response for No needed">
      <formula>NOT(ISERROR(SEARCH("Response for No needed",L27)))</formula>
    </cfRule>
  </conditionalFormatting>
  <hyperlinks>
    <hyperlink ref="A1:K1" location="Index!A1" display="Index!A1" xr:uid="{00000000-0004-0000-0700-000000000000}"/>
  </hyperlinks>
  <printOptions horizontalCentered="1"/>
  <pageMargins left="0.5" right="0.25" top="0.5" bottom="0.25" header="0.5" footer="0.25"/>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L68"/>
  <sheetViews>
    <sheetView showGridLines="0" zoomScaleNormal="100" workbookViewId="0">
      <selection activeCell="O39" sqref="O39"/>
    </sheetView>
  </sheetViews>
  <sheetFormatPr defaultColWidth="10.7109375" defaultRowHeight="12.6"/>
  <cols>
    <col min="1" max="1" width="4.85546875" style="228" customWidth="1"/>
    <col min="2" max="2" width="3.85546875" style="228" customWidth="1"/>
    <col min="3" max="3" width="17.140625" style="228" customWidth="1"/>
    <col min="4" max="4" width="10.7109375" style="228" customWidth="1"/>
    <col min="5" max="5" width="12.85546875" style="228" customWidth="1"/>
    <col min="6" max="6" width="9.85546875" style="228" customWidth="1"/>
    <col min="7" max="7" width="6.85546875" style="228" customWidth="1"/>
    <col min="8" max="8" width="10.7109375" style="228" customWidth="1"/>
    <col min="9" max="9" width="8.85546875" style="228" customWidth="1"/>
    <col min="10" max="10" width="10.7109375" style="228" customWidth="1"/>
    <col min="11" max="11" width="8.85546875" style="228" customWidth="1"/>
    <col min="12" max="12" width="7.85546875" style="228" customWidth="1"/>
    <col min="13" max="16384" width="10.7109375" style="228"/>
  </cols>
  <sheetData>
    <row r="1" spans="1:12" ht="15.6">
      <c r="A1" s="1063" t="str">
        <f>+Index!$A$1</f>
        <v>Office of the State Controller</v>
      </c>
      <c r="B1" s="1063"/>
      <c r="C1" s="1063"/>
      <c r="D1" s="1063"/>
      <c r="E1" s="1063"/>
      <c r="F1" s="1063"/>
      <c r="G1" s="1063"/>
      <c r="H1" s="1063"/>
      <c r="I1" s="1063"/>
      <c r="J1" s="1063"/>
      <c r="K1" s="1063"/>
      <c r="L1" s="1075"/>
    </row>
    <row r="2" spans="1:12" ht="15.6">
      <c r="A2" s="1078" t="str">
        <f>+Index!$A$2</f>
        <v>2023 Year-End ACFR Package</v>
      </c>
      <c r="B2" s="1078"/>
      <c r="C2" s="1078"/>
      <c r="D2" s="1078"/>
      <c r="E2" s="1078"/>
      <c r="F2" s="1078"/>
      <c r="G2" s="1078"/>
      <c r="H2" s="1078"/>
      <c r="I2" s="1078"/>
      <c r="J2" s="1078"/>
      <c r="K2" s="1078"/>
      <c r="L2" s="1075"/>
    </row>
    <row r="3" spans="1:12" ht="15.6">
      <c r="A3" s="1079" t="s">
        <v>531</v>
      </c>
      <c r="B3" s="1079"/>
      <c r="C3" s="1079"/>
      <c r="D3" s="1079"/>
      <c r="E3" s="1079"/>
      <c r="F3" s="1079"/>
      <c r="G3" s="1079"/>
      <c r="H3" s="1079"/>
      <c r="I3" s="1079"/>
      <c r="J3" s="1079"/>
      <c r="K3" s="1079"/>
      <c r="L3" s="1075"/>
    </row>
    <row r="4" spans="1:12" ht="12.75" customHeight="1">
      <c r="A4" s="230"/>
      <c r="B4" s="230"/>
      <c r="C4" s="230"/>
      <c r="D4" s="230"/>
      <c r="E4" s="230"/>
      <c r="F4" s="230"/>
      <c r="G4" s="230"/>
      <c r="H4" s="230"/>
      <c r="I4" s="230"/>
      <c r="J4" s="230"/>
      <c r="K4" s="231"/>
      <c r="L4" s="232"/>
    </row>
    <row r="5" spans="1:12" ht="15.6">
      <c r="A5" s="853" t="s">
        <v>478</v>
      </c>
      <c r="B5" s="861"/>
      <c r="C5" s="233"/>
      <c r="D5" s="234"/>
      <c r="E5" s="229"/>
      <c r="F5" s="992"/>
      <c r="G5" s="854" t="s">
        <v>479</v>
      </c>
      <c r="H5" s="1080" t="str">
        <f>+Index!$D$10</f>
        <v>C0</v>
      </c>
      <c r="I5" s="1080"/>
      <c r="J5" s="1080"/>
      <c r="K5" s="1080"/>
    </row>
    <row r="6" spans="1:12" ht="15.6">
      <c r="E6" s="235"/>
      <c r="F6" s="992"/>
      <c r="G6" s="854" t="s">
        <v>480</v>
      </c>
      <c r="H6" s="1076" t="str">
        <f>+Index!$D$9</f>
        <v>Alamance Community College</v>
      </c>
      <c r="I6" s="1076"/>
      <c r="J6" s="1076"/>
      <c r="K6" s="1076"/>
    </row>
    <row r="7" spans="1:12" ht="15.6">
      <c r="A7" s="861"/>
      <c r="B7" s="861"/>
      <c r="C7" s="229"/>
      <c r="D7" s="236"/>
      <c r="E7" s="236"/>
      <c r="F7" s="992"/>
      <c r="G7" s="854" t="s">
        <v>481</v>
      </c>
      <c r="H7" s="1094" t="str">
        <f>CONCATENATE(Index!$D$11," ",Index!$D$12)</f>
        <v xml:space="preserve"> </v>
      </c>
      <c r="I7" s="1094"/>
      <c r="J7" s="1094"/>
      <c r="K7" s="1094"/>
    </row>
    <row r="8" spans="1:12" ht="12.75" customHeight="1" thickBot="1">
      <c r="A8" s="237"/>
      <c r="B8" s="237"/>
      <c r="C8" s="237"/>
      <c r="D8" s="237"/>
      <c r="E8" s="237"/>
      <c r="F8" s="237"/>
      <c r="G8" s="237"/>
      <c r="H8" s="237"/>
      <c r="I8" s="237"/>
      <c r="J8" s="237"/>
      <c r="K8" s="237"/>
    </row>
    <row r="9" spans="1:12" ht="6" customHeight="1"/>
    <row r="10" spans="1:12" s="259" customFormat="1" ht="12.75" customHeight="1">
      <c r="A10" s="1084" t="s">
        <v>532</v>
      </c>
      <c r="B10" s="1084"/>
      <c r="C10" s="1084"/>
      <c r="D10" s="1084"/>
      <c r="E10" s="1084"/>
      <c r="F10" s="1084"/>
      <c r="G10" s="1084"/>
      <c r="H10" s="1084"/>
      <c r="I10" s="1084"/>
      <c r="J10" s="1084"/>
      <c r="K10" s="1084"/>
    </row>
    <row r="11" spans="1:12" s="259" customFormat="1" ht="36" customHeight="1">
      <c r="A11" s="1084"/>
      <c r="B11" s="1084"/>
      <c r="C11" s="1084"/>
      <c r="D11" s="1084"/>
      <c r="E11" s="1084"/>
      <c r="F11" s="1084"/>
      <c r="G11" s="1084"/>
      <c r="H11" s="1084"/>
      <c r="I11" s="1084"/>
      <c r="J11" s="1084"/>
      <c r="K11" s="1084"/>
    </row>
    <row r="12" spans="1:12" s="259" customFormat="1" ht="17.25" customHeight="1">
      <c r="A12" s="737" t="s">
        <v>533</v>
      </c>
      <c r="B12" s="737"/>
      <c r="C12" s="737"/>
      <c r="D12" s="737"/>
      <c r="E12" s="737"/>
      <c r="F12" s="737"/>
      <c r="G12" s="737"/>
      <c r="H12" s="737"/>
      <c r="I12" s="737"/>
      <c r="J12" s="366"/>
      <c r="K12" s="367"/>
    </row>
    <row r="13" spans="1:12" s="268" customFormat="1" ht="11.25" customHeight="1">
      <c r="A13" s="936"/>
      <c r="B13" s="936"/>
      <c r="C13" s="936"/>
      <c r="D13" s="936"/>
      <c r="E13" s="936"/>
      <c r="F13" s="936"/>
      <c r="G13" s="936"/>
      <c r="H13" s="936"/>
      <c r="I13" s="936"/>
      <c r="J13" s="259"/>
    </row>
    <row r="14" spans="1:12" s="268" customFormat="1" ht="26.25" customHeight="1">
      <c r="A14" s="936"/>
      <c r="B14" s="963">
        <v>1</v>
      </c>
      <c r="C14" s="1084" t="s">
        <v>534</v>
      </c>
      <c r="D14" s="1084"/>
      <c r="E14" s="1084"/>
      <c r="F14" s="1084"/>
      <c r="G14" s="1084"/>
      <c r="H14" s="1084"/>
      <c r="I14" s="1084"/>
      <c r="J14" s="1084"/>
      <c r="K14" s="1084"/>
    </row>
    <row r="15" spans="1:12" s="268" customFormat="1" ht="26.25" customHeight="1">
      <c r="A15" s="936"/>
      <c r="B15" s="963">
        <v>2</v>
      </c>
      <c r="C15" s="1084" t="s">
        <v>535</v>
      </c>
      <c r="D15" s="1084"/>
      <c r="E15" s="1084"/>
      <c r="F15" s="1084"/>
      <c r="G15" s="1084"/>
      <c r="H15" s="1084"/>
      <c r="I15" s="1084"/>
      <c r="J15" s="1084"/>
      <c r="K15" s="1084"/>
    </row>
    <row r="16" spans="1:12" s="268" customFormat="1" ht="12.75" customHeight="1">
      <c r="A16" s="936"/>
      <c r="B16" s="963">
        <v>3</v>
      </c>
      <c r="C16" s="1084" t="s">
        <v>536</v>
      </c>
      <c r="D16" s="1084"/>
      <c r="E16" s="1084"/>
      <c r="F16" s="1084"/>
      <c r="G16" s="1084"/>
      <c r="H16" s="1084"/>
      <c r="I16" s="1084"/>
      <c r="J16" s="259"/>
      <c r="K16" s="259"/>
    </row>
    <row r="17" spans="1:11" s="268" customFormat="1" ht="12.75" customHeight="1">
      <c r="A17" s="936"/>
      <c r="B17" s="963">
        <v>4</v>
      </c>
      <c r="C17" s="1084" t="s">
        <v>537</v>
      </c>
      <c r="D17" s="1084"/>
      <c r="E17" s="1084"/>
      <c r="F17" s="1084"/>
      <c r="G17" s="1084"/>
      <c r="H17" s="1084"/>
      <c r="I17" s="1084"/>
      <c r="J17" s="259"/>
      <c r="K17" s="259"/>
    </row>
    <row r="18" spans="1:11" s="268" customFormat="1" ht="15" customHeight="1">
      <c r="A18" s="270"/>
      <c r="B18" s="365"/>
      <c r="C18" s="737"/>
      <c r="D18" s="36"/>
      <c r="E18" s="36"/>
      <c r="F18" s="36"/>
      <c r="G18" s="36"/>
      <c r="H18" s="36"/>
      <c r="I18" s="36"/>
      <c r="J18" s="259"/>
    </row>
    <row r="19" spans="1:11" s="268" customFormat="1" ht="12.75" customHeight="1">
      <c r="A19" s="365" t="s">
        <v>538</v>
      </c>
      <c r="B19" s="368"/>
      <c r="C19" s="270"/>
      <c r="D19" s="270"/>
      <c r="E19" s="270"/>
      <c r="F19" s="270"/>
      <c r="G19" s="270"/>
      <c r="H19" s="270"/>
      <c r="I19" s="270"/>
      <c r="J19" s="259"/>
    </row>
    <row r="20" spans="1:11" s="268" customFormat="1" ht="12.75" customHeight="1">
      <c r="A20" s="365" t="s">
        <v>539</v>
      </c>
      <c r="B20" s="368"/>
      <c r="C20" s="270"/>
      <c r="D20" s="270"/>
      <c r="E20" s="270"/>
      <c r="F20" s="270"/>
      <c r="G20" s="270"/>
      <c r="H20" s="270"/>
      <c r="I20" s="270"/>
      <c r="J20" s="259"/>
    </row>
    <row r="21" spans="1:11" s="268" customFormat="1" ht="12.75" customHeight="1">
      <c r="A21" s="368"/>
      <c r="B21" s="368"/>
      <c r="C21" s="270"/>
      <c r="D21" s="270"/>
      <c r="E21" s="270"/>
      <c r="F21" s="270"/>
      <c r="G21" s="270"/>
      <c r="H21" s="270"/>
      <c r="I21" s="270"/>
      <c r="J21" s="259"/>
    </row>
    <row r="22" spans="1:11" s="268" customFormat="1" ht="12.75" customHeight="1">
      <c r="A22" s="368"/>
      <c r="B22" s="368"/>
      <c r="C22" s="370" t="s">
        <v>501</v>
      </c>
      <c r="D22" s="373"/>
      <c r="E22" s="270"/>
      <c r="F22" s="1095" t="str">
        <f>IF(AND(ISBLANK(D22),ISBLANK(D23))=TRUE,"Answer Missing"," ")</f>
        <v>Answer Missing</v>
      </c>
      <c r="G22" s="1082"/>
      <c r="H22" s="270"/>
      <c r="I22" s="270"/>
      <c r="J22" s="259"/>
    </row>
    <row r="23" spans="1:11" s="268" customFormat="1" ht="12.75" customHeight="1">
      <c r="A23" s="368"/>
      <c r="B23" s="368"/>
      <c r="C23" s="370" t="s">
        <v>502</v>
      </c>
      <c r="D23" s="373"/>
      <c r="E23" s="270"/>
      <c r="F23" s="270"/>
      <c r="G23" s="270"/>
      <c r="H23" s="270"/>
      <c r="I23" s="270"/>
      <c r="J23" s="259"/>
    </row>
    <row r="24" spans="1:11" s="268" customFormat="1" ht="12.75" customHeight="1">
      <c r="A24" s="368"/>
      <c r="B24" s="368"/>
      <c r="C24" s="270"/>
      <c r="D24" s="270"/>
      <c r="E24" s="270"/>
      <c r="F24" s="270"/>
      <c r="G24" s="270"/>
      <c r="H24" s="270"/>
      <c r="I24" s="270"/>
      <c r="J24" s="259"/>
    </row>
    <row r="25" spans="1:11" s="268" customFormat="1" ht="6.75" customHeight="1">
      <c r="A25" s="270"/>
      <c r="B25" s="270"/>
      <c r="C25" s="270"/>
      <c r="D25" s="270"/>
      <c r="E25" s="270"/>
      <c r="F25" s="270"/>
      <c r="G25" s="270"/>
      <c r="H25" s="270"/>
      <c r="I25" s="270"/>
      <c r="J25" s="259"/>
    </row>
    <row r="26" spans="1:11" s="268" customFormat="1" ht="12.75" customHeight="1">
      <c r="A26" s="371" t="s">
        <v>540</v>
      </c>
      <c r="B26" s="368"/>
      <c r="C26" s="270"/>
      <c r="D26" s="270"/>
      <c r="E26" s="270"/>
      <c r="F26" s="270"/>
      <c r="G26" s="270"/>
      <c r="H26" s="270"/>
      <c r="I26" s="270"/>
      <c r="J26" s="259"/>
    </row>
    <row r="27" spans="1:11" s="259" customFormat="1" ht="12.75" customHeight="1">
      <c r="A27" s="365" t="s">
        <v>541</v>
      </c>
      <c r="B27" s="318"/>
      <c r="C27" s="318"/>
      <c r="D27" s="318"/>
      <c r="E27" s="318"/>
      <c r="F27" s="318"/>
      <c r="G27" s="318"/>
      <c r="H27" s="318"/>
      <c r="I27" s="270"/>
    </row>
    <row r="28" spans="1:11" s="259" customFormat="1" ht="12.75" customHeight="1">
      <c r="A28" s="365" t="s">
        <v>542</v>
      </c>
      <c r="B28" s="318"/>
      <c r="C28" s="318"/>
      <c r="D28" s="318"/>
      <c r="E28" s="318"/>
      <c r="F28" s="318"/>
      <c r="G28" s="318"/>
      <c r="H28" s="318"/>
      <c r="I28" s="270"/>
    </row>
    <row r="29" spans="1:11" ht="13.2">
      <c r="A29" s="372"/>
    </row>
    <row r="30" spans="1:11" ht="13.2">
      <c r="A30" s="1023" t="s">
        <v>543</v>
      </c>
      <c r="B30" s="259"/>
      <c r="C30" s="259"/>
      <c r="D30" s="259"/>
      <c r="E30" s="259"/>
      <c r="F30" s="259"/>
      <c r="G30" s="259"/>
      <c r="H30" s="259"/>
      <c r="I30" s="259"/>
      <c r="J30" s="259"/>
      <c r="K30" s="259"/>
    </row>
    <row r="31" spans="1:11" ht="13.2">
      <c r="A31" s="1023" t="s">
        <v>544</v>
      </c>
      <c r="B31" s="259"/>
      <c r="C31" s="259"/>
      <c r="D31" s="259"/>
      <c r="E31" s="259"/>
      <c r="F31" s="259"/>
      <c r="G31" s="259"/>
      <c r="H31" s="259"/>
      <c r="I31" s="259"/>
      <c r="J31" s="259"/>
      <c r="K31" s="259"/>
    </row>
    <row r="32" spans="1:11" ht="13.2">
      <c r="A32" s="1023" t="s">
        <v>545</v>
      </c>
      <c r="B32" s="259"/>
      <c r="C32" s="259"/>
      <c r="D32" s="259"/>
      <c r="E32" s="259"/>
      <c r="F32" s="259"/>
      <c r="G32" s="259"/>
      <c r="H32" s="259"/>
      <c r="I32" s="259"/>
      <c r="J32" s="259"/>
      <c r="K32" s="259"/>
    </row>
    <row r="33" spans="1:11" ht="13.2">
      <c r="A33" s="1023" t="s">
        <v>546</v>
      </c>
      <c r="B33" s="259"/>
      <c r="C33" s="259"/>
      <c r="D33" s="259"/>
      <c r="E33" s="259"/>
      <c r="F33" s="259"/>
      <c r="G33" s="259"/>
      <c r="H33" s="259"/>
      <c r="I33" s="259"/>
      <c r="J33" s="259"/>
      <c r="K33" s="259"/>
    </row>
    <row r="34" spans="1:11" ht="13.2">
      <c r="A34" s="1023" t="s">
        <v>547</v>
      </c>
      <c r="B34" s="1023"/>
      <c r="C34" s="259"/>
      <c r="D34" s="259"/>
      <c r="E34" s="259"/>
      <c r="F34" s="259"/>
      <c r="G34" s="259"/>
      <c r="H34" s="259"/>
      <c r="I34" s="259"/>
      <c r="J34" s="259"/>
      <c r="K34" s="259"/>
    </row>
    <row r="35" spans="1:11" ht="13.2">
      <c r="A35" s="1023" t="s">
        <v>548</v>
      </c>
      <c r="B35" s="259"/>
      <c r="C35" s="259"/>
      <c r="D35" s="259"/>
      <c r="E35" s="259"/>
      <c r="F35" s="259"/>
      <c r="G35" s="259"/>
      <c r="H35" s="259"/>
      <c r="I35" s="259"/>
      <c r="J35" s="259"/>
      <c r="K35" s="259"/>
    </row>
    <row r="36" spans="1:11" ht="13.2">
      <c r="A36" s="1023" t="s">
        <v>549</v>
      </c>
      <c r="B36" s="259"/>
      <c r="C36" s="259"/>
      <c r="D36" s="259"/>
      <c r="E36" s="259"/>
      <c r="F36" s="259"/>
      <c r="G36" s="259"/>
      <c r="H36" s="259"/>
      <c r="I36" s="259"/>
      <c r="J36" s="259"/>
      <c r="K36" s="259"/>
    </row>
    <row r="37" spans="1:11" ht="13.2">
      <c r="A37" s="1023" t="s">
        <v>550</v>
      </c>
      <c r="B37" s="259"/>
      <c r="C37" s="259"/>
      <c r="D37" s="259"/>
      <c r="E37" s="259"/>
      <c r="F37" s="259"/>
      <c r="G37" s="259"/>
      <c r="H37" s="259"/>
      <c r="I37" s="259"/>
      <c r="J37" s="259"/>
      <c r="K37" s="259"/>
    </row>
    <row r="38" spans="1:11" ht="13.2">
      <c r="A38" s="1023" t="s">
        <v>551</v>
      </c>
      <c r="B38" s="259"/>
      <c r="C38" s="259"/>
      <c r="D38" s="259"/>
      <c r="E38" s="259"/>
      <c r="F38" s="259"/>
      <c r="G38" s="259"/>
      <c r="H38" s="259"/>
      <c r="I38" s="259"/>
      <c r="J38" s="259"/>
      <c r="K38" s="259"/>
    </row>
    <row r="39" spans="1:11" ht="13.2">
      <c r="A39" s="1023" t="s">
        <v>552</v>
      </c>
      <c r="B39" s="259"/>
      <c r="C39" s="259"/>
      <c r="D39" s="259"/>
      <c r="E39" s="259"/>
      <c r="F39" s="259"/>
      <c r="G39" s="259"/>
      <c r="H39" s="259"/>
      <c r="I39" s="259"/>
      <c r="J39" s="259"/>
      <c r="K39" s="259"/>
    </row>
    <row r="40" spans="1:11" ht="13.2">
      <c r="A40" s="1023" t="s">
        <v>553</v>
      </c>
      <c r="B40" s="259"/>
      <c r="C40" s="259"/>
      <c r="D40" s="259"/>
      <c r="E40" s="259"/>
      <c r="F40" s="259"/>
      <c r="G40" s="259"/>
      <c r="H40" s="259"/>
      <c r="I40" s="259"/>
      <c r="J40" s="259"/>
      <c r="K40" s="259"/>
    </row>
    <row r="41" spans="1:11" ht="13.2">
      <c r="A41" s="1023" t="s">
        <v>554</v>
      </c>
      <c r="B41" s="259"/>
      <c r="C41" s="259"/>
      <c r="D41" s="259"/>
      <c r="E41" s="259"/>
      <c r="F41" s="259"/>
      <c r="G41" s="259"/>
      <c r="H41" s="259"/>
      <c r="I41" s="259"/>
      <c r="J41" s="259"/>
      <c r="K41" s="259"/>
    </row>
    <row r="42" spans="1:11" ht="13.2">
      <c r="A42" s="1023" t="s">
        <v>555</v>
      </c>
      <c r="B42" s="259"/>
      <c r="C42" s="259"/>
      <c r="D42" s="259"/>
      <c r="E42" s="259"/>
      <c r="F42" s="259"/>
      <c r="G42" s="259"/>
      <c r="H42" s="259"/>
      <c r="I42" s="259"/>
      <c r="J42" s="259"/>
      <c r="K42" s="259"/>
    </row>
    <row r="43" spans="1:11" ht="13.2">
      <c r="A43" s="1023" t="s">
        <v>556</v>
      </c>
      <c r="B43" s="259"/>
      <c r="C43" s="259"/>
      <c r="D43" s="259"/>
      <c r="E43" s="259"/>
      <c r="F43" s="259"/>
      <c r="G43" s="259"/>
      <c r="H43" s="259"/>
      <c r="I43" s="259"/>
      <c r="J43" s="259"/>
      <c r="K43" s="259"/>
    </row>
    <row r="44" spans="1:11" ht="13.2">
      <c r="A44" s="1023" t="s">
        <v>557</v>
      </c>
      <c r="B44" s="259"/>
      <c r="C44" s="259"/>
      <c r="D44" s="259"/>
      <c r="E44" s="259"/>
      <c r="F44" s="259"/>
      <c r="G44" s="259"/>
      <c r="H44" s="259"/>
      <c r="I44" s="259"/>
      <c r="J44" s="259"/>
      <c r="K44" s="259"/>
    </row>
    <row r="45" spans="1:11" ht="13.2">
      <c r="A45" s="1023" t="s">
        <v>558</v>
      </c>
      <c r="B45" s="259"/>
      <c r="C45" s="259"/>
      <c r="D45" s="259"/>
      <c r="E45" s="259"/>
      <c r="F45" s="259"/>
      <c r="G45" s="259"/>
      <c r="H45" s="259"/>
      <c r="I45" s="259"/>
      <c r="J45" s="259"/>
      <c r="K45" s="259"/>
    </row>
    <row r="46" spans="1:11" ht="13.2">
      <c r="A46" s="1023" t="s">
        <v>559</v>
      </c>
      <c r="B46" s="259"/>
      <c r="C46" s="259"/>
      <c r="D46" s="259"/>
      <c r="E46" s="259"/>
      <c r="F46" s="259"/>
      <c r="G46" s="259"/>
      <c r="H46" s="259"/>
      <c r="I46" s="259"/>
      <c r="J46" s="259"/>
      <c r="K46" s="259"/>
    </row>
    <row r="47" spans="1:11" ht="13.2">
      <c r="A47" s="1023" t="s">
        <v>560</v>
      </c>
      <c r="B47" s="259"/>
      <c r="C47" s="259"/>
      <c r="D47" s="259"/>
      <c r="E47" s="259"/>
      <c r="F47" s="259"/>
      <c r="G47" s="259"/>
      <c r="H47" s="259"/>
      <c r="I47" s="259"/>
      <c r="J47" s="259"/>
      <c r="K47" s="259"/>
    </row>
    <row r="48" spans="1:11" ht="13.2">
      <c r="A48" s="1023" t="s">
        <v>561</v>
      </c>
      <c r="B48" s="259"/>
      <c r="C48" s="259"/>
      <c r="D48" s="259"/>
      <c r="E48" s="259"/>
      <c r="F48" s="259"/>
      <c r="G48" s="259"/>
      <c r="H48" s="259"/>
      <c r="I48" s="259"/>
      <c r="J48" s="259"/>
      <c r="K48" s="259"/>
    </row>
    <row r="49" spans="1:11" ht="13.2">
      <c r="A49" s="1023" t="s">
        <v>562</v>
      </c>
      <c r="B49" s="259"/>
      <c r="C49" s="259"/>
      <c r="D49" s="259"/>
      <c r="E49" s="259"/>
      <c r="F49" s="259"/>
      <c r="G49" s="259"/>
      <c r="H49" s="259"/>
      <c r="I49" s="259"/>
      <c r="J49" s="259"/>
      <c r="K49" s="259"/>
    </row>
    <row r="50" spans="1:11" ht="13.2">
      <c r="A50" s="1023" t="s">
        <v>563</v>
      </c>
      <c r="B50" s="259"/>
      <c r="C50" s="259"/>
      <c r="D50" s="259"/>
      <c r="E50" s="259"/>
      <c r="F50" s="259"/>
      <c r="G50" s="259"/>
      <c r="H50" s="259"/>
      <c r="I50" s="259"/>
      <c r="J50" s="259"/>
      <c r="K50" s="259"/>
    </row>
    <row r="51" spans="1:11" ht="13.2">
      <c r="A51" s="1023" t="s">
        <v>564</v>
      </c>
      <c r="B51" s="259"/>
      <c r="C51" s="259"/>
      <c r="D51" s="259"/>
      <c r="E51" s="259"/>
      <c r="F51" s="259"/>
      <c r="G51" s="259"/>
      <c r="H51" s="259"/>
      <c r="I51" s="259"/>
      <c r="J51" s="259"/>
      <c r="K51" s="259"/>
    </row>
    <row r="52" spans="1:11" ht="13.2">
      <c r="A52" s="365"/>
      <c r="B52" s="259"/>
      <c r="C52" s="259"/>
      <c r="D52" s="259"/>
      <c r="E52" s="259"/>
      <c r="F52" s="259"/>
      <c r="G52" s="259"/>
      <c r="H52" s="259"/>
      <c r="I52" s="259"/>
      <c r="J52" s="259"/>
      <c r="K52" s="259"/>
    </row>
    <row r="53" spans="1:11" ht="13.2">
      <c r="A53" s="365" t="s">
        <v>565</v>
      </c>
      <c r="B53" s="259"/>
      <c r="C53" s="259"/>
      <c r="D53" s="259"/>
      <c r="E53" s="259"/>
      <c r="F53" s="259"/>
      <c r="G53" s="259"/>
      <c r="H53" s="259"/>
      <c r="I53" s="259"/>
      <c r="J53" s="259"/>
      <c r="K53" s="259"/>
    </row>
    <row r="54" spans="1:11" ht="13.2">
      <c r="A54" s="270" t="s">
        <v>566</v>
      </c>
      <c r="B54" s="259"/>
      <c r="C54" s="259"/>
      <c r="D54" s="259"/>
      <c r="E54" s="259"/>
      <c r="F54" s="259"/>
      <c r="G54" s="259"/>
      <c r="H54" s="259"/>
      <c r="I54" s="259"/>
      <c r="J54" s="259"/>
      <c r="K54" s="259"/>
    </row>
    <row r="55" spans="1:11" ht="13.2" thickBot="1">
      <c r="A55" s="259"/>
      <c r="B55" s="259"/>
      <c r="C55" s="259"/>
      <c r="D55" s="259"/>
      <c r="E55" s="259"/>
      <c r="F55" s="259"/>
      <c r="G55" s="259"/>
      <c r="H55" s="259"/>
      <c r="I55" s="259"/>
      <c r="J55" s="259"/>
      <c r="K55" s="259"/>
    </row>
    <row r="56" spans="1:11">
      <c r="A56" s="1085"/>
      <c r="B56" s="1086"/>
      <c r="C56" s="1086"/>
      <c r="D56" s="1086"/>
      <c r="E56" s="1086"/>
      <c r="F56" s="1086"/>
      <c r="G56" s="1086"/>
      <c r="H56" s="1086"/>
      <c r="I56" s="1086"/>
      <c r="J56" s="1086"/>
      <c r="K56" s="1087"/>
    </row>
    <row r="57" spans="1:11">
      <c r="A57" s="1088"/>
      <c r="B57" s="1089"/>
      <c r="C57" s="1089"/>
      <c r="D57" s="1089"/>
      <c r="E57" s="1089"/>
      <c r="F57" s="1089"/>
      <c r="G57" s="1089"/>
      <c r="H57" s="1089"/>
      <c r="I57" s="1089"/>
      <c r="J57" s="1089"/>
      <c r="K57" s="1090"/>
    </row>
    <row r="58" spans="1:11">
      <c r="A58" s="1088"/>
      <c r="B58" s="1089"/>
      <c r="C58" s="1089"/>
      <c r="D58" s="1089"/>
      <c r="E58" s="1089"/>
      <c r="F58" s="1089"/>
      <c r="G58" s="1089"/>
      <c r="H58" s="1089"/>
      <c r="I58" s="1089"/>
      <c r="J58" s="1089"/>
      <c r="K58" s="1090"/>
    </row>
    <row r="59" spans="1:11">
      <c r="A59" s="1088"/>
      <c r="B59" s="1089"/>
      <c r="C59" s="1089"/>
      <c r="D59" s="1089"/>
      <c r="E59" s="1089"/>
      <c r="F59" s="1089"/>
      <c r="G59" s="1089"/>
      <c r="H59" s="1089"/>
      <c r="I59" s="1089"/>
      <c r="J59" s="1089"/>
      <c r="K59" s="1090"/>
    </row>
    <row r="60" spans="1:11">
      <c r="A60" s="1088"/>
      <c r="B60" s="1089"/>
      <c r="C60" s="1089"/>
      <c r="D60" s="1089"/>
      <c r="E60" s="1089"/>
      <c r="F60" s="1089"/>
      <c r="G60" s="1089"/>
      <c r="H60" s="1089"/>
      <c r="I60" s="1089"/>
      <c r="J60" s="1089"/>
      <c r="K60" s="1090"/>
    </row>
    <row r="61" spans="1:11">
      <c r="A61" s="1088"/>
      <c r="B61" s="1089"/>
      <c r="C61" s="1089"/>
      <c r="D61" s="1089"/>
      <c r="E61" s="1089"/>
      <c r="F61" s="1089"/>
      <c r="G61" s="1089"/>
      <c r="H61" s="1089"/>
      <c r="I61" s="1089"/>
      <c r="J61" s="1089"/>
      <c r="K61" s="1090"/>
    </row>
    <row r="62" spans="1:11">
      <c r="A62" s="1088"/>
      <c r="B62" s="1089"/>
      <c r="C62" s="1089"/>
      <c r="D62" s="1089"/>
      <c r="E62" s="1089"/>
      <c r="F62" s="1089"/>
      <c r="G62" s="1089"/>
      <c r="H62" s="1089"/>
      <c r="I62" s="1089"/>
      <c r="J62" s="1089"/>
      <c r="K62" s="1090"/>
    </row>
    <row r="63" spans="1:11">
      <c r="A63" s="1088"/>
      <c r="B63" s="1089"/>
      <c r="C63" s="1089"/>
      <c r="D63" s="1089"/>
      <c r="E63" s="1089"/>
      <c r="F63" s="1089"/>
      <c r="G63" s="1089"/>
      <c r="H63" s="1089"/>
      <c r="I63" s="1089"/>
      <c r="J63" s="1089"/>
      <c r="K63" s="1090"/>
    </row>
    <row r="64" spans="1:11">
      <c r="A64" s="1088"/>
      <c r="B64" s="1089"/>
      <c r="C64" s="1089"/>
      <c r="D64" s="1089"/>
      <c r="E64" s="1089"/>
      <c r="F64" s="1089"/>
      <c r="G64" s="1089"/>
      <c r="H64" s="1089"/>
      <c r="I64" s="1089"/>
      <c r="J64" s="1089"/>
      <c r="K64" s="1090"/>
    </row>
    <row r="65" spans="1:11">
      <c r="A65" s="1088"/>
      <c r="B65" s="1089"/>
      <c r="C65" s="1089"/>
      <c r="D65" s="1089"/>
      <c r="E65" s="1089"/>
      <c r="F65" s="1089"/>
      <c r="G65" s="1089"/>
      <c r="H65" s="1089"/>
      <c r="I65" s="1089"/>
      <c r="J65" s="1089"/>
      <c r="K65" s="1090"/>
    </row>
    <row r="66" spans="1:11">
      <c r="A66" s="1088"/>
      <c r="B66" s="1089"/>
      <c r="C66" s="1089"/>
      <c r="D66" s="1089"/>
      <c r="E66" s="1089"/>
      <c r="F66" s="1089"/>
      <c r="G66" s="1089"/>
      <c r="H66" s="1089"/>
      <c r="I66" s="1089"/>
      <c r="J66" s="1089"/>
      <c r="K66" s="1090"/>
    </row>
    <row r="67" spans="1:11">
      <c r="A67" s="1088"/>
      <c r="B67" s="1089"/>
      <c r="C67" s="1089"/>
      <c r="D67" s="1089"/>
      <c r="E67" s="1089"/>
      <c r="F67" s="1089"/>
      <c r="G67" s="1089"/>
      <c r="H67" s="1089"/>
      <c r="I67" s="1089"/>
      <c r="J67" s="1089"/>
      <c r="K67" s="1090"/>
    </row>
    <row r="68" spans="1:11" ht="13.2" thickBot="1">
      <c r="A68" s="1091"/>
      <c r="B68" s="1092"/>
      <c r="C68" s="1092"/>
      <c r="D68" s="1092"/>
      <c r="E68" s="1092"/>
      <c r="F68" s="1092"/>
      <c r="G68" s="1092"/>
      <c r="H68" s="1092"/>
      <c r="I68" s="1092"/>
      <c r="J68" s="1092"/>
      <c r="K68" s="1093"/>
    </row>
  </sheetData>
  <sheetProtection algorithmName="SHA-512" hashValue="RS5h/XuVs0USuK1QFiAdfdPO0LClWx5mXFOE1Ha1u9JJ38yCbQOke2edzS/FwgV4CHU9t+97+gGl/Ybb0EHfqA==" saltValue="JTuHST2Dimkrx7qTkFn6lA==" spinCount="100000" sheet="1" objects="1" scenarios="1" autoFilter="0"/>
  <mergeCells count="14">
    <mergeCell ref="L1:L3"/>
    <mergeCell ref="A2:K2"/>
    <mergeCell ref="A3:K3"/>
    <mergeCell ref="H5:K5"/>
    <mergeCell ref="H6:K6"/>
    <mergeCell ref="C14:K14"/>
    <mergeCell ref="C15:K15"/>
    <mergeCell ref="A56:K68"/>
    <mergeCell ref="H7:K7"/>
    <mergeCell ref="A1:K1"/>
    <mergeCell ref="F22:G22"/>
    <mergeCell ref="A10:K11"/>
    <mergeCell ref="C16:I16"/>
    <mergeCell ref="C17:I17"/>
  </mergeCells>
  <conditionalFormatting sqref="F22">
    <cfRule type="containsText" dxfId="53" priority="2" stopIfTrue="1" operator="containsText" text="Answer Missing">
      <formula>NOT(ISERROR(SEARCH("Answer Missing",F22)))</formula>
    </cfRule>
  </conditionalFormatting>
  <conditionalFormatting sqref="F22:G22">
    <cfRule type="containsText" dxfId="52" priority="1" stopIfTrue="1" operator="containsText" text="Answer Missing">
      <formula>NOT(ISERROR(SEARCH("Answer Missing",F22)))</formula>
    </cfRule>
  </conditionalFormatting>
  <conditionalFormatting sqref="L1:L3">
    <cfRule type="cellIs" dxfId="51" priority="3" stopIfTrue="1" operator="equal">
      <formula>"na"</formula>
    </cfRule>
  </conditionalFormatting>
  <hyperlinks>
    <hyperlink ref="A1:K1" location="Index!A1" display="Index!A1" xr:uid="{00000000-0004-0000-0800-000000000000}"/>
  </hyperlinks>
  <printOptions horizontalCentered="1"/>
  <pageMargins left="0.5" right="0.25" top="0.5" bottom="0.25" header="0.5" footer="0.25"/>
  <pageSetup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91"/>
  <sheetViews>
    <sheetView showGridLines="0" zoomScaleNormal="100" workbookViewId="0">
      <selection activeCell="K24" sqref="K24"/>
    </sheetView>
  </sheetViews>
  <sheetFormatPr defaultColWidth="9.28515625" defaultRowHeight="12.6"/>
  <cols>
    <col min="1" max="2" width="3.85546875" style="259" customWidth="1"/>
    <col min="3" max="3" width="9" style="259" customWidth="1"/>
    <col min="4" max="4" width="10.140625" style="259" customWidth="1"/>
    <col min="5" max="5" width="26.42578125" style="259" customWidth="1"/>
    <col min="6" max="6" width="9" style="259" customWidth="1"/>
    <col min="7" max="7" width="10.140625" style="259" customWidth="1"/>
    <col min="8" max="8" width="8.42578125" style="259" customWidth="1"/>
    <col min="9" max="9" width="25.28515625" style="259" customWidth="1"/>
    <col min="10" max="10" width="5.42578125" style="259" customWidth="1"/>
    <col min="11" max="16384" width="9.28515625" style="259"/>
  </cols>
  <sheetData>
    <row r="1" spans="1:11" ht="12.75" customHeight="1">
      <c r="A1" s="1063" t="str">
        <f>+Index!$A$1</f>
        <v>Office of the State Controller</v>
      </c>
      <c r="B1" s="1063"/>
      <c r="C1" s="1063"/>
      <c r="D1" s="1063"/>
      <c r="E1" s="1063"/>
      <c r="F1" s="1063"/>
      <c r="G1" s="1063"/>
      <c r="H1" s="1063"/>
      <c r="I1" s="1063"/>
      <c r="J1" s="1098"/>
    </row>
    <row r="2" spans="1:11" ht="15.6">
      <c r="A2" s="1097" t="str">
        <f>+Index!$A$2</f>
        <v>2023 Year-End ACFR Package</v>
      </c>
      <c r="B2" s="1097"/>
      <c r="C2" s="1097"/>
      <c r="D2" s="1097"/>
      <c r="E2" s="1097"/>
      <c r="F2" s="1097"/>
      <c r="G2" s="1097"/>
      <c r="H2" s="1097"/>
      <c r="I2" s="1097"/>
      <c r="J2" s="1098"/>
    </row>
    <row r="3" spans="1:11" ht="15" customHeight="1">
      <c r="A3" s="1096" t="s">
        <v>567</v>
      </c>
      <c r="B3" s="1096"/>
      <c r="C3" s="1096"/>
      <c r="D3" s="1096"/>
      <c r="E3" s="1096"/>
      <c r="F3" s="1096"/>
      <c r="G3" s="1096"/>
      <c r="H3" s="1096"/>
      <c r="I3" s="1096"/>
      <c r="J3" s="1098"/>
    </row>
    <row r="4" spans="1:11" ht="12.75" customHeight="1">
      <c r="A4" s="481"/>
      <c r="B4" s="481"/>
      <c r="C4" s="481"/>
      <c r="D4" s="481"/>
      <c r="E4" s="481"/>
      <c r="F4" s="481"/>
      <c r="G4" s="481"/>
      <c r="H4" s="481"/>
      <c r="I4" s="484"/>
      <c r="J4" s="307"/>
    </row>
    <row r="5" spans="1:11" ht="13.2">
      <c r="A5" s="270"/>
      <c r="B5" s="270"/>
      <c r="C5" s="270"/>
      <c r="D5" s="483"/>
      <c r="E5" s="994"/>
      <c r="F5" s="480" t="s">
        <v>479</v>
      </c>
      <c r="G5" s="1106" t="str">
        <f>+Index!$D$10</f>
        <v>C0</v>
      </c>
      <c r="H5" s="1107"/>
      <c r="I5" s="1107"/>
    </row>
    <row r="6" spans="1:11" ht="13.2">
      <c r="A6" s="270"/>
      <c r="B6" s="270"/>
      <c r="C6" s="270"/>
      <c r="D6" s="270"/>
      <c r="E6" s="998"/>
      <c r="F6" s="480" t="s">
        <v>480</v>
      </c>
      <c r="G6" s="1108" t="str">
        <f>+Index!$D$9</f>
        <v>Alamance Community College</v>
      </c>
      <c r="H6" s="1109"/>
      <c r="I6" s="1109"/>
    </row>
    <row r="7" spans="1:11" ht="13.2">
      <c r="A7" s="1102" t="s">
        <v>568</v>
      </c>
      <c r="B7" s="1103"/>
      <c r="C7" s="1103"/>
      <c r="D7" s="482" t="s">
        <v>569</v>
      </c>
      <c r="E7" s="481"/>
      <c r="F7" s="480" t="s">
        <v>481</v>
      </c>
      <c r="G7" s="1110" t="str">
        <f>CONCATENATE(Index!$D$11," ",Index!$D$12)</f>
        <v xml:space="preserve"> </v>
      </c>
      <c r="H7" s="1111"/>
      <c r="I7" s="1111"/>
    </row>
    <row r="8" spans="1:11" ht="12.75" customHeight="1" thickBot="1">
      <c r="A8" s="479"/>
      <c r="B8" s="479"/>
      <c r="C8" s="479"/>
      <c r="D8" s="479"/>
      <c r="E8" s="479"/>
      <c r="F8" s="479"/>
      <c r="G8" s="479"/>
      <c r="H8" s="479"/>
      <c r="I8" s="479"/>
    </row>
    <row r="9" spans="1:11" ht="9" customHeight="1">
      <c r="A9" s="736"/>
      <c r="B9" s="736"/>
      <c r="C9" s="736"/>
      <c r="D9" s="736"/>
      <c r="E9" s="736"/>
      <c r="F9" s="736"/>
      <c r="G9" s="736"/>
      <c r="H9" s="736"/>
      <c r="I9" s="736"/>
    </row>
    <row r="10" spans="1:11" ht="11.4" customHeight="1">
      <c r="A10" s="492" t="s">
        <v>570</v>
      </c>
      <c r="B10" s="493"/>
      <c r="C10" s="493"/>
      <c r="D10" s="493"/>
      <c r="E10" s="493"/>
      <c r="F10" s="493"/>
      <c r="G10" s="493"/>
      <c r="H10" s="493"/>
      <c r="I10" s="493"/>
      <c r="J10" s="494"/>
      <c r="K10" s="478"/>
    </row>
    <row r="11" spans="1:11" ht="11.4" customHeight="1">
      <c r="A11" s="492" t="s">
        <v>571</v>
      </c>
      <c r="B11" s="493"/>
      <c r="C11" s="493"/>
      <c r="D11" s="493"/>
      <c r="E11" s="493"/>
      <c r="F11" s="493"/>
      <c r="G11" s="493"/>
      <c r="H11" s="493"/>
      <c r="I11" s="493"/>
      <c r="J11" s="494"/>
      <c r="K11" s="478"/>
    </row>
    <row r="12" spans="1:11" ht="11.4" customHeight="1">
      <c r="A12" s="570" t="s">
        <v>572</v>
      </c>
      <c r="B12" s="493"/>
      <c r="C12" s="493"/>
      <c r="D12" s="493"/>
      <c r="E12" s="493"/>
      <c r="F12" s="493"/>
      <c r="G12" s="493"/>
      <c r="H12" s="493"/>
      <c r="I12" s="493"/>
      <c r="J12" s="494"/>
      <c r="K12" s="478"/>
    </row>
    <row r="13" spans="1:11" ht="5.0999999999999996" customHeight="1">
      <c r="A13" s="493"/>
      <c r="B13" s="493"/>
      <c r="C13" s="493"/>
      <c r="D13" s="493"/>
      <c r="E13" s="493"/>
      <c r="F13" s="493"/>
      <c r="G13" s="493"/>
      <c r="H13" s="493"/>
      <c r="I13" s="493"/>
      <c r="J13" s="494"/>
      <c r="K13" s="478"/>
    </row>
    <row r="14" spans="1:11" s="268" customFormat="1" ht="11.4" customHeight="1">
      <c r="A14" s="493" t="s">
        <v>573</v>
      </c>
      <c r="B14" s="476"/>
      <c r="C14" s="326"/>
      <c r="D14" s="326"/>
      <c r="E14" s="326"/>
      <c r="F14" s="326"/>
      <c r="G14" s="326"/>
      <c r="H14" s="326"/>
      <c r="I14" s="326"/>
      <c r="J14" s="495"/>
    </row>
    <row r="15" spans="1:11" s="268" customFormat="1" ht="11.4" customHeight="1">
      <c r="A15" s="493" t="s">
        <v>574</v>
      </c>
      <c r="B15" s="476"/>
      <c r="C15" s="326"/>
      <c r="D15" s="326"/>
      <c r="E15" s="326"/>
      <c r="F15" s="326"/>
      <c r="G15" s="326"/>
      <c r="H15" s="326"/>
      <c r="I15" s="326"/>
      <c r="J15" s="495"/>
    </row>
    <row r="16" spans="1:11" s="268" customFormat="1" ht="11.4" customHeight="1">
      <c r="A16" s="326"/>
      <c r="B16" s="493" t="s">
        <v>575</v>
      </c>
      <c r="C16" s="1104" t="s">
        <v>576</v>
      </c>
      <c r="D16" s="1105"/>
      <c r="E16" s="1105"/>
      <c r="F16" s="1105"/>
      <c r="G16" s="1105"/>
      <c r="H16" s="1105"/>
      <c r="I16" s="1105"/>
      <c r="J16" s="495"/>
    </row>
    <row r="17" spans="1:10" s="268" customFormat="1" ht="11.4" customHeight="1">
      <c r="A17" s="326"/>
      <c r="B17" s="493"/>
      <c r="C17" s="1104" t="s">
        <v>577</v>
      </c>
      <c r="D17" s="1105"/>
      <c r="E17" s="1105"/>
      <c r="F17" s="1105"/>
      <c r="G17" s="1105"/>
      <c r="H17" s="1105"/>
      <c r="I17" s="1105"/>
      <c r="J17" s="495"/>
    </row>
    <row r="18" spans="1:10" s="268" customFormat="1" ht="11.4" customHeight="1">
      <c r="A18" s="326"/>
      <c r="B18" s="493" t="s">
        <v>578</v>
      </c>
      <c r="C18" s="1104" t="s">
        <v>579</v>
      </c>
      <c r="D18" s="1105"/>
      <c r="E18" s="1105"/>
      <c r="F18" s="1105"/>
      <c r="G18" s="1105"/>
      <c r="H18" s="1105"/>
      <c r="I18" s="1105"/>
      <c r="J18" s="495"/>
    </row>
    <row r="19" spans="1:10" s="268" customFormat="1" ht="11.4" customHeight="1">
      <c r="A19" s="326"/>
      <c r="B19" s="493"/>
      <c r="C19" s="999" t="s">
        <v>580</v>
      </c>
      <c r="D19" s="1000"/>
      <c r="E19" s="1000"/>
      <c r="F19" s="1000"/>
      <c r="G19" s="1000"/>
      <c r="H19" s="1000"/>
      <c r="I19" s="1000"/>
      <c r="J19" s="495"/>
    </row>
    <row r="20" spans="1:10" s="268" customFormat="1" ht="11.4" customHeight="1">
      <c r="A20" s="326"/>
      <c r="B20" s="493" t="s">
        <v>581</v>
      </c>
      <c r="C20" s="1101" t="s">
        <v>582</v>
      </c>
      <c r="D20" s="1101"/>
      <c r="E20" s="1101"/>
      <c r="F20" s="1101"/>
      <c r="G20" s="1101"/>
      <c r="H20" s="1101"/>
      <c r="I20" s="1101"/>
      <c r="J20" s="495"/>
    </row>
    <row r="21" spans="1:10" s="268" customFormat="1" ht="11.4" customHeight="1">
      <c r="A21" s="326"/>
      <c r="B21" s="493"/>
      <c r="C21" s="1101" t="s">
        <v>583</v>
      </c>
      <c r="D21" s="1101"/>
      <c r="E21" s="1101"/>
      <c r="F21" s="1101"/>
      <c r="G21" s="1101"/>
      <c r="H21" s="1101"/>
      <c r="I21" s="1101"/>
      <c r="J21" s="495"/>
    </row>
    <row r="22" spans="1:10" s="268" customFormat="1" ht="11.4" customHeight="1">
      <c r="A22" s="326"/>
      <c r="B22" s="493"/>
      <c r="C22" s="997" t="s">
        <v>584</v>
      </c>
      <c r="D22" s="997"/>
      <c r="E22" s="997"/>
      <c r="F22" s="997"/>
      <c r="G22" s="997"/>
      <c r="H22" s="997"/>
      <c r="I22" s="997"/>
      <c r="J22" s="495"/>
    </row>
    <row r="23" spans="1:10" s="268" customFormat="1" ht="5.0999999999999996" customHeight="1">
      <c r="A23" s="326"/>
      <c r="B23" s="493"/>
      <c r="C23" s="496"/>
      <c r="D23" s="1000"/>
      <c r="E23" s="1000"/>
      <c r="F23" s="1000"/>
      <c r="G23" s="1000"/>
      <c r="H23" s="1000"/>
      <c r="I23" s="1000"/>
      <c r="J23" s="495"/>
    </row>
    <row r="24" spans="1:10" s="268" customFormat="1" ht="11.4" customHeight="1">
      <c r="A24" s="493" t="s">
        <v>585</v>
      </c>
      <c r="B24" s="476"/>
      <c r="C24" s="326"/>
      <c r="D24" s="326"/>
      <c r="E24" s="326"/>
      <c r="F24" s="326"/>
      <c r="G24" s="326"/>
      <c r="H24" s="326"/>
      <c r="I24" s="326"/>
      <c r="J24" s="495"/>
    </row>
    <row r="25" spans="1:10" s="268" customFormat="1" ht="11.4" customHeight="1">
      <c r="A25" s="493" t="s">
        <v>586</v>
      </c>
      <c r="B25" s="476"/>
      <c r="C25" s="326"/>
      <c r="D25" s="326"/>
      <c r="E25" s="326"/>
      <c r="F25" s="326"/>
      <c r="G25" s="326"/>
      <c r="H25" s="326"/>
      <c r="I25" s="326"/>
      <c r="J25" s="495"/>
    </row>
    <row r="26" spans="1:10" s="268" customFormat="1" ht="3.9" customHeight="1">
      <c r="A26" s="476"/>
      <c r="B26" s="476"/>
      <c r="C26" s="326"/>
      <c r="D26" s="326"/>
      <c r="E26" s="326"/>
      <c r="F26" s="326"/>
      <c r="G26" s="326"/>
      <c r="H26" s="326"/>
      <c r="I26" s="326"/>
      <c r="J26" s="495"/>
    </row>
    <row r="27" spans="1:10" s="268" customFormat="1" ht="11.4" customHeight="1">
      <c r="A27" s="476"/>
      <c r="B27" s="476"/>
      <c r="C27" s="222" t="s">
        <v>501</v>
      </c>
      <c r="D27" s="474"/>
      <c r="E27" s="497" t="str">
        <f>IF(AND(ISBLANK(D27),ISBLANK(D28))=TRUE,"Answer Missing"," ")</f>
        <v>Answer Missing</v>
      </c>
      <c r="F27" s="326"/>
      <c r="G27" s="326"/>
      <c r="H27" s="326"/>
      <c r="I27" s="326"/>
      <c r="J27" s="495"/>
    </row>
    <row r="28" spans="1:10" s="268" customFormat="1" ht="11.4" customHeight="1">
      <c r="A28" s="476"/>
      <c r="B28" s="476"/>
      <c r="C28" s="222" t="s">
        <v>502</v>
      </c>
      <c r="D28" s="474"/>
      <c r="E28" s="326"/>
      <c r="F28" s="326"/>
      <c r="G28" s="326"/>
      <c r="H28" s="326"/>
      <c r="I28" s="326"/>
      <c r="J28" s="495"/>
    </row>
    <row r="29" spans="1:10" s="268" customFormat="1" ht="5.0999999999999996" customHeight="1">
      <c r="A29" s="476"/>
      <c r="B29" s="476"/>
      <c r="C29" s="222"/>
      <c r="D29" s="498"/>
      <c r="E29" s="326"/>
      <c r="F29" s="326"/>
      <c r="G29" s="326"/>
      <c r="H29" s="326"/>
      <c r="I29" s="326"/>
      <c r="J29" s="495"/>
    </row>
    <row r="30" spans="1:10" s="268" customFormat="1" ht="11.4" customHeight="1">
      <c r="A30" s="326" t="s">
        <v>587</v>
      </c>
      <c r="B30" s="476"/>
      <c r="C30" s="326"/>
      <c r="D30" s="326"/>
      <c r="E30" s="326"/>
      <c r="F30" s="326"/>
      <c r="G30" s="326"/>
      <c r="H30" s="326"/>
      <c r="I30" s="326"/>
      <c r="J30" s="495"/>
    </row>
    <row r="31" spans="1:10" s="268" customFormat="1" ht="11.4" customHeight="1">
      <c r="A31" s="326" t="s">
        <v>588</v>
      </c>
      <c r="B31" s="476"/>
      <c r="C31" s="326"/>
      <c r="D31" s="326"/>
      <c r="E31" s="326"/>
      <c r="F31" s="326"/>
      <c r="G31" s="326"/>
      <c r="H31" s="326"/>
      <c r="I31" s="326"/>
      <c r="J31" s="495"/>
    </row>
    <row r="32" spans="1:10" s="268" customFormat="1" ht="11.4" customHeight="1">
      <c r="A32" s="326" t="s">
        <v>589</v>
      </c>
      <c r="B32" s="476"/>
      <c r="C32" s="326"/>
      <c r="D32" s="326"/>
      <c r="E32" s="326"/>
      <c r="F32" s="326"/>
      <c r="G32" s="326"/>
      <c r="H32" s="326"/>
      <c r="I32" s="326"/>
      <c r="J32" s="495"/>
    </row>
    <row r="33" spans="1:11" s="268" customFormat="1" ht="12" customHeight="1">
      <c r="A33" s="476"/>
      <c r="B33" s="476"/>
      <c r="C33" s="499"/>
      <c r="D33" s="500" t="s">
        <v>590</v>
      </c>
      <c r="E33" s="326"/>
      <c r="J33" s="495"/>
    </row>
    <row r="34" spans="1:11" s="268" customFormat="1" ht="11.4" customHeight="1">
      <c r="A34" s="476"/>
      <c r="B34" s="476"/>
      <c r="C34" s="506"/>
      <c r="D34" s="500" t="s">
        <v>591</v>
      </c>
      <c r="E34" s="326"/>
      <c r="F34" s="1099" t="str">
        <f>IF(ISTEXT(D27), "Indicate appropriate type of govt combination", " ")</f>
        <v xml:space="preserve"> </v>
      </c>
      <c r="G34" s="1100"/>
      <c r="H34" s="1100"/>
      <c r="I34" s="1100"/>
      <c r="J34" s="495"/>
    </row>
    <row r="35" spans="1:11" s="268" customFormat="1" ht="11.4" customHeight="1">
      <c r="A35" s="476"/>
      <c r="B35" s="476"/>
      <c r="C35" s="506"/>
      <c r="D35" s="500" t="s">
        <v>592</v>
      </c>
      <c r="E35" s="326"/>
      <c r="F35" s="995"/>
      <c r="G35" s="996"/>
      <c r="H35" s="996"/>
      <c r="I35" s="996"/>
      <c r="J35" s="495"/>
    </row>
    <row r="36" spans="1:11" s="268" customFormat="1" ht="11.4" customHeight="1">
      <c r="A36" s="476"/>
      <c r="B36" s="476"/>
      <c r="C36" s="506"/>
      <c r="D36" s="500" t="s">
        <v>593</v>
      </c>
      <c r="E36" s="326"/>
      <c r="F36" s="326"/>
      <c r="G36" s="326"/>
      <c r="H36" s="326"/>
      <c r="I36" s="326"/>
      <c r="J36" s="495"/>
    </row>
    <row r="37" spans="1:11" s="268" customFormat="1" ht="5.0999999999999996" customHeight="1">
      <c r="A37" s="326"/>
      <c r="B37" s="326"/>
      <c r="C37" s="326"/>
      <c r="D37" s="326"/>
      <c r="E37" s="326"/>
      <c r="F37" s="326"/>
      <c r="G37" s="326"/>
      <c r="H37" s="326"/>
      <c r="I37" s="326"/>
      <c r="J37" s="495"/>
    </row>
    <row r="38" spans="1:11" s="268" customFormat="1" ht="11.4" customHeight="1">
      <c r="A38" s="501" t="s">
        <v>594</v>
      </c>
      <c r="B38" s="476"/>
      <c r="C38" s="326"/>
      <c r="D38" s="326"/>
      <c r="E38" s="326"/>
      <c r="F38" s="326"/>
      <c r="G38" s="326"/>
      <c r="H38" s="326"/>
      <c r="I38" s="326"/>
      <c r="J38" s="495"/>
    </row>
    <row r="39" spans="1:11" ht="11.4" customHeight="1">
      <c r="A39" s="477"/>
      <c r="B39" s="318"/>
      <c r="C39" s="318"/>
      <c r="D39" s="318"/>
      <c r="E39" s="318"/>
      <c r="F39" s="318"/>
      <c r="G39" s="318"/>
      <c r="H39" s="318"/>
      <c r="I39" s="270"/>
    </row>
    <row r="40" spans="1:11" ht="15" customHeight="1">
      <c r="A40" s="368"/>
      <c r="B40" s="368"/>
      <c r="C40" s="270"/>
      <c r="D40" s="270"/>
      <c r="E40" s="270"/>
      <c r="F40" s="270"/>
      <c r="G40" s="270"/>
      <c r="H40" s="270"/>
      <c r="I40" s="270"/>
    </row>
    <row r="41" spans="1:11" ht="15" customHeight="1">
      <c r="A41" s="368"/>
      <c r="B41" s="368"/>
      <c r="C41" s="270"/>
      <c r="D41" s="270"/>
      <c r="E41" s="270"/>
      <c r="F41" s="270"/>
      <c r="G41" s="270"/>
      <c r="H41" s="270"/>
      <c r="I41" s="270"/>
    </row>
    <row r="42" spans="1:11" ht="15" customHeight="1">
      <c r="A42" s="270"/>
      <c r="B42" s="270"/>
      <c r="C42" s="270"/>
      <c r="D42" s="270"/>
      <c r="E42" s="270"/>
      <c r="F42" s="270"/>
      <c r="G42" s="270"/>
      <c r="H42" s="270"/>
      <c r="I42" s="270"/>
    </row>
    <row r="43" spans="1:11" ht="15" customHeight="1">
      <c r="A43" s="270"/>
      <c r="B43" s="270"/>
      <c r="C43" s="270"/>
      <c r="D43" s="270"/>
      <c r="E43" s="270"/>
      <c r="F43" s="270"/>
      <c r="G43" s="270"/>
      <c r="H43" s="270"/>
      <c r="I43" s="318"/>
      <c r="J43" s="318"/>
      <c r="K43" s="200"/>
    </row>
    <row r="44" spans="1:11" ht="15" customHeight="1">
      <c r="A44" s="270"/>
      <c r="B44" s="270"/>
      <c r="C44" s="270"/>
      <c r="D44" s="270"/>
      <c r="E44" s="270"/>
      <c r="F44" s="270"/>
      <c r="G44" s="270"/>
      <c r="H44" s="270"/>
      <c r="I44" s="318"/>
      <c r="J44" s="318"/>
      <c r="K44" s="318"/>
    </row>
    <row r="45" spans="1:11" ht="15" customHeight="1">
      <c r="A45" s="368"/>
      <c r="B45" s="368"/>
      <c r="C45" s="270"/>
      <c r="D45" s="270"/>
      <c r="E45" s="270"/>
      <c r="F45" s="270"/>
      <c r="G45" s="270"/>
      <c r="H45" s="270"/>
      <c r="I45" s="270"/>
    </row>
    <row r="46" spans="1:11" ht="15" customHeight="1">
      <c r="A46" s="368"/>
      <c r="B46" s="368"/>
      <c r="C46" s="270"/>
      <c r="D46" s="270"/>
      <c r="E46" s="270"/>
      <c r="F46" s="270"/>
      <c r="G46" s="270"/>
      <c r="H46" s="270"/>
      <c r="I46" s="270"/>
    </row>
    <row r="47" spans="1:11" ht="15" customHeight="1">
      <c r="A47" s="368"/>
      <c r="B47" s="368"/>
      <c r="C47" s="270"/>
      <c r="D47" s="270"/>
      <c r="E47" s="270"/>
      <c r="F47" s="270"/>
      <c r="G47" s="270"/>
      <c r="H47" s="270"/>
      <c r="I47" s="270"/>
    </row>
    <row r="48" spans="1:11" ht="15" customHeight="1">
      <c r="A48" s="368"/>
      <c r="B48" s="368"/>
      <c r="C48" s="270"/>
      <c r="D48" s="270"/>
      <c r="E48" s="270"/>
      <c r="F48" s="270"/>
      <c r="G48" s="270"/>
      <c r="H48" s="270"/>
      <c r="I48" s="270"/>
    </row>
    <row r="49" spans="1:11" ht="15" customHeight="1">
      <c r="A49" s="368"/>
      <c r="B49" s="368"/>
      <c r="C49" s="270"/>
      <c r="D49" s="270"/>
      <c r="E49" s="270"/>
      <c r="F49" s="270"/>
      <c r="G49" s="270"/>
      <c r="H49" s="270"/>
      <c r="I49" s="270"/>
    </row>
    <row r="50" spans="1:11" ht="15" customHeight="1">
      <c r="A50" s="368"/>
      <c r="B50" s="368"/>
      <c r="C50" s="270"/>
      <c r="D50" s="270"/>
      <c r="E50" s="270"/>
      <c r="F50" s="270"/>
      <c r="G50" s="270"/>
      <c r="H50" s="270"/>
      <c r="I50" s="270"/>
    </row>
    <row r="51" spans="1:11" ht="15" customHeight="1">
      <c r="A51" s="368"/>
      <c r="B51" s="368"/>
      <c r="C51" s="270"/>
      <c r="D51" s="270"/>
      <c r="E51" s="270"/>
      <c r="F51" s="270"/>
      <c r="G51" s="270"/>
      <c r="H51" s="270"/>
      <c r="I51" s="270"/>
    </row>
    <row r="52" spans="1:11" ht="15" customHeight="1">
      <c r="A52" s="368"/>
      <c r="B52" s="368"/>
      <c r="C52" s="270"/>
      <c r="D52" s="270"/>
      <c r="E52" s="270"/>
      <c r="F52" s="270"/>
      <c r="G52" s="270"/>
      <c r="H52" s="270"/>
      <c r="I52" s="270"/>
    </row>
    <row r="53" spans="1:11" ht="15" customHeight="1">
      <c r="A53" s="368"/>
      <c r="B53" s="368"/>
      <c r="C53" s="270"/>
      <c r="D53" s="270"/>
      <c r="E53" s="270"/>
      <c r="F53" s="270"/>
      <c r="G53" s="270"/>
      <c r="H53" s="270"/>
      <c r="I53" s="270"/>
    </row>
    <row r="54" spans="1:11" ht="15" customHeight="1">
      <c r="A54" s="368"/>
      <c r="B54" s="368"/>
      <c r="C54" s="270"/>
      <c r="D54" s="270"/>
      <c r="E54" s="270"/>
      <c r="F54" s="270"/>
      <c r="G54" s="270"/>
      <c r="H54" s="270"/>
      <c r="I54" s="270"/>
    </row>
    <row r="55" spans="1:11" ht="15" customHeight="1">
      <c r="A55" s="476"/>
      <c r="B55" s="476"/>
      <c r="C55" s="326"/>
      <c r="D55" s="326"/>
      <c r="E55" s="326"/>
      <c r="F55" s="326"/>
      <c r="G55" s="326"/>
      <c r="H55" s="326"/>
      <c r="I55" s="326"/>
    </row>
    <row r="56" spans="1:11" ht="15" customHeight="1">
      <c r="A56" s="476"/>
      <c r="B56" s="476"/>
      <c r="C56" s="326"/>
      <c r="D56" s="326"/>
      <c r="E56" s="326"/>
      <c r="F56" s="326"/>
      <c r="G56" s="326"/>
      <c r="H56" s="326"/>
      <c r="I56" s="326"/>
    </row>
    <row r="57" spans="1:11" ht="15" customHeight="1">
      <c r="A57" s="476"/>
      <c r="B57" s="476"/>
      <c r="C57" s="326"/>
      <c r="D57" s="326"/>
      <c r="E57" s="326"/>
      <c r="F57" s="326"/>
      <c r="G57" s="326"/>
      <c r="H57" s="326"/>
      <c r="I57" s="326"/>
    </row>
    <row r="58" spans="1:11" ht="15" customHeight="1"/>
    <row r="59" spans="1:11" ht="13.5" customHeight="1">
      <c r="A59" s="476" t="s">
        <v>595</v>
      </c>
    </row>
    <row r="60" spans="1:11" ht="3.9" customHeight="1"/>
    <row r="61" spans="1:11" ht="15" customHeight="1"/>
    <row r="62" spans="1:11" ht="15" customHeight="1"/>
    <row r="63" spans="1:11" ht="15" customHeight="1"/>
    <row r="64" spans="1:11" ht="15" customHeight="1">
      <c r="A64" s="476"/>
      <c r="B64" s="318"/>
      <c r="C64" s="318"/>
      <c r="D64" s="318"/>
      <c r="E64" s="318"/>
      <c r="F64" s="318"/>
      <c r="G64" s="318"/>
      <c r="H64" s="318"/>
      <c r="I64" s="318"/>
      <c r="J64" s="318"/>
      <c r="K64" s="318"/>
    </row>
    <row r="65" spans="1:9" ht="15" customHeight="1">
      <c r="A65" s="476"/>
      <c r="B65" s="476"/>
      <c r="C65" s="326"/>
      <c r="D65" s="326"/>
      <c r="E65" s="326"/>
      <c r="F65" s="326"/>
      <c r="G65" s="326"/>
      <c r="H65" s="326"/>
      <c r="I65" s="326"/>
    </row>
    <row r="66" spans="1:9" ht="15" customHeight="1">
      <c r="A66" s="476"/>
      <c r="B66" s="476"/>
      <c r="C66" s="326"/>
      <c r="D66" s="326"/>
      <c r="E66" s="326"/>
      <c r="F66" s="326"/>
      <c r="G66" s="326"/>
      <c r="H66" s="326"/>
      <c r="I66" s="326"/>
    </row>
    <row r="67" spans="1:9" ht="15" customHeight="1">
      <c r="A67" s="476"/>
      <c r="B67" s="476"/>
      <c r="C67" s="326"/>
      <c r="D67" s="326"/>
      <c r="E67" s="326"/>
      <c r="F67" s="326"/>
      <c r="G67" s="326"/>
      <c r="H67" s="326"/>
      <c r="I67" s="326"/>
    </row>
    <row r="68" spans="1:9" ht="15" customHeight="1">
      <c r="A68" s="476"/>
      <c r="B68" s="476"/>
      <c r="C68" s="326"/>
      <c r="D68" s="326"/>
      <c r="E68" s="326"/>
      <c r="F68" s="326"/>
      <c r="G68" s="326"/>
      <c r="H68" s="326"/>
      <c r="I68" s="326"/>
    </row>
    <row r="69" spans="1:9" ht="15" customHeight="1">
      <c r="A69" s="476"/>
      <c r="B69" s="476"/>
      <c r="C69" s="326"/>
      <c r="D69" s="326"/>
      <c r="E69" s="326"/>
      <c r="F69" s="326"/>
      <c r="G69" s="326"/>
      <c r="H69" s="326"/>
      <c r="I69" s="326"/>
    </row>
    <row r="70" spans="1:9" ht="15" customHeight="1">
      <c r="A70" s="476"/>
      <c r="B70" s="476"/>
      <c r="C70" s="326"/>
      <c r="D70" s="326"/>
      <c r="E70" s="326"/>
      <c r="F70" s="326"/>
      <c r="G70" s="326"/>
      <c r="H70" s="326"/>
      <c r="I70" s="326"/>
    </row>
    <row r="71" spans="1:9" ht="15" customHeight="1">
      <c r="A71" s="476"/>
      <c r="B71" s="476"/>
      <c r="C71" s="326"/>
      <c r="D71" s="326"/>
      <c r="E71" s="326"/>
      <c r="F71" s="326"/>
      <c r="G71" s="326"/>
      <c r="H71" s="326"/>
      <c r="I71" s="326"/>
    </row>
    <row r="72" spans="1:9" ht="15" customHeight="1">
      <c r="A72" s="476"/>
      <c r="B72" s="476"/>
      <c r="C72" s="326"/>
      <c r="D72" s="326"/>
      <c r="E72" s="326"/>
      <c r="F72" s="326"/>
      <c r="G72" s="326"/>
      <c r="H72" s="326"/>
      <c r="I72" s="326"/>
    </row>
    <row r="73" spans="1:9" ht="15" customHeight="1">
      <c r="A73" s="476"/>
      <c r="B73" s="476"/>
      <c r="C73" s="326"/>
      <c r="D73" s="326"/>
      <c r="E73" s="326"/>
      <c r="F73" s="326"/>
      <c r="G73" s="326"/>
      <c r="H73" s="326"/>
      <c r="I73" s="326"/>
    </row>
    <row r="74" spans="1:9" ht="15" customHeight="1">
      <c r="A74" s="476"/>
      <c r="B74" s="476"/>
      <c r="C74" s="326"/>
      <c r="D74" s="326"/>
      <c r="E74" s="326"/>
      <c r="F74" s="326"/>
      <c r="G74" s="326"/>
      <c r="H74" s="326"/>
      <c r="I74" s="326"/>
    </row>
    <row r="75" spans="1:9" ht="15" customHeight="1">
      <c r="A75" s="476"/>
      <c r="B75" s="476"/>
      <c r="C75" s="326"/>
      <c r="D75" s="326"/>
      <c r="E75" s="326"/>
      <c r="F75" s="326"/>
      <c r="G75" s="326"/>
      <c r="H75" s="326"/>
      <c r="I75" s="326"/>
    </row>
    <row r="76" spans="1:9" ht="15" customHeight="1">
      <c r="A76" s="476"/>
      <c r="B76" s="476"/>
      <c r="C76" s="326"/>
      <c r="D76" s="326"/>
      <c r="E76" s="326"/>
      <c r="F76" s="326"/>
      <c r="G76" s="326"/>
      <c r="H76" s="326"/>
      <c r="I76" s="326"/>
    </row>
    <row r="77" spans="1:9" ht="15" customHeight="1">
      <c r="A77" s="476"/>
      <c r="B77" s="476"/>
      <c r="C77" s="326"/>
      <c r="D77" s="326"/>
      <c r="E77" s="326"/>
      <c r="F77" s="326"/>
      <c r="G77" s="326"/>
      <c r="H77" s="326"/>
      <c r="I77" s="326"/>
    </row>
    <row r="78" spans="1:9" ht="15" customHeight="1">
      <c r="A78" s="476"/>
      <c r="B78" s="476"/>
      <c r="C78" s="326"/>
      <c r="D78" s="326"/>
      <c r="E78" s="326"/>
      <c r="F78" s="326"/>
      <c r="G78" s="326"/>
      <c r="H78" s="326"/>
      <c r="I78" s="326"/>
    </row>
    <row r="79" spans="1:9" ht="11.1" customHeight="1">
      <c r="A79" s="476"/>
      <c r="B79" s="476"/>
      <c r="C79" s="326"/>
      <c r="D79" s="326"/>
      <c r="E79" s="326"/>
      <c r="F79" s="326"/>
      <c r="G79" s="326"/>
      <c r="H79" s="326"/>
      <c r="I79" s="326"/>
    </row>
    <row r="80" spans="1:9">
      <c r="A80" s="476"/>
      <c r="B80" s="476"/>
      <c r="C80" s="326"/>
      <c r="D80" s="326"/>
      <c r="E80" s="326"/>
      <c r="F80" s="326"/>
      <c r="G80" s="326"/>
      <c r="H80" s="326"/>
      <c r="I80" s="326"/>
    </row>
    <row r="81" spans="1:9">
      <c r="A81" s="476" t="e">
        <f>IF(ISNA(INDEX(ErrorTable,MATCH(#REF!&amp;#REF!&amp;FALSE,ErrorKey,0),6)),"",INDEX(ErrorTable,MATCH(#REF!&amp;#REF!&amp;FALSE,ErrorKey,0),6))</f>
        <v>#REF!</v>
      </c>
      <c r="B81" s="476"/>
      <c r="C81" s="326"/>
      <c r="D81" s="326"/>
      <c r="E81" s="326"/>
      <c r="F81" s="326"/>
      <c r="G81" s="326"/>
      <c r="H81" s="326"/>
      <c r="I81" s="326"/>
    </row>
    <row r="82" spans="1:9">
      <c r="A82" s="476" t="e">
        <f>IF(ISNA(INDEX(ErrorTable,MATCH(#REF!&amp;#REF!&amp;FALSE,ErrorKey,0),6)),"",INDEX(ErrorTable,MATCH(#REF!&amp;#REF!&amp;FALSE,ErrorKey,0),6))</f>
        <v>#REF!</v>
      </c>
      <c r="B82" s="476"/>
      <c r="C82" s="326"/>
      <c r="D82" s="326"/>
      <c r="E82" s="326"/>
      <c r="F82" s="326"/>
      <c r="G82" s="326"/>
      <c r="H82" s="326"/>
      <c r="I82" s="326"/>
    </row>
    <row r="83" spans="1:9">
      <c r="A83" s="476" t="e">
        <f>IF(ISNA(INDEX(ErrorTable,MATCH(#REF!&amp;#REF!&amp;FALSE,ErrorKey,0),6)),"",INDEX(ErrorTable,MATCH(#REF!&amp;#REF!&amp;FALSE,ErrorKey,0),6))</f>
        <v>#REF!</v>
      </c>
      <c r="B83" s="476"/>
      <c r="C83" s="326"/>
      <c r="D83" s="326"/>
      <c r="E83" s="326"/>
      <c r="F83" s="326"/>
      <c r="G83" s="326"/>
      <c r="H83" s="326"/>
      <c r="I83" s="326"/>
    </row>
    <row r="84" spans="1:9" ht="15">
      <c r="A84" s="298" t="e">
        <f>IF(ISNA(INDEX(ErrorTable,MATCH(#REF!&amp;#REF!&amp;FALSE,ErrorKey,0),6)),"",INDEX(ErrorTable,MATCH(#REF!&amp;#REF!&amp;FALSE,ErrorKey,0),6))</f>
        <v>#REF!</v>
      </c>
      <c r="B84" s="476"/>
      <c r="C84" s="326"/>
      <c r="D84" s="326"/>
      <c r="E84" s="326"/>
      <c r="F84" s="326"/>
      <c r="G84" s="326"/>
      <c r="H84" s="326"/>
      <c r="I84" s="326"/>
    </row>
    <row r="85" spans="1:9" ht="15">
      <c r="A85" s="298" t="e">
        <f>IF(ISNA(INDEX(ErrorTable,MATCH(#REF!&amp;#REF!&amp;FALSE,ErrorKey,0),6)),"",INDEX(ErrorTable,MATCH(#REF!&amp;#REF!&amp;FALSE,ErrorKey,0),6))</f>
        <v>#REF!</v>
      </c>
      <c r="B85" s="298"/>
    </row>
    <row r="86" spans="1:9" ht="15">
      <c r="A86" s="298" t="e">
        <f>IF(ISNA(INDEX(ErrorTable,MATCH(#REF!&amp;#REF!&amp;FALSE,ErrorKey,0),6)),"",INDEX(ErrorTable,MATCH(#REF!&amp;#REF!&amp;FALSE,ErrorKey,0),6))</f>
        <v>#REF!</v>
      </c>
      <c r="B86" s="298"/>
    </row>
    <row r="87" spans="1:9" ht="15">
      <c r="A87" s="298" t="e">
        <f>IF(ISNA(INDEX(ErrorTable,MATCH(#REF!&amp;#REF!&amp;FALSE,ErrorKey,0),6)),"",INDEX(ErrorTable,MATCH(#REF!&amp;#REF!&amp;FALSE,ErrorKey,0),6))</f>
        <v>#REF!</v>
      </c>
      <c r="B87" s="298"/>
    </row>
    <row r="88" spans="1:9" ht="15">
      <c r="A88" s="298" t="e">
        <f>IF(ISNA(INDEX(ErrorTable,MATCH(#REF!&amp;#REF!&amp;FALSE,ErrorKey,0),6)),"",INDEX(ErrorTable,MATCH(#REF!&amp;#REF!&amp;FALSE,ErrorKey,0),6))</f>
        <v>#REF!</v>
      </c>
      <c r="B88" s="298"/>
    </row>
    <row r="89" spans="1:9" ht="15">
      <c r="A89" s="298" t="e">
        <f>IF(ISNA(INDEX(ErrorTable,MATCH(#REF!&amp;#REF!&amp;FALSE,ErrorKey,0),6)),"",INDEX(ErrorTable,MATCH(#REF!&amp;#REF!&amp;FALSE,ErrorKey,0),6))</f>
        <v>#REF!</v>
      </c>
      <c r="B89" s="298"/>
    </row>
    <row r="90" spans="1:9" ht="15">
      <c r="A90" s="298" t="e">
        <f>IF(ISNA(INDEX(ErrorTable,MATCH(#REF!&amp;#REF!&amp;FALSE,ErrorKey,0),6)),"",INDEX(ErrorTable,MATCH(#REF!&amp;#REF!&amp;FALSE,ErrorKey,0),6))</f>
        <v>#REF!</v>
      </c>
      <c r="B90" s="298"/>
    </row>
    <row r="91" spans="1:9" ht="15">
      <c r="B91" s="298"/>
    </row>
  </sheetData>
  <sheetProtection algorithmName="SHA-512" hashValue="fl17BBaR/fifF0Mf0Gh3vcaE+dcP2VybIA4uCuVPVokfcCX9EpjRlqQSaMw4y/PPQwcvjsNNTltuxrmszIUvdw==" saltValue="NhZtwG3H+548X9Qg3PYkcA==" spinCount="100000" sheet="1" objects="1" scenarios="1" autoFilter="0"/>
  <mergeCells count="14">
    <mergeCell ref="A3:I3"/>
    <mergeCell ref="A2:I2"/>
    <mergeCell ref="J1:J3"/>
    <mergeCell ref="A1:I1"/>
    <mergeCell ref="F34:I34"/>
    <mergeCell ref="C21:I21"/>
    <mergeCell ref="A7:C7"/>
    <mergeCell ref="C16:I16"/>
    <mergeCell ref="G5:I5"/>
    <mergeCell ref="G6:I6"/>
    <mergeCell ref="G7:I7"/>
    <mergeCell ref="C17:I17"/>
    <mergeCell ref="C18:I18"/>
    <mergeCell ref="C20:I20"/>
  </mergeCells>
  <conditionalFormatting sqref="E27">
    <cfRule type="containsText" dxfId="50" priority="3" stopIfTrue="1" operator="containsText" text="Answer Missing">
      <formula>NOT(ISERROR(SEARCH("Answer Missing",E27)))</formula>
    </cfRule>
  </conditionalFormatting>
  <conditionalFormatting sqref="F34:F35">
    <cfRule type="containsText" dxfId="49" priority="2" stopIfTrue="1" operator="containsText" text="Response for No needed">
      <formula>NOT(ISERROR(SEARCH("Response for No needed",F34)))</formula>
    </cfRule>
  </conditionalFormatting>
  <conditionalFormatting sqref="F34:G35">
    <cfRule type="containsText" dxfId="48" priority="1" stopIfTrue="1" operator="containsText" text="Response for No needed">
      <formula>NOT(ISERROR(SEARCH("Response for No needed",F34)))</formula>
    </cfRule>
  </conditionalFormatting>
  <conditionalFormatting sqref="J1:J3">
    <cfRule type="cellIs" dxfId="47" priority="4" stopIfTrue="1" operator="equal">
      <formula>"na"</formula>
    </cfRule>
  </conditionalFormatting>
  <hyperlinks>
    <hyperlink ref="A1:I1" location="Index!A1" display="Index!A1" xr:uid="{00000000-0004-0000-0900-000000000000}"/>
    <hyperlink ref="A2:I2" location="Index!A1" display="Index!A1" xr:uid="{00000000-0004-0000-0900-000001000000}"/>
    <hyperlink ref="A12" r:id="rId1" xr:uid="{00000000-0004-0000-0900-000002000000}"/>
  </hyperlinks>
  <printOptions horizontalCentered="1"/>
  <pageMargins left="0.5" right="0.25" top="0.5" bottom="0.25" header="0.5" footer="0.25"/>
  <pageSetup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8">
    <pageSetUpPr fitToPage="1"/>
  </sheetPr>
  <dimension ref="A1:AA85"/>
  <sheetViews>
    <sheetView showGridLines="0" zoomScaleNormal="100" workbookViewId="0">
      <selection activeCell="B24" sqref="B24:M24"/>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9.85546875" style="200" customWidth="1"/>
    <col min="12" max="12" width="7.140625" style="200" customWidth="1"/>
    <col min="13" max="13" width="18.28515625" style="200" customWidth="1"/>
    <col min="14" max="14" width="5.42578125" style="200" customWidth="1"/>
    <col min="15" max="16384" width="10.7109375" style="200"/>
  </cols>
  <sheetData>
    <row r="1" spans="1:27" s="196" customFormat="1" ht="15" customHeight="1">
      <c r="A1" s="1113" t="str">
        <f>+Index!$A$1</f>
        <v>Office of the State Controller</v>
      </c>
      <c r="B1" s="1113"/>
      <c r="C1" s="1113"/>
      <c r="D1" s="1113"/>
      <c r="E1" s="1113"/>
      <c r="F1" s="1113"/>
      <c r="G1" s="1113"/>
      <c r="H1" s="1113"/>
      <c r="I1" s="1113"/>
      <c r="J1" s="1113"/>
      <c r="K1" s="1113"/>
      <c r="L1" s="1113"/>
      <c r="M1" s="1113"/>
      <c r="N1" s="1112" t="str">
        <f>IF(Index!$B$48="na","NA","")</f>
        <v/>
      </c>
      <c r="AA1" s="197"/>
    </row>
    <row r="2" spans="1:27" s="196" customFormat="1" ht="15" customHeight="1">
      <c r="A2" s="1114" t="str">
        <f>+Index!$A$2</f>
        <v>2023 Year-End ACFR Package</v>
      </c>
      <c r="B2" s="1114"/>
      <c r="C2" s="1114"/>
      <c r="D2" s="1114"/>
      <c r="E2" s="1114"/>
      <c r="F2" s="1114"/>
      <c r="G2" s="1114"/>
      <c r="H2" s="1114"/>
      <c r="I2" s="1114"/>
      <c r="J2" s="1114"/>
      <c r="K2" s="1114"/>
      <c r="L2" s="1114"/>
      <c r="M2" s="1114"/>
      <c r="N2" s="1112"/>
    </row>
    <row r="3" spans="1:27" s="196" customFormat="1" ht="15" customHeight="1">
      <c r="A3" s="1114" t="s">
        <v>596</v>
      </c>
      <c r="B3" s="1114"/>
      <c r="C3" s="1114"/>
      <c r="D3" s="1114"/>
      <c r="E3" s="1114"/>
      <c r="F3" s="1114"/>
      <c r="G3" s="1114"/>
      <c r="H3" s="1114"/>
      <c r="I3" s="1114"/>
      <c r="J3" s="1114"/>
      <c r="K3" s="1114"/>
      <c r="L3" s="1114"/>
      <c r="M3" s="1114"/>
      <c r="N3" s="1112"/>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479</v>
      </c>
      <c r="J5" s="1080" t="str">
        <f>+Index!$D$10</f>
        <v>C0</v>
      </c>
      <c r="K5" s="1080"/>
      <c r="L5" s="1080"/>
      <c r="M5" s="1080"/>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480</v>
      </c>
      <c r="J6" s="1076" t="str">
        <f>+Index!$D$9</f>
        <v>Alamance Community College</v>
      </c>
      <c r="K6" s="1076"/>
      <c r="L6" s="1076"/>
      <c r="M6" s="1076"/>
      <c r="N6" s="318"/>
      <c r="O6" s="318"/>
      <c r="P6" s="318"/>
      <c r="Q6" s="318"/>
      <c r="R6" s="318"/>
      <c r="S6" s="318"/>
      <c r="T6" s="318"/>
      <c r="U6" s="318"/>
      <c r="V6" s="318"/>
      <c r="W6" s="318"/>
      <c r="X6" s="318"/>
      <c r="Y6" s="318"/>
      <c r="Z6" s="318"/>
      <c r="AA6" s="318"/>
    </row>
    <row r="7" spans="1:27" s="198" customFormat="1" ht="15" customHeight="1">
      <c r="A7" s="318" t="s">
        <v>597</v>
      </c>
      <c r="B7" s="318"/>
      <c r="C7" s="318"/>
      <c r="D7" s="862" t="s">
        <v>598</v>
      </c>
      <c r="E7" s="863"/>
      <c r="F7" s="318"/>
      <c r="G7" s="318"/>
      <c r="H7" s="318"/>
      <c r="I7" s="320" t="s">
        <v>481</v>
      </c>
      <c r="J7" s="1094" t="str">
        <f>CONCATENATE(Index!$D$11," ",Index!$D$12)</f>
        <v xml:space="preserve"> </v>
      </c>
      <c r="K7" s="1094"/>
      <c r="L7" s="1094"/>
      <c r="M7" s="1094"/>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4.4" customHeight="1">
      <c r="A10" s="318" t="s">
        <v>599</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198" customFormat="1" ht="14.4" customHeight="1">
      <c r="A11" s="318" t="s">
        <v>600</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row>
    <row r="12" spans="1:27" s="198" customFormat="1" ht="14.4" customHeight="1">
      <c r="A12" s="203" t="s">
        <v>601</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row>
    <row r="13" spans="1:27" s="198" customFormat="1" ht="14.4" customHeight="1">
      <c r="A13" s="1115" t="s">
        <v>602</v>
      </c>
      <c r="B13" s="1116"/>
      <c r="C13" s="1116"/>
      <c r="D13" s="1116"/>
      <c r="E13" s="1116"/>
      <c r="F13" s="1116"/>
      <c r="G13" s="1116"/>
      <c r="H13" s="1116"/>
      <c r="I13" s="1116"/>
      <c r="J13" s="1116"/>
      <c r="K13" s="1116"/>
      <c r="L13" s="1116"/>
      <c r="M13" s="1116"/>
      <c r="N13" s="318"/>
      <c r="O13" s="318"/>
      <c r="P13" s="318"/>
      <c r="Q13" s="318"/>
      <c r="R13" s="318"/>
      <c r="S13" s="318"/>
      <c r="T13" s="318"/>
      <c r="U13" s="318"/>
      <c r="V13" s="318"/>
      <c r="W13" s="318"/>
      <c r="X13" s="318"/>
      <c r="Y13" s="318"/>
      <c r="Z13" s="318"/>
      <c r="AA13" s="318"/>
    </row>
    <row r="14" spans="1:27" s="198" customFormat="1" ht="12.75" customHeight="1">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row>
    <row r="15" spans="1:27" s="198" customFormat="1" ht="15" customHeight="1">
      <c r="A15" s="318" t="s">
        <v>603</v>
      </c>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row>
    <row r="16" spans="1:27" s="198" customFormat="1" ht="12.75" customHeight="1">
      <c r="A16" s="318"/>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row>
    <row r="17" spans="1:13" s="198" customFormat="1" ht="15" customHeight="1">
      <c r="A17" s="318" t="s">
        <v>604</v>
      </c>
      <c r="B17" s="318"/>
      <c r="C17" s="318"/>
      <c r="D17" s="318"/>
      <c r="E17" s="318"/>
      <c r="F17" s="318"/>
      <c r="G17" s="318"/>
      <c r="H17" s="318"/>
      <c r="I17" s="318"/>
      <c r="J17" s="318"/>
      <c r="K17" s="318"/>
      <c r="L17" s="318"/>
      <c r="M17" s="318"/>
    </row>
    <row r="18" spans="1:13" s="198" customFormat="1" ht="12.75" customHeight="1">
      <c r="A18" s="318" t="s">
        <v>605</v>
      </c>
      <c r="B18" s="318"/>
      <c r="C18" s="318"/>
      <c r="D18" s="318"/>
      <c r="E18" s="318"/>
      <c r="F18" s="318"/>
      <c r="G18" s="318"/>
      <c r="H18" s="318"/>
      <c r="I18" s="318"/>
      <c r="J18" s="318"/>
      <c r="K18" s="318"/>
      <c r="L18" s="318"/>
      <c r="M18" s="318"/>
    </row>
    <row r="19" spans="1:13" s="198" customFormat="1" ht="12.75" customHeight="1">
      <c r="A19" s="318"/>
      <c r="B19" s="318"/>
      <c r="C19" s="318"/>
      <c r="D19" s="318"/>
      <c r="E19" s="318"/>
      <c r="F19" s="318"/>
      <c r="G19" s="318"/>
      <c r="H19" s="318"/>
      <c r="I19" s="318"/>
      <c r="J19" s="318"/>
      <c r="K19" s="318"/>
      <c r="L19" s="318"/>
      <c r="M19" s="318"/>
    </row>
    <row r="20" spans="1:13" s="198" customFormat="1" ht="12.75" customHeight="1">
      <c r="A20" s="809" t="s">
        <v>606</v>
      </c>
      <c r="B20" s="505" t="s">
        <v>607</v>
      </c>
      <c r="C20" s="746"/>
      <c r="D20" s="505"/>
      <c r="E20" s="505"/>
      <c r="F20" s="505"/>
      <c r="G20" s="505"/>
      <c r="H20" s="505"/>
      <c r="I20" s="505"/>
      <c r="J20" s="505"/>
      <c r="K20" s="505"/>
      <c r="L20" s="318"/>
      <c r="M20" s="318"/>
    </row>
    <row r="21" spans="1:13" s="198" customFormat="1" ht="6" customHeight="1">
      <c r="A21" s="203"/>
      <c r="B21" s="318"/>
      <c r="C21" s="318"/>
      <c r="D21" s="318"/>
      <c r="E21" s="318"/>
      <c r="F21" s="318"/>
      <c r="G21" s="318"/>
      <c r="H21" s="318"/>
      <c r="I21" s="318"/>
      <c r="J21" s="318"/>
      <c r="K21" s="318"/>
      <c r="L21" s="318"/>
      <c r="M21" s="318"/>
    </row>
    <row r="22" spans="1:13" ht="15.75" customHeight="1">
      <c r="B22" s="1117"/>
      <c r="C22" s="1117"/>
      <c r="D22" s="1117"/>
      <c r="E22" s="1117"/>
      <c r="F22" s="1117"/>
      <c r="G22" s="1117"/>
      <c r="H22" s="1117"/>
      <c r="I22" s="1117"/>
      <c r="J22" s="1117"/>
      <c r="K22" s="1117"/>
      <c r="L22" s="1117"/>
      <c r="M22" s="1117"/>
    </row>
    <row r="23" spans="1:13" ht="15.75" customHeight="1">
      <c r="B23" s="1117"/>
      <c r="C23" s="1117"/>
      <c r="D23" s="1117"/>
      <c r="E23" s="1117"/>
      <c r="F23" s="1117"/>
      <c r="G23" s="1117"/>
      <c r="H23" s="1117"/>
      <c r="I23" s="1117"/>
      <c r="J23" s="1117"/>
      <c r="K23" s="1117"/>
      <c r="L23" s="1117"/>
      <c r="M23" s="1117"/>
    </row>
    <row r="24" spans="1:13" ht="15.75" customHeight="1">
      <c r="B24" s="1117"/>
      <c r="C24" s="1117"/>
      <c r="D24" s="1117"/>
      <c r="E24" s="1117"/>
      <c r="F24" s="1117"/>
      <c r="G24" s="1117"/>
      <c r="H24" s="1117"/>
      <c r="I24" s="1117"/>
      <c r="J24" s="1117"/>
      <c r="K24" s="1117"/>
      <c r="L24" s="1117"/>
      <c r="M24" s="1117"/>
    </row>
    <row r="25" spans="1:13" ht="15.75" customHeight="1">
      <c r="B25" s="1117"/>
      <c r="C25" s="1117"/>
      <c r="D25" s="1117"/>
      <c r="E25" s="1117"/>
      <c r="F25" s="1117"/>
      <c r="G25" s="1117"/>
      <c r="H25" s="1117"/>
      <c r="I25" s="1117"/>
      <c r="J25" s="1117"/>
      <c r="K25" s="1117"/>
      <c r="L25" s="1117"/>
      <c r="M25" s="1117"/>
    </row>
    <row r="26" spans="1:13" ht="15.75" customHeight="1">
      <c r="B26" s="1117"/>
      <c r="C26" s="1117"/>
      <c r="D26" s="1117"/>
      <c r="E26" s="1117"/>
      <c r="F26" s="1117"/>
      <c r="G26" s="1117"/>
      <c r="H26" s="1117"/>
      <c r="I26" s="1117"/>
      <c r="J26" s="1117"/>
      <c r="K26" s="1117"/>
      <c r="L26" s="1117"/>
      <c r="M26" s="1117"/>
    </row>
    <row r="27" spans="1:13" ht="15.75" customHeight="1">
      <c r="B27" s="1002"/>
      <c r="C27" s="1002"/>
      <c r="D27" s="1002"/>
      <c r="E27" s="1002"/>
      <c r="F27" s="1002"/>
      <c r="G27" s="1002"/>
      <c r="H27" s="1002"/>
      <c r="I27" s="1002"/>
      <c r="J27" s="1002"/>
      <c r="K27" s="1002"/>
      <c r="L27" s="1002"/>
      <c r="M27" s="1002"/>
    </row>
    <row r="28" spans="1:13" ht="15.75" customHeight="1">
      <c r="B28" s="1002"/>
      <c r="C28" s="1002"/>
      <c r="D28" s="1002"/>
      <c r="E28" s="1002"/>
      <c r="F28" s="1002"/>
      <c r="G28" s="1002"/>
      <c r="H28" s="1002"/>
      <c r="I28" s="1002"/>
      <c r="J28" s="1002"/>
      <c r="K28" s="1002"/>
      <c r="L28" s="1002"/>
      <c r="M28" s="1002"/>
    </row>
    <row r="29" spans="1:13" ht="15.75" customHeight="1">
      <c r="B29" s="1117"/>
      <c r="C29" s="1117"/>
      <c r="D29" s="1117"/>
      <c r="E29" s="1117"/>
      <c r="F29" s="1117"/>
      <c r="G29" s="1117"/>
      <c r="H29" s="1117"/>
      <c r="I29" s="1117"/>
      <c r="J29" s="1117"/>
      <c r="K29" s="1117"/>
      <c r="L29" s="1117"/>
      <c r="M29" s="1117"/>
    </row>
    <row r="30" spans="1:13" ht="15.75" customHeight="1">
      <c r="B30" s="1117"/>
      <c r="C30" s="1117"/>
      <c r="D30" s="1117"/>
      <c r="E30" s="1117"/>
      <c r="F30" s="1117"/>
      <c r="G30" s="1117"/>
      <c r="H30" s="1117"/>
      <c r="I30" s="1117"/>
      <c r="J30" s="1117"/>
      <c r="K30" s="1117"/>
      <c r="L30" s="1117"/>
      <c r="M30" s="1117"/>
    </row>
    <row r="31" spans="1:13" ht="15.75" customHeight="1">
      <c r="B31" s="1117"/>
      <c r="C31" s="1117"/>
      <c r="D31" s="1117"/>
      <c r="E31" s="1117"/>
      <c r="F31" s="1117"/>
      <c r="G31" s="1117"/>
      <c r="H31" s="1117"/>
      <c r="I31" s="1117"/>
      <c r="J31" s="1117"/>
      <c r="K31" s="1117"/>
      <c r="L31" s="1117"/>
      <c r="M31" s="1117"/>
    </row>
    <row r="32" spans="1:13" ht="15.75" customHeight="1">
      <c r="B32" s="1117"/>
      <c r="C32" s="1117"/>
      <c r="D32" s="1117"/>
      <c r="E32" s="1117"/>
      <c r="F32" s="1117"/>
      <c r="G32" s="1117"/>
      <c r="H32" s="1117"/>
      <c r="I32" s="1117"/>
      <c r="J32" s="1117"/>
      <c r="K32" s="1117"/>
      <c r="L32" s="1117"/>
      <c r="M32" s="1117"/>
    </row>
    <row r="33" spans="1:13" ht="15.75" customHeight="1">
      <c r="B33" s="1117"/>
      <c r="C33" s="1117"/>
      <c r="D33" s="1117"/>
      <c r="E33" s="1117"/>
      <c r="F33" s="1117"/>
      <c r="G33" s="1117"/>
      <c r="H33" s="1117"/>
      <c r="I33" s="1117"/>
      <c r="J33" s="1117"/>
      <c r="K33" s="1117"/>
      <c r="L33" s="1117"/>
      <c r="M33" s="1117"/>
    </row>
    <row r="34" spans="1:13" ht="15.75" customHeight="1">
      <c r="B34" s="1002"/>
      <c r="C34" s="1002"/>
      <c r="D34" s="1002"/>
      <c r="E34" s="1002"/>
      <c r="F34" s="1002"/>
      <c r="G34" s="1002"/>
      <c r="H34" s="1002"/>
      <c r="I34" s="1002"/>
      <c r="J34" s="1002"/>
      <c r="K34" s="1002"/>
      <c r="L34" s="1002"/>
      <c r="M34" s="1002"/>
    </row>
    <row r="35" spans="1:13" s="198" customFormat="1" ht="9.9" customHeight="1">
      <c r="A35" s="809"/>
      <c r="B35" s="205"/>
      <c r="C35" s="318"/>
      <c r="D35" s="318"/>
      <c r="E35" s="318"/>
      <c r="F35" s="318"/>
      <c r="G35" s="318"/>
      <c r="H35" s="318"/>
      <c r="I35" s="318"/>
      <c r="J35" s="318"/>
      <c r="K35" s="319"/>
      <c r="L35" s="204"/>
      <c r="M35" s="318"/>
    </row>
    <row r="36" spans="1:13" s="198" customFormat="1" ht="12.75" customHeight="1">
      <c r="A36" s="809" t="s">
        <v>608</v>
      </c>
      <c r="B36" s="318" t="s">
        <v>609</v>
      </c>
      <c r="C36" s="505"/>
      <c r="D36" s="318"/>
      <c r="E36" s="318"/>
      <c r="F36" s="318"/>
      <c r="G36" s="318"/>
      <c r="H36" s="318"/>
      <c r="I36" s="318"/>
      <c r="J36" s="318"/>
      <c r="K36" s="319"/>
      <c r="L36" s="204"/>
      <c r="M36" s="318"/>
    </row>
    <row r="37" spans="1:13" s="198" customFormat="1" ht="12.75" customHeight="1">
      <c r="A37" s="809"/>
      <c r="B37" s="318" t="s">
        <v>610</v>
      </c>
      <c r="C37" s="505"/>
      <c r="D37" s="318"/>
      <c r="E37" s="318"/>
      <c r="F37" s="318"/>
      <c r="G37" s="318"/>
      <c r="H37" s="318"/>
      <c r="I37" s="318"/>
      <c r="J37" s="318"/>
      <c r="K37" s="319"/>
      <c r="L37" s="204"/>
      <c r="M37" s="473"/>
    </row>
    <row r="38" spans="1:13" s="198" customFormat="1" ht="12.75" customHeight="1">
      <c r="A38" s="206"/>
      <c r="B38" s="505"/>
      <c r="C38" s="746"/>
      <c r="D38" s="505"/>
      <c r="E38" s="505"/>
      <c r="F38" s="505"/>
      <c r="G38" s="505"/>
      <c r="H38" s="505"/>
      <c r="I38" s="505"/>
      <c r="J38" s="505"/>
      <c r="K38" s="505"/>
      <c r="L38" s="318"/>
      <c r="M38" s="318"/>
    </row>
    <row r="39" spans="1:13" s="198" customFormat="1" ht="12.75" customHeight="1">
      <c r="A39" s="805" t="s">
        <v>611</v>
      </c>
      <c r="B39" s="806" t="s">
        <v>612</v>
      </c>
      <c r="C39" s="746"/>
      <c r="D39" s="806"/>
      <c r="E39" s="806"/>
      <c r="F39" s="806"/>
      <c r="G39" s="806"/>
      <c r="H39" s="806"/>
      <c r="I39" s="806"/>
      <c r="J39" s="806"/>
      <c r="K39" s="806"/>
      <c r="L39" s="318"/>
      <c r="M39" s="318"/>
    </row>
    <row r="40" spans="1:13" s="198" customFormat="1" ht="12.75" customHeight="1">
      <c r="A40" s="805"/>
      <c r="B40" s="807" t="s">
        <v>613</v>
      </c>
      <c r="C40" s="746"/>
      <c r="D40" s="806"/>
      <c r="E40" s="806"/>
      <c r="F40" s="806"/>
      <c r="G40" s="806"/>
      <c r="H40" s="806"/>
      <c r="I40" s="806"/>
      <c r="J40" s="806"/>
      <c r="K40" s="806"/>
      <c r="L40" s="318"/>
      <c r="M40" s="318"/>
    </row>
    <row r="41" spans="1:13" ht="15.75" customHeight="1">
      <c r="B41" s="1117"/>
      <c r="C41" s="1117"/>
      <c r="D41" s="1117"/>
      <c r="E41" s="1117"/>
      <c r="F41" s="1117"/>
      <c r="G41" s="1117"/>
      <c r="H41" s="1117"/>
      <c r="I41" s="1117"/>
      <c r="J41" s="1117"/>
      <c r="K41" s="1117"/>
      <c r="L41" s="1117"/>
      <c r="M41" s="1117"/>
    </row>
    <row r="42" spans="1:13" ht="15.75" customHeight="1">
      <c r="B42" s="1117"/>
      <c r="C42" s="1117"/>
      <c r="D42" s="1117"/>
      <c r="E42" s="1117"/>
      <c r="F42" s="1117"/>
      <c r="G42" s="1117"/>
      <c r="H42" s="1117"/>
      <c r="I42" s="1117"/>
      <c r="J42" s="1117"/>
      <c r="K42" s="1117"/>
      <c r="L42" s="1117"/>
      <c r="M42" s="1117"/>
    </row>
    <row r="43" spans="1:13" ht="15.75" customHeight="1">
      <c r="B43" s="1002"/>
      <c r="C43" s="1002"/>
      <c r="D43" s="1002"/>
      <c r="E43" s="1002"/>
      <c r="F43" s="1002"/>
      <c r="G43" s="1002"/>
      <c r="H43" s="1002"/>
      <c r="I43" s="1002"/>
      <c r="J43" s="1002"/>
      <c r="K43" s="1002"/>
      <c r="L43" s="1002"/>
      <c r="M43" s="1002"/>
    </row>
    <row r="44" spans="1:13" ht="15.75" customHeight="1">
      <c r="B44" s="1002"/>
      <c r="C44" s="1002"/>
      <c r="D44" s="1002"/>
      <c r="E44" s="1002"/>
      <c r="F44" s="1002"/>
      <c r="G44" s="1002"/>
      <c r="H44" s="1002"/>
      <c r="I44" s="1002"/>
      <c r="J44" s="1002"/>
      <c r="K44" s="1002"/>
      <c r="L44" s="1002"/>
      <c r="M44" s="1002"/>
    </row>
    <row r="45" spans="1:13" ht="15.75" customHeight="1">
      <c r="B45" s="1002"/>
      <c r="C45" s="1002"/>
      <c r="D45" s="1002"/>
      <c r="E45" s="1002"/>
      <c r="F45" s="1002"/>
      <c r="G45" s="1002"/>
      <c r="H45" s="1002"/>
      <c r="I45" s="1002"/>
      <c r="J45" s="1002"/>
      <c r="K45" s="1002"/>
      <c r="L45" s="1002"/>
      <c r="M45" s="1002"/>
    </row>
    <row r="46" spans="1:13" ht="15.75" customHeight="1">
      <c r="B46" s="1002"/>
      <c r="C46" s="1002"/>
      <c r="D46" s="1002"/>
      <c r="E46" s="1002"/>
      <c r="F46" s="1002"/>
      <c r="G46" s="1002"/>
      <c r="H46" s="1002"/>
      <c r="I46" s="1002"/>
      <c r="J46" s="1002"/>
      <c r="K46" s="1002"/>
      <c r="L46" s="1002"/>
      <c r="M46" s="1002"/>
    </row>
    <row r="47" spans="1:13" ht="15.75" customHeight="1">
      <c r="B47" s="1117"/>
      <c r="C47" s="1117"/>
      <c r="D47" s="1117"/>
      <c r="E47" s="1117"/>
      <c r="F47" s="1117"/>
      <c r="G47" s="1117"/>
      <c r="H47" s="1117"/>
      <c r="I47" s="1117"/>
      <c r="J47" s="1117"/>
      <c r="K47" s="1117"/>
      <c r="L47" s="1117"/>
      <c r="M47" s="1117"/>
    </row>
    <row r="48" spans="1:13" ht="15.75" customHeight="1">
      <c r="B48" s="1117"/>
      <c r="C48" s="1117"/>
      <c r="D48" s="1117"/>
      <c r="E48" s="1117"/>
      <c r="F48" s="1117"/>
      <c r="G48" s="1117"/>
      <c r="H48" s="1117"/>
      <c r="I48" s="1117"/>
      <c r="J48" s="1117"/>
      <c r="K48" s="1117"/>
      <c r="L48" s="1117"/>
      <c r="M48" s="1117"/>
    </row>
    <row r="49" spans="1:14" ht="15.75" customHeight="1">
      <c r="B49" s="1002"/>
      <c r="C49" s="1002"/>
      <c r="D49" s="1002"/>
      <c r="E49" s="1002"/>
      <c r="F49" s="1002"/>
      <c r="G49" s="1002"/>
      <c r="H49" s="1002"/>
      <c r="I49" s="1002"/>
      <c r="J49" s="1002"/>
      <c r="K49" s="1002"/>
      <c r="L49" s="1002"/>
      <c r="M49" s="1002"/>
    </row>
    <row r="50" spans="1:14" s="198" customFormat="1" ht="12.75" customHeight="1">
      <c r="A50" s="206"/>
      <c r="B50" s="505"/>
      <c r="C50" s="746"/>
      <c r="D50" s="505"/>
      <c r="E50" s="505"/>
      <c r="F50" s="505"/>
      <c r="G50" s="505"/>
      <c r="H50" s="505"/>
      <c r="I50" s="505"/>
      <c r="J50" s="505"/>
      <c r="K50" s="505"/>
      <c r="L50" s="318"/>
      <c r="M50" s="318"/>
      <c r="N50" s="318"/>
    </row>
    <row r="51" spans="1:14" s="198" customFormat="1" ht="12.75" customHeight="1">
      <c r="A51" s="805" t="s">
        <v>614</v>
      </c>
      <c r="B51" s="806" t="s">
        <v>615</v>
      </c>
      <c r="C51" s="746"/>
      <c r="D51" s="806"/>
      <c r="E51" s="806"/>
      <c r="F51" s="806"/>
      <c r="G51" s="806"/>
      <c r="H51" s="806"/>
      <c r="I51" s="806"/>
      <c r="J51" s="806"/>
      <c r="K51" s="806"/>
      <c r="L51" s="318"/>
      <c r="M51" s="318"/>
      <c r="N51" s="318"/>
    </row>
    <row r="52" spans="1:14" s="198" customFormat="1" ht="12.75" customHeight="1">
      <c r="A52" s="805"/>
      <c r="B52" s="807" t="s">
        <v>616</v>
      </c>
      <c r="C52" s="746"/>
      <c r="D52" s="806"/>
      <c r="E52" s="806"/>
      <c r="F52" s="806"/>
      <c r="G52" s="806"/>
      <c r="H52" s="806"/>
      <c r="I52" s="806"/>
      <c r="J52" s="806"/>
      <c r="K52" s="806"/>
      <c r="L52" s="318"/>
      <c r="M52" s="318"/>
      <c r="N52" s="318"/>
    </row>
    <row r="53" spans="1:14" ht="15.75" customHeight="1">
      <c r="B53" s="1117"/>
      <c r="C53" s="1117"/>
      <c r="D53" s="1117"/>
      <c r="E53" s="1117"/>
      <c r="F53" s="1117"/>
      <c r="G53" s="1117"/>
      <c r="H53" s="1117"/>
      <c r="I53" s="1117"/>
      <c r="J53" s="1117"/>
      <c r="K53" s="1117"/>
      <c r="L53" s="1117"/>
      <c r="M53" s="1117"/>
    </row>
    <row r="54" spans="1:14" ht="15.75" customHeight="1">
      <c r="B54" s="1117"/>
      <c r="C54" s="1117"/>
      <c r="D54" s="1117"/>
      <c r="E54" s="1117"/>
      <c r="F54" s="1117"/>
      <c r="G54" s="1117"/>
      <c r="H54" s="1117"/>
      <c r="I54" s="1117"/>
      <c r="J54" s="1117"/>
      <c r="K54" s="1117"/>
      <c r="L54" s="1117"/>
      <c r="M54" s="1117"/>
    </row>
    <row r="55" spans="1:14" ht="15.75" customHeight="1">
      <c r="B55" s="1002"/>
      <c r="C55" s="1002"/>
      <c r="D55" s="1002"/>
      <c r="E55" s="1002"/>
      <c r="F55" s="1002"/>
      <c r="G55" s="1002"/>
      <c r="H55" s="1002"/>
      <c r="I55" s="1002"/>
      <c r="J55" s="1002"/>
      <c r="K55" s="1002"/>
      <c r="L55" s="1002"/>
      <c r="M55" s="1002"/>
    </row>
    <row r="56" spans="1:14" ht="15.75" customHeight="1">
      <c r="B56" s="1002"/>
      <c r="C56" s="1002"/>
      <c r="D56" s="1002"/>
      <c r="E56" s="1002"/>
      <c r="F56" s="1002"/>
      <c r="G56" s="1002"/>
      <c r="H56" s="1002"/>
      <c r="I56" s="1002"/>
      <c r="J56" s="1002"/>
      <c r="K56" s="1002"/>
      <c r="L56" s="1002"/>
      <c r="M56" s="1002"/>
    </row>
    <row r="57" spans="1:14" ht="15.75" customHeight="1">
      <c r="B57" s="1002"/>
      <c r="C57" s="1002"/>
      <c r="D57" s="1002"/>
      <c r="E57" s="1002"/>
      <c r="F57" s="1002"/>
      <c r="G57" s="1002"/>
      <c r="H57" s="1002"/>
      <c r="I57" s="1002"/>
      <c r="J57" s="1002"/>
      <c r="K57" s="1002"/>
      <c r="L57" s="1002"/>
      <c r="M57" s="1002"/>
    </row>
    <row r="58" spans="1:14" ht="15.75" customHeight="1">
      <c r="B58" s="1002"/>
      <c r="C58" s="1002"/>
      <c r="D58" s="1002"/>
      <c r="E58" s="1002"/>
      <c r="F58" s="1002"/>
      <c r="G58" s="1002"/>
      <c r="H58" s="1002"/>
      <c r="I58" s="1002"/>
      <c r="J58" s="1002"/>
      <c r="K58" s="1002"/>
      <c r="L58" s="1002"/>
      <c r="M58" s="1002"/>
    </row>
    <row r="59" spans="1:14" ht="15.75" customHeight="1">
      <c r="B59" s="1117"/>
      <c r="C59" s="1117"/>
      <c r="D59" s="1117"/>
      <c r="E59" s="1117"/>
      <c r="F59" s="1117"/>
      <c r="G59" s="1117"/>
      <c r="H59" s="1117"/>
      <c r="I59" s="1117"/>
      <c r="J59" s="1117"/>
      <c r="K59" s="1117"/>
      <c r="L59" s="1117"/>
      <c r="M59" s="1117"/>
    </row>
    <row r="60" spans="1:14" ht="15.75" customHeight="1">
      <c r="B60" s="1117"/>
      <c r="C60" s="1117"/>
      <c r="D60" s="1117"/>
      <c r="E60" s="1117"/>
      <c r="F60" s="1117"/>
      <c r="G60" s="1117"/>
      <c r="H60" s="1117"/>
      <c r="I60" s="1117"/>
      <c r="J60" s="1117"/>
      <c r="K60" s="1117"/>
      <c r="L60" s="1117"/>
      <c r="M60" s="1117"/>
    </row>
    <row r="61" spans="1:14" ht="15.75" customHeight="1">
      <c r="B61" s="1002"/>
      <c r="C61" s="1002"/>
      <c r="D61" s="1002"/>
      <c r="E61" s="1002"/>
      <c r="F61" s="1002"/>
      <c r="G61" s="1002"/>
      <c r="H61" s="1002"/>
      <c r="I61" s="1002"/>
      <c r="J61" s="1002"/>
      <c r="K61" s="1002"/>
      <c r="L61" s="1002"/>
      <c r="M61" s="1002"/>
    </row>
    <row r="62" spans="1:14" s="198" customFormat="1" ht="12.75" customHeight="1">
      <c r="A62" s="206"/>
      <c r="B62" s="505"/>
      <c r="C62" s="746"/>
      <c r="D62" s="505"/>
      <c r="E62" s="505"/>
      <c r="F62" s="505"/>
      <c r="G62" s="505"/>
      <c r="H62" s="505"/>
      <c r="I62" s="505"/>
      <c r="J62" s="505"/>
      <c r="K62" s="505"/>
      <c r="L62" s="318"/>
      <c r="M62" s="318"/>
      <c r="N62" s="318"/>
    </row>
    <row r="63" spans="1:14" s="198" customFormat="1" ht="13.35" customHeight="1">
      <c r="A63" s="809" t="s">
        <v>617</v>
      </c>
      <c r="B63" s="505" t="s">
        <v>618</v>
      </c>
      <c r="C63" s="746"/>
      <c r="D63" s="505"/>
      <c r="E63" s="505"/>
      <c r="F63" s="505"/>
      <c r="G63" s="505"/>
      <c r="H63" s="505"/>
      <c r="I63" s="505"/>
      <c r="J63" s="505"/>
      <c r="K63" s="505"/>
      <c r="L63" s="318"/>
      <c r="M63" s="864"/>
      <c r="N63" s="318"/>
    </row>
    <row r="64" spans="1:14" s="198" customFormat="1" ht="13.35" customHeight="1">
      <c r="A64" s="809"/>
      <c r="B64" s="207" t="s">
        <v>619</v>
      </c>
      <c r="C64" s="746"/>
      <c r="D64" s="505"/>
      <c r="E64" s="505"/>
      <c r="F64" s="505"/>
      <c r="G64" s="505"/>
      <c r="H64" s="505"/>
      <c r="I64" s="505"/>
      <c r="J64" s="505"/>
      <c r="K64" s="505"/>
      <c r="L64" s="318"/>
      <c r="M64" s="473"/>
      <c r="N64" s="318"/>
    </row>
    <row r="65" spans="1:14" s="198" customFormat="1" ht="13.5" customHeight="1">
      <c r="A65" s="809"/>
      <c r="B65" s="505" t="s">
        <v>620</v>
      </c>
      <c r="C65" s="746"/>
      <c r="D65" s="505"/>
      <c r="E65" s="505"/>
      <c r="F65" s="505"/>
      <c r="G65" s="505"/>
      <c r="H65" s="505"/>
      <c r="I65" s="505"/>
      <c r="J65" s="505"/>
      <c r="K65" s="505"/>
      <c r="L65" s="318"/>
      <c r="M65" s="865"/>
      <c r="N65" s="318"/>
    </row>
    <row r="66" spans="1:14" s="198" customFormat="1" ht="13.5" customHeight="1">
      <c r="A66" s="809"/>
      <c r="B66" s="505" t="s">
        <v>621</v>
      </c>
      <c r="C66" s="746"/>
      <c r="D66" s="505"/>
      <c r="E66" s="505"/>
      <c r="F66" s="505"/>
      <c r="G66" s="505"/>
      <c r="H66" s="505"/>
      <c r="I66" s="505"/>
      <c r="J66" s="505"/>
      <c r="K66" s="505"/>
      <c r="L66" s="318"/>
      <c r="M66" s="473"/>
      <c r="N66" s="318"/>
    </row>
    <row r="67" spans="1:14" s="198" customFormat="1" ht="14.1" customHeight="1" thickBot="1">
      <c r="A67" s="809"/>
      <c r="B67" s="866" t="s">
        <v>622</v>
      </c>
      <c r="C67" s="746"/>
      <c r="D67" s="505"/>
      <c r="E67" s="505"/>
      <c r="F67" s="505"/>
      <c r="G67" s="505"/>
      <c r="H67" s="505"/>
      <c r="I67" s="505"/>
      <c r="J67" s="505"/>
      <c r="K67" s="505"/>
      <c r="L67" s="318"/>
      <c r="M67" s="867">
        <f>M64+M66</f>
        <v>0</v>
      </c>
      <c r="N67" s="864"/>
    </row>
    <row r="68" spans="1:14" s="198" customFormat="1" ht="12.75" customHeight="1" thickTop="1">
      <c r="A68" s="208"/>
      <c r="B68" s="505"/>
      <c r="C68" s="746"/>
      <c r="D68" s="505"/>
      <c r="E68" s="505"/>
      <c r="F68" s="505"/>
      <c r="G68" s="505"/>
      <c r="H68" s="505"/>
      <c r="I68" s="505"/>
      <c r="J68" s="505"/>
      <c r="K68" s="505"/>
      <c r="L68" s="318"/>
      <c r="M68" s="318"/>
      <c r="N68" s="318"/>
    </row>
    <row r="69" spans="1:14" s="198" customFormat="1" ht="12.75" customHeight="1">
      <c r="A69" s="208"/>
      <c r="B69" s="505"/>
      <c r="C69" s="746"/>
      <c r="D69" s="505"/>
      <c r="E69" s="505"/>
      <c r="F69" s="505"/>
      <c r="G69" s="505"/>
      <c r="H69" s="505"/>
      <c r="I69" s="505"/>
      <c r="J69" s="505"/>
      <c r="K69" s="505"/>
      <c r="L69" s="318"/>
      <c r="M69" s="318"/>
      <c r="N69" s="318"/>
    </row>
    <row r="70" spans="1:14" s="198" customFormat="1" ht="12.75" customHeight="1">
      <c r="A70" s="809" t="s">
        <v>623</v>
      </c>
      <c r="B70" s="505" t="s">
        <v>624</v>
      </c>
      <c r="C70" s="505"/>
      <c r="D70" s="505"/>
      <c r="E70" s="505"/>
      <c r="F70" s="505"/>
      <c r="G70" s="505"/>
      <c r="H70" s="505"/>
      <c r="I70" s="505"/>
      <c r="J70" s="505"/>
      <c r="K70" s="505"/>
      <c r="L70" s="318"/>
      <c r="M70" s="318"/>
      <c r="N70" s="318"/>
    </row>
    <row r="71" spans="1:14" s="198" customFormat="1" ht="12.75" customHeight="1">
      <c r="A71" s="505"/>
      <c r="B71" s="868" t="s">
        <v>625</v>
      </c>
      <c r="C71" s="505"/>
      <c r="D71" s="505"/>
      <c r="E71" s="505"/>
      <c r="F71" s="505"/>
      <c r="G71" s="505"/>
      <c r="H71" s="505"/>
      <c r="I71" s="505"/>
      <c r="J71" s="505"/>
      <c r="K71" s="505"/>
      <c r="L71" s="318"/>
      <c r="M71" s="473"/>
      <c r="N71" s="318"/>
    </row>
    <row r="72" spans="1:14" s="198" customFormat="1" ht="12.75" customHeight="1">
      <c r="A72" s="505"/>
      <c r="B72" s="868"/>
      <c r="C72" s="505"/>
      <c r="D72" s="505"/>
      <c r="E72" s="505"/>
      <c r="F72" s="505"/>
      <c r="G72" s="505"/>
      <c r="H72" s="505"/>
      <c r="I72" s="505"/>
      <c r="J72" s="505"/>
      <c r="K72" s="505"/>
      <c r="L72" s="318"/>
      <c r="M72" s="318"/>
      <c r="N72" s="318"/>
    </row>
    <row r="73" spans="1:14" s="198" customFormat="1" ht="12.75" customHeight="1">
      <c r="A73" s="810" t="s">
        <v>626</v>
      </c>
      <c r="B73" s="505" t="s">
        <v>624</v>
      </c>
      <c r="C73" s="505"/>
      <c r="D73" s="505"/>
      <c r="E73" s="505"/>
      <c r="F73" s="505"/>
      <c r="G73" s="505"/>
      <c r="H73" s="505"/>
      <c r="I73" s="505"/>
      <c r="J73" s="505"/>
      <c r="K73" s="505"/>
      <c r="L73" s="318"/>
      <c r="M73" s="318"/>
      <c r="N73" s="318"/>
    </row>
    <row r="74" spans="1:14" s="198" customFormat="1" ht="12.75" customHeight="1">
      <c r="A74" s="505"/>
      <c r="B74" s="868" t="s">
        <v>627</v>
      </c>
      <c r="C74" s="505"/>
      <c r="D74" s="505"/>
      <c r="E74" s="505"/>
      <c r="F74" s="505"/>
      <c r="G74" s="505"/>
      <c r="H74" s="505"/>
      <c r="I74" s="505"/>
      <c r="J74" s="505"/>
      <c r="K74" s="505"/>
      <c r="L74" s="318"/>
      <c r="M74" s="473"/>
      <c r="N74" s="318"/>
    </row>
    <row r="75" spans="1:14" s="198" customFormat="1" ht="12.75" customHeight="1">
      <c r="A75" s="505"/>
      <c r="B75" s="318"/>
      <c r="C75" s="505"/>
      <c r="D75" s="505"/>
      <c r="E75" s="505"/>
      <c r="F75" s="505"/>
      <c r="G75" s="505"/>
      <c r="H75" s="505"/>
      <c r="I75" s="505"/>
      <c r="J75" s="505"/>
      <c r="K75" s="505"/>
      <c r="L75" s="318"/>
      <c r="M75" s="318"/>
      <c r="N75" s="318"/>
    </row>
    <row r="76" spans="1:14" s="198" customFormat="1" ht="12.75" customHeight="1">
      <c r="A76" s="505"/>
      <c r="B76" s="318"/>
      <c r="C76" s="505"/>
      <c r="D76" s="505"/>
      <c r="E76" s="505"/>
      <c r="F76" s="505"/>
      <c r="G76" s="505"/>
      <c r="H76" s="505"/>
      <c r="I76" s="505"/>
      <c r="J76" s="505"/>
      <c r="K76" s="505"/>
      <c r="L76" s="318"/>
      <c r="M76" s="318"/>
      <c r="N76" s="318"/>
    </row>
    <row r="77" spans="1:14" s="198" customFormat="1" ht="12.75" customHeight="1">
      <c r="A77" s="505"/>
      <c r="B77" s="318"/>
      <c r="C77" s="505"/>
      <c r="D77" s="505"/>
      <c r="E77" s="505"/>
      <c r="F77" s="505"/>
      <c r="G77" s="505"/>
      <c r="H77" s="505"/>
      <c r="I77" s="505"/>
      <c r="J77" s="505"/>
      <c r="K77" s="505"/>
      <c r="L77" s="318"/>
      <c r="M77" s="318"/>
      <c r="N77" s="318"/>
    </row>
    <row r="78" spans="1:14" s="198" customFormat="1" ht="12.75" customHeight="1">
      <c r="A78" s="505"/>
      <c r="B78" s="318"/>
      <c r="C78" s="505"/>
      <c r="D78" s="505"/>
      <c r="E78" s="505"/>
      <c r="F78" s="505"/>
      <c r="G78" s="505"/>
      <c r="H78" s="505"/>
      <c r="I78" s="505"/>
      <c r="J78" s="505"/>
      <c r="K78" s="505"/>
      <c r="L78" s="318"/>
      <c r="M78" s="318"/>
      <c r="N78" s="318"/>
    </row>
    <row r="79" spans="1:14" s="198" customFormat="1" ht="12.75" customHeight="1">
      <c r="A79" s="505"/>
      <c r="B79" s="318"/>
      <c r="C79" s="505"/>
      <c r="D79" s="505"/>
      <c r="E79" s="505"/>
      <c r="F79" s="505"/>
      <c r="G79" s="505"/>
      <c r="H79" s="505"/>
      <c r="I79" s="505"/>
      <c r="J79" s="505"/>
      <c r="K79" s="505"/>
      <c r="L79" s="318"/>
      <c r="M79" s="318"/>
      <c r="N79" s="318"/>
    </row>
    <row r="80" spans="1:14" s="198" customFormat="1" ht="12.75" customHeight="1">
      <c r="A80" s="505"/>
      <c r="B80" s="318"/>
      <c r="C80" s="505"/>
      <c r="D80" s="505"/>
      <c r="E80" s="505"/>
      <c r="F80" s="505"/>
      <c r="G80" s="505"/>
      <c r="H80" s="505"/>
      <c r="I80" s="505"/>
      <c r="J80" s="505"/>
      <c r="K80" s="505"/>
      <c r="L80" s="318"/>
      <c r="M80" s="318"/>
      <c r="N80" s="318"/>
    </row>
    <row r="81" spans="1:11" s="198" customFormat="1" ht="12.75" customHeight="1">
      <c r="A81" s="505"/>
      <c r="B81" s="318"/>
      <c r="C81" s="505"/>
      <c r="D81" s="505"/>
      <c r="E81" s="505"/>
      <c r="F81" s="505"/>
      <c r="G81" s="505"/>
      <c r="H81" s="505"/>
      <c r="I81" s="505"/>
      <c r="J81" s="505"/>
      <c r="K81" s="505"/>
    </row>
    <row r="82" spans="1:11" s="198" customFormat="1" ht="9" customHeight="1">
      <c r="A82" s="505"/>
      <c r="B82" s="318"/>
      <c r="C82" s="505"/>
      <c r="D82" s="505"/>
      <c r="E82" s="505"/>
      <c r="F82" s="505"/>
      <c r="G82" s="505"/>
      <c r="H82" s="505"/>
      <c r="I82" s="505"/>
      <c r="J82" s="505"/>
      <c r="K82" s="505"/>
    </row>
    <row r="83" spans="1:11" s="198" customFormat="1" ht="12.75" customHeight="1">
      <c r="A83" s="318"/>
      <c r="B83" s="318"/>
      <c r="C83" s="318"/>
      <c r="D83" s="318"/>
      <c r="E83" s="318"/>
      <c r="F83" s="318"/>
      <c r="G83" s="318"/>
      <c r="H83" s="318"/>
      <c r="I83" s="318"/>
      <c r="J83" s="318"/>
      <c r="K83" s="318"/>
    </row>
    <row r="84" spans="1:11" s="198" customFormat="1" ht="12.75" customHeight="1">
      <c r="A84" s="869"/>
      <c r="B84" s="318"/>
      <c r="C84" s="318"/>
      <c r="D84" s="318"/>
      <c r="E84" s="318"/>
      <c r="F84" s="318"/>
      <c r="G84" s="318"/>
      <c r="H84" s="318"/>
      <c r="I84" s="318"/>
      <c r="J84" s="318"/>
      <c r="K84" s="204"/>
    </row>
    <row r="85" spans="1:11" s="198" customFormat="1" ht="12.75" customHeight="1">
      <c r="A85" s="318"/>
      <c r="B85" s="318"/>
      <c r="C85" s="318"/>
      <c r="D85" s="318"/>
      <c r="E85" s="318"/>
      <c r="F85" s="318"/>
      <c r="G85" s="318"/>
      <c r="H85" s="318"/>
      <c r="I85" s="318"/>
      <c r="J85" s="318"/>
      <c r="K85" s="318"/>
    </row>
  </sheetData>
  <sheetProtection algorithmName="SHA-512" hashValue="3PJMHThL0SrkRQdvCltO3eEB5rev+joBGUr4fVMr0+PGy7BoaoAeY397m2viF73FcvOEZCu4pDB8TE4DHoLiGA==" saltValue="1xNtBn28TCnWMhilpsKoqQ==" spinCount="100000" sheet="1" objects="1" scenarios="1" autoFilter="0"/>
  <mergeCells count="26">
    <mergeCell ref="B53:M53"/>
    <mergeCell ref="B54:M54"/>
    <mergeCell ref="B59:M59"/>
    <mergeCell ref="B60:M60"/>
    <mergeCell ref="B22:M22"/>
    <mergeCell ref="B23:M23"/>
    <mergeCell ref="B24:M24"/>
    <mergeCell ref="B25:M25"/>
    <mergeCell ref="J7:M7"/>
    <mergeCell ref="A13:M13"/>
    <mergeCell ref="B47:M47"/>
    <mergeCell ref="B48:M48"/>
    <mergeCell ref="B41:M41"/>
    <mergeCell ref="B42:M42"/>
    <mergeCell ref="B33:M33"/>
    <mergeCell ref="B26:M26"/>
    <mergeCell ref="B29:M29"/>
    <mergeCell ref="B30:M30"/>
    <mergeCell ref="B31:M31"/>
    <mergeCell ref="B32:M32"/>
    <mergeCell ref="N1:N3"/>
    <mergeCell ref="J5:M5"/>
    <mergeCell ref="J6:M6"/>
    <mergeCell ref="A1:M1"/>
    <mergeCell ref="A2:M2"/>
    <mergeCell ref="A3:M3"/>
  </mergeCells>
  <phoneticPr fontId="3" type="noConversion"/>
  <conditionalFormatting sqref="N1:N3">
    <cfRule type="cellIs" dxfId="46" priority="1" stopIfTrue="1" operator="equal">
      <formula>"na"</formula>
    </cfRule>
  </conditionalFormatting>
  <hyperlinks>
    <hyperlink ref="A1:M1" location="Index!A1" display="Index!A1" xr:uid="{00000000-0004-0000-0A00-000000000000}"/>
    <hyperlink ref="A13" r:id="rId1" xr:uid="{00000000-0004-0000-0A00-000001000000}"/>
    <hyperlink ref="A13:M13" r:id="rId2" display="NC OSC Policy 102.13" xr:uid="{00000000-0004-0000-0A00-000002000000}"/>
  </hyperlinks>
  <printOptions horizontalCentered="1"/>
  <pageMargins left="0.5" right="0.25" top="0.5" bottom="0.25" header="0.5" footer="0.25"/>
  <pageSetup scale="70"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T44"/>
  <sheetViews>
    <sheetView zoomScaleNormal="100" workbookViewId="0">
      <selection activeCell="K24" sqref="K24"/>
    </sheetView>
  </sheetViews>
  <sheetFormatPr defaultColWidth="9.28515625" defaultRowHeight="10.199999999999999"/>
  <cols>
    <col min="1" max="1" width="10.42578125" style="537" customWidth="1"/>
    <col min="2" max="2" width="20.85546875" style="537" customWidth="1"/>
    <col min="3" max="3" width="2.42578125" style="537" customWidth="1"/>
    <col min="4" max="4" width="21.85546875" style="537" customWidth="1"/>
    <col min="5" max="5" width="2" style="537" customWidth="1"/>
    <col min="6" max="7" width="25.85546875" style="537" customWidth="1"/>
    <col min="8" max="16384" width="9.28515625" style="537"/>
  </cols>
  <sheetData>
    <row r="1" spans="1:20" s="529" customFormat="1" ht="15" customHeight="1">
      <c r="A1" s="1121" t="str">
        <f>+Index!$A$1</f>
        <v>Office of the State Controller</v>
      </c>
      <c r="B1" s="1121"/>
      <c r="C1" s="1121"/>
      <c r="D1" s="1121"/>
      <c r="E1" s="1121"/>
      <c r="F1" s="1121"/>
      <c r="G1" s="1121"/>
      <c r="H1" s="1118"/>
      <c r="I1" s="527"/>
      <c r="J1" s="527"/>
      <c r="K1" s="527"/>
      <c r="L1" s="528"/>
      <c r="M1" s="528"/>
      <c r="N1" s="528"/>
      <c r="O1" s="528"/>
      <c r="P1" s="528"/>
      <c r="Q1" s="528"/>
      <c r="R1" s="528"/>
      <c r="S1" s="528"/>
      <c r="T1" s="528"/>
    </row>
    <row r="2" spans="1:20" s="529" customFormat="1" ht="15" customHeight="1">
      <c r="A2" s="1122" t="str">
        <f>+Index!$A$2</f>
        <v>2023 Year-End ACFR Package</v>
      </c>
      <c r="B2" s="1122"/>
      <c r="C2" s="1122"/>
      <c r="D2" s="1122"/>
      <c r="E2" s="1122"/>
      <c r="F2" s="1122"/>
      <c r="G2" s="1122"/>
      <c r="H2" s="1118"/>
      <c r="I2" s="527"/>
      <c r="J2" s="527"/>
      <c r="K2" s="527"/>
      <c r="L2" s="528"/>
      <c r="M2" s="528"/>
      <c r="N2" s="528"/>
      <c r="O2" s="528"/>
      <c r="P2" s="528"/>
      <c r="Q2" s="528"/>
      <c r="R2" s="528"/>
      <c r="S2" s="528"/>
      <c r="T2" s="528"/>
    </row>
    <row r="3" spans="1:20" s="529" customFormat="1" ht="15" customHeight="1">
      <c r="A3" s="1122" t="s">
        <v>628</v>
      </c>
      <c r="B3" s="1122"/>
      <c r="C3" s="1122"/>
      <c r="D3" s="1122"/>
      <c r="E3" s="1122"/>
      <c r="F3" s="1122"/>
      <c r="G3" s="1122"/>
      <c r="H3" s="1118"/>
      <c r="I3" s="527"/>
      <c r="J3" s="527"/>
      <c r="K3" s="527"/>
      <c r="L3" s="528"/>
      <c r="M3" s="528"/>
      <c r="N3" s="528"/>
      <c r="O3" s="528"/>
      <c r="P3" s="528"/>
      <c r="Q3" s="528"/>
      <c r="R3" s="528"/>
      <c r="S3" s="528"/>
      <c r="T3" s="528"/>
    </row>
    <row r="4" spans="1:20" s="529" customFormat="1" ht="15" customHeight="1">
      <c r="A4" s="1003"/>
      <c r="B4" s="1003"/>
      <c r="C4" s="1003"/>
      <c r="D4" s="1003"/>
      <c r="E4" s="1003"/>
      <c r="F4" s="1003"/>
      <c r="G4" s="1003"/>
      <c r="H4" s="527"/>
      <c r="I4" s="527"/>
      <c r="J4" s="527"/>
      <c r="K4" s="527"/>
      <c r="L4" s="528"/>
      <c r="M4" s="528"/>
      <c r="N4" s="528"/>
      <c r="O4" s="528"/>
      <c r="P4" s="528"/>
      <c r="Q4" s="528"/>
      <c r="R4" s="528"/>
      <c r="S4" s="528"/>
      <c r="T4" s="528"/>
    </row>
    <row r="5" spans="1:20" s="533" customFormat="1" ht="15" customHeight="1">
      <c r="A5" s="870"/>
      <c r="B5" s="871"/>
      <c r="C5" s="530"/>
      <c r="D5" s="872" t="s">
        <v>479</v>
      </c>
      <c r="E5" s="872"/>
      <c r="F5" s="1123" t="str">
        <f>+Index!$D$10</f>
        <v>C0</v>
      </c>
      <c r="G5" s="1123"/>
      <c r="H5" s="531"/>
      <c r="I5" s="531"/>
      <c r="J5" s="532"/>
      <c r="K5" s="530"/>
      <c r="L5" s="528"/>
      <c r="M5" s="528"/>
      <c r="N5" s="528"/>
      <c r="O5" s="528"/>
      <c r="P5" s="528"/>
      <c r="Q5" s="528"/>
      <c r="R5" s="528"/>
      <c r="S5" s="528"/>
      <c r="T5" s="528"/>
    </row>
    <row r="6" spans="1:20" s="533" customFormat="1" ht="15" customHeight="1">
      <c r="A6" s="536"/>
      <c r="B6" s="871"/>
      <c r="D6" s="872" t="s">
        <v>480</v>
      </c>
      <c r="E6" s="872"/>
      <c r="F6" s="1119" t="str">
        <f>+Index!$D$9</f>
        <v>Alamance Community College</v>
      </c>
      <c r="G6" s="1119"/>
      <c r="H6" s="531"/>
      <c r="I6" s="531"/>
      <c r="J6" s="532"/>
      <c r="L6" s="528"/>
      <c r="M6" s="528"/>
      <c r="N6" s="528"/>
      <c r="O6" s="528"/>
      <c r="P6" s="528"/>
      <c r="Q6" s="528"/>
      <c r="R6" s="528"/>
      <c r="S6" s="528"/>
      <c r="T6" s="528"/>
    </row>
    <row r="7" spans="1:20" s="533" customFormat="1" ht="15" customHeight="1">
      <c r="D7" s="872" t="s">
        <v>481</v>
      </c>
      <c r="E7" s="872"/>
      <c r="F7" s="1120" t="str">
        <f>CONCATENATE(Index!$D$11," ",Index!$D$12)</f>
        <v xml:space="preserve"> </v>
      </c>
      <c r="G7" s="1120"/>
      <c r="H7" s="531"/>
      <c r="I7" s="531"/>
      <c r="J7" s="532"/>
      <c r="L7" s="528"/>
      <c r="M7" s="528"/>
      <c r="N7" s="528"/>
      <c r="O7" s="528"/>
      <c r="P7" s="528"/>
      <c r="Q7" s="528"/>
      <c r="R7" s="528"/>
      <c r="S7" s="528"/>
      <c r="T7" s="528"/>
    </row>
    <row r="8" spans="1:20" s="533" customFormat="1" ht="15" customHeight="1" thickBot="1">
      <c r="A8" s="534"/>
      <c r="B8" s="534"/>
      <c r="C8" s="534"/>
      <c r="D8" s="873"/>
      <c r="E8" s="873"/>
      <c r="F8" s="534"/>
      <c r="G8" s="535"/>
      <c r="H8" s="531"/>
      <c r="I8" s="531"/>
      <c r="J8" s="532"/>
      <c r="L8" s="528"/>
      <c r="M8" s="528"/>
      <c r="N8" s="528"/>
      <c r="O8" s="528"/>
      <c r="P8" s="528"/>
      <c r="Q8" s="528"/>
      <c r="R8" s="528"/>
      <c r="S8" s="528"/>
      <c r="T8" s="528"/>
    </row>
    <row r="9" spans="1:20" s="533" customFormat="1" ht="15" customHeight="1">
      <c r="H9" s="532"/>
      <c r="I9" s="532"/>
      <c r="J9" s="532"/>
      <c r="L9" s="528"/>
      <c r="M9" s="528"/>
      <c r="N9" s="528"/>
      <c r="O9" s="528"/>
      <c r="P9" s="528"/>
      <c r="Q9" s="528"/>
      <c r="R9" s="528"/>
      <c r="S9" s="528"/>
      <c r="T9" s="528"/>
    </row>
    <row r="10" spans="1:20" s="533" customFormat="1" ht="13.2">
      <c r="A10" s="874" t="s">
        <v>417</v>
      </c>
      <c r="H10" s="532"/>
      <c r="I10" s="532"/>
      <c r="J10" s="532"/>
      <c r="L10" s="528"/>
      <c r="M10" s="528"/>
      <c r="N10" s="528"/>
      <c r="O10" s="528"/>
      <c r="P10" s="528"/>
      <c r="Q10" s="528"/>
      <c r="R10" s="528"/>
      <c r="S10" s="528"/>
      <c r="T10" s="528"/>
    </row>
    <row r="11" spans="1:20" s="533" customFormat="1" ht="13.2">
      <c r="A11" s="536" t="s">
        <v>629</v>
      </c>
      <c r="H11" s="532"/>
      <c r="I11" s="532"/>
      <c r="J11" s="532"/>
      <c r="L11" s="528"/>
      <c r="M11" s="528"/>
      <c r="N11" s="528"/>
      <c r="O11" s="528"/>
      <c r="P11" s="528"/>
      <c r="Q11" s="528"/>
      <c r="R11" s="528"/>
      <c r="S11" s="528"/>
      <c r="T11" s="528"/>
    </row>
    <row r="12" spans="1:20" s="533" customFormat="1" ht="13.2">
      <c r="A12" s="536" t="s">
        <v>630</v>
      </c>
      <c r="H12" s="532"/>
      <c r="I12" s="532"/>
      <c r="J12" s="532"/>
      <c r="L12" s="528"/>
      <c r="M12" s="528"/>
      <c r="N12" s="528"/>
      <c r="O12" s="528"/>
      <c r="P12" s="528"/>
      <c r="Q12" s="528"/>
      <c r="R12" s="528"/>
      <c r="S12" s="528"/>
      <c r="T12" s="528"/>
    </row>
    <row r="13" spans="1:20" s="533" customFormat="1" ht="13.2">
      <c r="A13" s="536"/>
      <c r="H13" s="532"/>
      <c r="I13" s="532"/>
      <c r="J13" s="532"/>
      <c r="L13" s="528"/>
      <c r="M13" s="528"/>
      <c r="N13" s="528"/>
      <c r="O13" s="528"/>
      <c r="P13" s="528"/>
      <c r="Q13" s="528"/>
      <c r="R13" s="528"/>
      <c r="S13" s="528"/>
      <c r="T13" s="528"/>
    </row>
    <row r="16" spans="1:20" ht="13.2">
      <c r="B16" s="538" t="s">
        <v>631</v>
      </c>
      <c r="D16" s="539"/>
      <c r="F16" s="540" t="str">
        <f>IF(ISBLANK(D16)=TRUE,"# of Buildings Missing"," ")</f>
        <v># of Buildings Missing</v>
      </c>
    </row>
    <row r="30" spans="1:7" ht="13.2">
      <c r="A30" s="533"/>
      <c r="B30" s="533"/>
      <c r="C30" s="533"/>
      <c r="D30" s="872"/>
      <c r="E30" s="872"/>
      <c r="F30" s="533"/>
      <c r="G30" s="599"/>
    </row>
    <row r="31" spans="1:7">
      <c r="A31" s="533"/>
      <c r="B31" s="533"/>
      <c r="C31" s="533"/>
      <c r="D31" s="533"/>
      <c r="E31" s="533"/>
      <c r="F31" s="533"/>
      <c r="G31" s="533"/>
    </row>
    <row r="33" spans="1:7">
      <c r="A33" s="533"/>
      <c r="B33" s="533"/>
      <c r="C33" s="533"/>
      <c r="D33" s="533"/>
      <c r="E33" s="533"/>
      <c r="F33" s="533"/>
      <c r="G33" s="533"/>
    </row>
    <row r="36" spans="1:7" ht="15.6">
      <c r="A36" s="566"/>
      <c r="B36" s="567"/>
      <c r="C36" s="567"/>
      <c r="D36" s="567"/>
      <c r="E36" s="567"/>
      <c r="F36" s="567"/>
      <c r="G36" s="567"/>
    </row>
    <row r="38" spans="1:7" ht="13.2">
      <c r="A38" s="568"/>
      <c r="B38" s="568"/>
      <c r="C38" s="568"/>
      <c r="D38" s="568"/>
      <c r="E38" s="568"/>
      <c r="F38" s="568"/>
      <c r="G38" s="568"/>
    </row>
    <row r="39" spans="1:7" ht="13.2">
      <c r="A39" s="568"/>
      <c r="B39" s="568"/>
      <c r="C39" s="568"/>
      <c r="D39" s="568"/>
      <c r="E39" s="568"/>
      <c r="F39" s="568"/>
      <c r="G39" s="568"/>
    </row>
    <row r="40" spans="1:7" ht="13.2">
      <c r="A40" s="568"/>
      <c r="B40" s="568"/>
      <c r="C40" s="568"/>
      <c r="D40" s="568"/>
      <c r="E40" s="568"/>
      <c r="F40" s="568"/>
      <c r="G40" s="568"/>
    </row>
    <row r="41" spans="1:7" ht="13.2">
      <c r="A41" s="568"/>
      <c r="B41" s="568"/>
      <c r="C41" s="568"/>
      <c r="D41" s="568"/>
      <c r="E41" s="568"/>
      <c r="F41" s="568"/>
      <c r="G41" s="568"/>
    </row>
    <row r="42" spans="1:7" ht="13.2">
      <c r="A42" s="569"/>
      <c r="B42" s="568"/>
      <c r="C42" s="568"/>
      <c r="D42" s="568"/>
      <c r="E42" s="568"/>
      <c r="F42" s="598"/>
      <c r="G42" s="568"/>
    </row>
    <row r="43" spans="1:7" ht="13.2">
      <c r="A43" s="568"/>
      <c r="B43" s="568"/>
      <c r="C43" s="568"/>
      <c r="D43" s="568"/>
      <c r="E43" s="568"/>
      <c r="F43" s="568"/>
      <c r="G43" s="568"/>
    </row>
    <row r="44" spans="1:7" ht="13.2">
      <c r="A44" s="568"/>
      <c r="B44" s="568"/>
      <c r="C44" s="568"/>
      <c r="D44" s="568"/>
      <c r="E44" s="568"/>
      <c r="F44" s="568"/>
      <c r="G44" s="568"/>
    </row>
  </sheetData>
  <sheetProtection algorithmName="SHA-512" hashValue="huvWRJ1oWg5qmq5HZPdx6IicmaZ1IIdahINEoDtWEDqClf+HPtdzIvTvXQ5s6rIazidomrFW992AUm9sXY1/pQ==" saltValue="7walc5XdBLsepZRAM4j2nA==" spinCount="100000" sheet="1" objects="1" scenarios="1" autoFilter="0"/>
  <mergeCells count="7">
    <mergeCell ref="H1:H3"/>
    <mergeCell ref="F6:G6"/>
    <mergeCell ref="F7:G7"/>
    <mergeCell ref="A1:G1"/>
    <mergeCell ref="A2:G2"/>
    <mergeCell ref="A3:G3"/>
    <mergeCell ref="F5:G5"/>
  </mergeCells>
  <phoneticPr fontId="43" type="noConversion"/>
  <conditionalFormatting sqref="F16">
    <cfRule type="containsText" dxfId="45" priority="1" stopIfTrue="1" operator="containsText" text="# of Buildings Missing">
      <formula>NOT(ISERROR(SEARCH("# of Buildings Missing",F16)))</formula>
    </cfRule>
  </conditionalFormatting>
  <conditionalFormatting sqref="H1:H3">
    <cfRule type="cellIs" dxfId="44" priority="2" stopIfTrue="1" operator="equal">
      <formula>"na"</formula>
    </cfRule>
  </conditionalFormatting>
  <hyperlinks>
    <hyperlink ref="A1:G1" location="Index!A1" display="Index!A1" xr:uid="{00000000-0004-0000-0B00-000000000000}"/>
  </hyperlinks>
  <printOptions horizontalCentered="1"/>
  <pageMargins left="0.5" right="0.25" top="0.5" bottom="0.25" header="0.5" footer="0.2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F145"/>
  <sheetViews>
    <sheetView showGridLines="0" topLeftCell="C1" zoomScaleNormal="100" workbookViewId="0">
      <selection activeCell="O30" sqref="O30:O35"/>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31" ht="25.2" customHeight="1">
      <c r="A1" s="220" t="str">
        <f>Index!$D$10</f>
        <v>C0</v>
      </c>
      <c r="C1" s="1063" t="str">
        <f>+Index!$A$1</f>
        <v>Office of the State Controller</v>
      </c>
      <c r="D1" s="1063"/>
      <c r="E1" s="1063"/>
      <c r="F1" s="1063"/>
      <c r="G1" s="1063"/>
      <c r="H1" s="1063"/>
      <c r="I1" s="1063"/>
      <c r="J1" s="1063"/>
      <c r="K1" s="1063"/>
      <c r="L1" s="1063"/>
      <c r="M1" s="1112"/>
      <c r="N1" s="1001"/>
      <c r="P1" s="666" t="str">
        <f>IF(Index!$B$50="na","NA","")</f>
        <v/>
      </c>
    </row>
    <row r="2" spans="1:31" ht="15" customHeight="1">
      <c r="A2" s="220" t="str">
        <f>Index!$D$10</f>
        <v>C0</v>
      </c>
      <c r="C2" s="1128" t="str">
        <f>+Index!$A$2</f>
        <v>2023 Year-End ACFR Package</v>
      </c>
      <c r="D2" s="1128"/>
      <c r="E2" s="1128"/>
      <c r="F2" s="1128"/>
      <c r="G2" s="1128"/>
      <c r="H2" s="1128"/>
      <c r="I2" s="1128"/>
      <c r="J2" s="1128"/>
      <c r="K2" s="1128"/>
      <c r="L2" s="1128"/>
      <c r="M2" s="1112"/>
      <c r="N2" s="1001"/>
      <c r="O2" s="632"/>
      <c r="P2" s="666"/>
    </row>
    <row r="3" spans="1:31" ht="15" customHeight="1">
      <c r="A3" s="220" t="str">
        <f>Index!$D$10</f>
        <v>C0</v>
      </c>
      <c r="C3" s="1128" t="s">
        <v>632</v>
      </c>
      <c r="D3" s="1128"/>
      <c r="E3" s="1128"/>
      <c r="F3" s="1128"/>
      <c r="G3" s="1128"/>
      <c r="H3" s="1128"/>
      <c r="I3" s="1128"/>
      <c r="J3" s="1128"/>
      <c r="K3" s="1128"/>
      <c r="L3" s="1128"/>
      <c r="M3" s="1112"/>
      <c r="N3" s="1001"/>
      <c r="P3" s="666"/>
    </row>
    <row r="4" spans="1:31" ht="15" customHeight="1">
      <c r="A4" s="220" t="str">
        <f>Index!$D$10</f>
        <v>C0</v>
      </c>
      <c r="C4" s="632"/>
      <c r="D4" s="220"/>
      <c r="E4" s="633"/>
      <c r="F4" s="633"/>
      <c r="G4" s="633"/>
      <c r="H4" s="633"/>
      <c r="I4" s="633"/>
      <c r="J4" s="633"/>
      <c r="K4" s="633"/>
      <c r="L4" s="633"/>
    </row>
    <row r="5" spans="1:31" ht="15" customHeight="1">
      <c r="A5" s="220" t="str">
        <f>Index!$D$10</f>
        <v>C0</v>
      </c>
      <c r="C5" s="220"/>
      <c r="D5" s="220"/>
      <c r="E5" s="220"/>
      <c r="F5" s="634"/>
      <c r="G5" s="220"/>
      <c r="H5" s="875"/>
      <c r="I5" s="635" t="s">
        <v>633</v>
      </c>
      <c r="J5" s="1125" t="str">
        <f>+Index!$D$10</f>
        <v>C0</v>
      </c>
      <c r="K5" s="1125"/>
      <c r="L5" s="1125"/>
    </row>
    <row r="6" spans="1:31" ht="15" customHeight="1">
      <c r="A6" s="220" t="str">
        <f>Index!$D$10</f>
        <v>C0</v>
      </c>
      <c r="C6" s="220"/>
      <c r="D6" s="220"/>
      <c r="E6" s="220"/>
      <c r="F6" s="220"/>
      <c r="G6" s="220"/>
      <c r="H6" s="875"/>
      <c r="I6" s="635" t="s">
        <v>480</v>
      </c>
      <c r="J6" s="1126" t="str">
        <f>+Index!$D$9</f>
        <v>Alamance Community College</v>
      </c>
      <c r="K6" s="1126"/>
      <c r="L6" s="1126"/>
    </row>
    <row r="7" spans="1:31" ht="15" customHeight="1">
      <c r="A7" s="220" t="str">
        <f>Index!$D$10</f>
        <v>C0</v>
      </c>
      <c r="C7" s="220"/>
      <c r="D7" s="220"/>
      <c r="E7" s="220"/>
      <c r="F7" s="636"/>
      <c r="G7" s="220"/>
      <c r="H7" s="875"/>
      <c r="I7" s="635" t="s">
        <v>481</v>
      </c>
      <c r="J7" s="1127" t="str">
        <f>CONCATENATE(Index!$D$11," ",Index!$D$12)</f>
        <v xml:space="preserve"> </v>
      </c>
      <c r="K7" s="1127"/>
      <c r="L7" s="1127"/>
    </row>
    <row r="8" spans="1:31" ht="15" customHeight="1" thickBot="1">
      <c r="A8" s="220" t="str">
        <f>Index!$D$10</f>
        <v>C0</v>
      </c>
      <c r="C8" s="637"/>
      <c r="D8" s="637"/>
      <c r="E8" s="637"/>
      <c r="F8" s="637"/>
      <c r="G8" s="637"/>
      <c r="H8" s="637"/>
      <c r="I8" s="637"/>
      <c r="J8" s="637"/>
      <c r="K8" s="637"/>
      <c r="L8" s="637"/>
      <c r="M8" s="637"/>
      <c r="N8" s="637"/>
    </row>
    <row r="9" spans="1:31" ht="7.5" customHeight="1">
      <c r="A9" s="220" t="str">
        <f>Index!$D$10</f>
        <v>C0</v>
      </c>
      <c r="C9" s="220"/>
      <c r="D9" s="220"/>
      <c r="E9" s="220"/>
      <c r="F9" s="220"/>
      <c r="G9" s="220"/>
      <c r="H9" s="220"/>
      <c r="I9" s="220"/>
      <c r="J9" s="220"/>
      <c r="K9" s="220"/>
      <c r="L9" s="220"/>
    </row>
    <row r="10" spans="1:31" ht="13.2">
      <c r="A10" s="220" t="str">
        <f>Index!$D$10</f>
        <v>C0</v>
      </c>
      <c r="C10" s="27" t="s">
        <v>634</v>
      </c>
      <c r="D10" s="183"/>
      <c r="E10" s="784"/>
      <c r="F10" s="183"/>
      <c r="G10" s="183"/>
      <c r="H10" s="183"/>
      <c r="I10" s="183"/>
      <c r="J10" s="183"/>
      <c r="K10" s="785"/>
      <c r="L10" s="786"/>
      <c r="M10" s="786"/>
      <c r="N10" s="786"/>
      <c r="O10" s="786"/>
      <c r="P10" s="786"/>
      <c r="R10" s="786"/>
      <c r="S10" s="786"/>
      <c r="T10" s="786"/>
      <c r="U10" s="786"/>
      <c r="V10" s="786"/>
      <c r="W10" s="786"/>
      <c r="X10" s="786"/>
      <c r="Y10" s="786"/>
      <c r="Z10" s="786"/>
      <c r="AA10" s="786"/>
      <c r="AB10" s="786"/>
      <c r="AC10" s="786"/>
      <c r="AD10" s="786"/>
      <c r="AE10" s="786"/>
    </row>
    <row r="11" spans="1:31" ht="13.2">
      <c r="C11" s="27" t="s">
        <v>635</v>
      </c>
      <c r="D11" s="183"/>
      <c r="E11" s="784"/>
      <c r="F11" s="183"/>
      <c r="G11" s="183"/>
      <c r="H11" s="183"/>
      <c r="I11" s="183"/>
      <c r="J11" s="183"/>
      <c r="K11" s="785"/>
      <c r="L11" s="786"/>
      <c r="M11" s="786"/>
      <c r="N11" s="786"/>
      <c r="O11" s="786"/>
      <c r="P11" s="786"/>
      <c r="R11" s="786"/>
      <c r="S11" s="786"/>
      <c r="T11" s="786"/>
      <c r="U11" s="786"/>
      <c r="V11" s="786"/>
      <c r="W11" s="786"/>
      <c r="X11" s="786"/>
      <c r="Y11" s="786"/>
      <c r="Z11" s="786"/>
      <c r="AA11" s="786"/>
      <c r="AB11" s="786"/>
      <c r="AC11" s="786"/>
      <c r="AD11" s="786"/>
      <c r="AE11" s="786"/>
    </row>
    <row r="12" spans="1:31" ht="13.2">
      <c r="C12" s="27" t="s">
        <v>636</v>
      </c>
      <c r="D12" s="183"/>
      <c r="E12" s="784"/>
      <c r="F12" s="183"/>
      <c r="G12" s="183"/>
      <c r="H12" s="183"/>
      <c r="I12" s="183"/>
      <c r="J12" s="183"/>
      <c r="K12" s="785"/>
      <c r="L12" s="786"/>
      <c r="M12" s="786"/>
      <c r="N12" s="786"/>
      <c r="O12" s="786"/>
      <c r="P12" s="786"/>
      <c r="R12" s="786"/>
      <c r="S12" s="786"/>
      <c r="T12" s="786"/>
      <c r="U12" s="786"/>
      <c r="V12" s="786"/>
      <c r="W12" s="786"/>
      <c r="X12" s="786"/>
      <c r="Y12" s="786"/>
      <c r="Z12" s="786"/>
      <c r="AA12" s="786"/>
      <c r="AB12" s="786"/>
      <c r="AC12" s="786"/>
      <c r="AD12" s="786"/>
      <c r="AE12" s="786"/>
    </row>
    <row r="13" spans="1:31" ht="13.2">
      <c r="C13" s="27" t="s">
        <v>637</v>
      </c>
      <c r="D13" s="183"/>
      <c r="E13" s="784"/>
      <c r="F13" s="183"/>
      <c r="G13" s="183"/>
      <c r="H13" s="183"/>
      <c r="I13" s="183"/>
      <c r="J13" s="183"/>
      <c r="K13" s="785"/>
      <c r="L13" s="786"/>
      <c r="M13" s="786"/>
      <c r="N13" s="786"/>
      <c r="O13" s="786"/>
      <c r="P13" s="786"/>
      <c r="R13" s="786"/>
      <c r="S13" s="786"/>
      <c r="T13" s="786"/>
      <c r="U13" s="786"/>
      <c r="V13" s="786"/>
      <c r="W13" s="786"/>
      <c r="X13" s="786"/>
      <c r="Y13" s="786"/>
      <c r="Z13" s="786"/>
      <c r="AA13" s="786"/>
      <c r="AB13" s="786"/>
      <c r="AC13" s="786"/>
      <c r="AD13" s="786"/>
      <c r="AE13" s="786"/>
    </row>
    <row r="14" spans="1:31">
      <c r="C14" s="638"/>
      <c r="D14" s="221"/>
      <c r="E14" s="221"/>
      <c r="F14" s="221"/>
      <c r="G14" s="221"/>
      <c r="H14" s="221"/>
      <c r="I14" s="221"/>
      <c r="J14" s="221"/>
      <c r="K14" s="221"/>
      <c r="L14" s="221"/>
      <c r="M14" s="221"/>
      <c r="N14" s="221"/>
      <c r="O14" s="221"/>
      <c r="P14" s="221"/>
    </row>
    <row r="15" spans="1:31" ht="12.6" customHeight="1">
      <c r="C15" s="32" t="s">
        <v>638</v>
      </c>
      <c r="D15" s="221"/>
      <c r="E15" s="221"/>
      <c r="F15" s="221"/>
      <c r="G15" s="221"/>
      <c r="H15" s="221"/>
      <c r="I15" s="221"/>
      <c r="J15" s="221"/>
      <c r="K15" s="221"/>
      <c r="L15" s="220"/>
      <c r="M15" s="221"/>
      <c r="N15" s="221"/>
      <c r="O15" s="221"/>
      <c r="P15" s="221"/>
    </row>
    <row r="16" spans="1:31">
      <c r="A16" s="220" t="str">
        <f>Index!$D$10</f>
        <v>C0</v>
      </c>
      <c r="C16" s="221" t="s">
        <v>639</v>
      </c>
      <c r="D16" s="221"/>
      <c r="E16" s="221"/>
      <c r="F16" s="221"/>
      <c r="G16" s="221"/>
      <c r="H16" s="221"/>
      <c r="I16" s="221"/>
      <c r="J16" s="221"/>
      <c r="K16" s="221"/>
      <c r="L16" s="220"/>
      <c r="M16" s="221"/>
      <c r="N16" s="221"/>
      <c r="O16" s="221"/>
      <c r="P16" s="221"/>
    </row>
    <row r="17" spans="1:17" ht="8.1" customHeight="1">
      <c r="A17" s="220" t="str">
        <f>Index!$D$10</f>
        <v>C0</v>
      </c>
      <c r="C17" s="221"/>
      <c r="D17" s="221"/>
      <c r="E17" s="221"/>
      <c r="F17" s="221"/>
      <c r="G17" s="221"/>
      <c r="H17" s="221"/>
      <c r="I17" s="221"/>
      <c r="J17" s="221"/>
      <c r="K17" s="221"/>
      <c r="L17" s="221"/>
      <c r="M17" s="221"/>
      <c r="N17" s="221"/>
      <c r="O17" s="221"/>
      <c r="P17" s="221"/>
    </row>
    <row r="18" spans="1:17" s="223" customFormat="1" ht="11.1" customHeight="1">
      <c r="A18" s="220" t="str">
        <f>Index!$D$10</f>
        <v>C0</v>
      </c>
      <c r="B18" s="759"/>
      <c r="C18" s="326"/>
      <c r="D18" s="326"/>
      <c r="E18" s="326"/>
      <c r="F18" s="222" t="s">
        <v>640</v>
      </c>
      <c r="G18" s="326"/>
      <c r="H18" s="326"/>
      <c r="I18" s="326"/>
      <c r="J18" s="326"/>
      <c r="K18" s="326"/>
      <c r="L18" s="974" t="s">
        <v>641</v>
      </c>
      <c r="M18" s="974"/>
      <c r="N18" s="974" t="s">
        <v>642</v>
      </c>
      <c r="O18" s="326"/>
      <c r="P18" s="326"/>
      <c r="Q18" s="759"/>
    </row>
    <row r="19" spans="1:17" s="223" customFormat="1" ht="12" customHeight="1">
      <c r="A19" s="220" t="str">
        <f>Index!$D$10</f>
        <v>C0</v>
      </c>
      <c r="B19" s="759"/>
      <c r="C19" s="326"/>
      <c r="D19" s="326"/>
      <c r="E19" s="326"/>
      <c r="F19" s="222" t="s">
        <v>643</v>
      </c>
      <c r="G19" s="326"/>
      <c r="H19" s="326"/>
      <c r="I19" s="326"/>
      <c r="J19" s="326"/>
      <c r="K19" s="759"/>
      <c r="L19" s="222"/>
      <c r="M19" s="222"/>
      <c r="N19" s="222"/>
      <c r="O19" s="326"/>
      <c r="P19" s="326"/>
      <c r="Q19" s="759"/>
    </row>
    <row r="20" spans="1:17" s="223" customFormat="1" ht="12" customHeight="1">
      <c r="A20" s="220" t="str">
        <f>Index!$D$10</f>
        <v>C0</v>
      </c>
      <c r="B20" s="759"/>
      <c r="C20" s="326"/>
      <c r="D20" s="326"/>
      <c r="E20" s="326"/>
      <c r="F20" s="804" t="s">
        <v>644</v>
      </c>
      <c r="G20" s="326"/>
      <c r="H20" s="326"/>
      <c r="I20" s="326"/>
      <c r="J20" s="326"/>
      <c r="K20" s="759"/>
      <c r="L20" s="804" t="s">
        <v>645</v>
      </c>
      <c r="M20" s="222"/>
      <c r="N20" s="804" t="s">
        <v>646</v>
      </c>
      <c r="O20" s="326"/>
      <c r="P20" s="326"/>
      <c r="Q20" s="759"/>
    </row>
    <row r="21" spans="1:17" s="223" customFormat="1" ht="12" hidden="1" customHeight="1">
      <c r="A21" s="220" t="str">
        <f>Index!$D$10</f>
        <v>C0</v>
      </c>
      <c r="B21" s="759"/>
      <c r="C21" s="326"/>
      <c r="D21" s="326"/>
      <c r="E21" s="326"/>
      <c r="F21" s="222"/>
      <c r="G21" s="326"/>
      <c r="H21" s="326"/>
      <c r="I21" s="326"/>
      <c r="J21" s="326"/>
      <c r="K21" s="759"/>
      <c r="L21" s="804" t="s">
        <v>647</v>
      </c>
      <c r="M21" s="222"/>
      <c r="N21" s="222"/>
      <c r="O21" s="326"/>
      <c r="P21" s="326"/>
      <c r="Q21" s="759"/>
    </row>
    <row r="22" spans="1:17" ht="12" customHeight="1">
      <c r="A22" s="220" t="str">
        <f>Index!$D$10</f>
        <v>C0</v>
      </c>
      <c r="B22" s="220">
        <v>105</v>
      </c>
      <c r="C22" s="221"/>
      <c r="D22" s="221"/>
      <c r="E22" s="221"/>
      <c r="F22" s="876">
        <f>YEAR(Index!$A$122)</f>
        <v>2024</v>
      </c>
      <c r="G22" s="221"/>
      <c r="H22" s="221"/>
      <c r="I22" s="639"/>
      <c r="J22" s="640"/>
      <c r="K22" s="641"/>
      <c r="L22" s="218"/>
      <c r="M22" s="221"/>
      <c r="N22" s="218">
        <v>0</v>
      </c>
      <c r="O22" s="221"/>
      <c r="P22" s="221"/>
      <c r="Q22" s="758" t="s">
        <v>648</v>
      </c>
    </row>
    <row r="23" spans="1:17" ht="12" customHeight="1">
      <c r="A23" s="220" t="str">
        <f>Index!$D$10</f>
        <v>C0</v>
      </c>
      <c r="B23" s="220">
        <v>110</v>
      </c>
      <c r="C23" s="221"/>
      <c r="D23" s="221"/>
      <c r="E23" s="221"/>
      <c r="F23" s="876">
        <f>F22+1</f>
        <v>2025</v>
      </c>
      <c r="G23" s="221"/>
      <c r="H23" s="221"/>
      <c r="I23" s="221"/>
      <c r="J23" s="640"/>
      <c r="K23" s="640"/>
      <c r="L23" s="218">
        <v>0</v>
      </c>
      <c r="M23" s="221"/>
      <c r="N23" s="218">
        <v>0</v>
      </c>
      <c r="O23" s="221"/>
      <c r="P23" s="221"/>
      <c r="Q23" s="758" t="s">
        <v>649</v>
      </c>
    </row>
    <row r="24" spans="1:17" ht="12" customHeight="1">
      <c r="A24" s="220" t="str">
        <f>Index!$D$10</f>
        <v>C0</v>
      </c>
      <c r="B24" s="220">
        <v>115</v>
      </c>
      <c r="C24" s="221"/>
      <c r="D24" s="221"/>
      <c r="E24" s="221"/>
      <c r="F24" s="876">
        <f>F23+1</f>
        <v>2026</v>
      </c>
      <c r="G24" s="221"/>
      <c r="H24" s="221"/>
      <c r="I24" s="221"/>
      <c r="J24" s="640"/>
      <c r="K24" s="640"/>
      <c r="L24" s="218">
        <v>0</v>
      </c>
      <c r="M24" s="221"/>
      <c r="N24" s="218">
        <v>0</v>
      </c>
      <c r="O24" s="221"/>
      <c r="P24" s="221"/>
      <c r="Q24" s="758" t="s">
        <v>650</v>
      </c>
    </row>
    <row r="25" spans="1:17" ht="11.4" customHeight="1">
      <c r="A25" s="220" t="str">
        <f>Index!$D$10</f>
        <v>C0</v>
      </c>
      <c r="B25" s="220">
        <v>120</v>
      </c>
      <c r="C25" s="221"/>
      <c r="D25" s="221"/>
      <c r="E25" s="221"/>
      <c r="F25" s="876">
        <f>F24+1</f>
        <v>2027</v>
      </c>
      <c r="G25" s="221"/>
      <c r="H25" s="221"/>
      <c r="I25" s="221"/>
      <c r="J25" s="640"/>
      <c r="K25" s="640"/>
      <c r="L25" s="218">
        <v>0</v>
      </c>
      <c r="M25" s="221"/>
      <c r="N25" s="218">
        <v>0</v>
      </c>
      <c r="O25" s="221"/>
      <c r="P25" s="221"/>
      <c r="Q25" s="758" t="s">
        <v>651</v>
      </c>
    </row>
    <row r="26" spans="1:17" ht="12" customHeight="1">
      <c r="A26" s="220" t="str">
        <f>Index!$D$10</f>
        <v>C0</v>
      </c>
      <c r="B26" s="220">
        <v>125</v>
      </c>
      <c r="C26" s="221"/>
      <c r="D26" s="221"/>
      <c r="E26" s="221"/>
      <c r="F26" s="876">
        <f>F25+1</f>
        <v>2028</v>
      </c>
      <c r="G26" s="221"/>
      <c r="H26" s="221"/>
      <c r="I26" s="221"/>
      <c r="J26" s="640"/>
      <c r="K26" s="640"/>
      <c r="L26" s="218">
        <v>0</v>
      </c>
      <c r="M26" s="221"/>
      <c r="N26" s="218">
        <v>0</v>
      </c>
      <c r="O26" s="221"/>
      <c r="P26" s="221"/>
      <c r="Q26" s="758" t="s">
        <v>652</v>
      </c>
    </row>
    <row r="27" spans="1:17" ht="12" customHeight="1">
      <c r="A27" s="220" t="str">
        <f>Index!$D$10</f>
        <v>C0</v>
      </c>
      <c r="B27" s="220">
        <v>130</v>
      </c>
      <c r="C27" s="221"/>
      <c r="D27" s="221"/>
      <c r="E27" s="642">
        <f>F26+1</f>
        <v>2029</v>
      </c>
      <c r="F27" s="876" t="str">
        <f>E27&amp;" - "&amp;(E27+4)</f>
        <v>2029 - 2033</v>
      </c>
      <c r="G27" s="221"/>
      <c r="H27" s="221"/>
      <c r="I27" s="221"/>
      <c r="J27" s="640"/>
      <c r="K27" s="640"/>
      <c r="L27" s="218">
        <v>0</v>
      </c>
      <c r="M27" s="221"/>
      <c r="N27" s="218">
        <v>0</v>
      </c>
      <c r="O27" s="221"/>
      <c r="P27" s="221"/>
      <c r="Q27" s="758" t="s">
        <v>653</v>
      </c>
    </row>
    <row r="28" spans="1:17" ht="12" customHeight="1">
      <c r="A28" s="220" t="str">
        <f>Index!$D$10</f>
        <v>C0</v>
      </c>
      <c r="B28" s="220">
        <v>135</v>
      </c>
      <c r="C28" s="221"/>
      <c r="D28" s="221"/>
      <c r="E28" s="643">
        <f>E27+5</f>
        <v>2034</v>
      </c>
      <c r="F28" s="876" t="str">
        <f>E28&amp;" - "&amp;(E28+4)</f>
        <v>2034 - 2038</v>
      </c>
      <c r="G28" s="221"/>
      <c r="H28" s="221"/>
      <c r="I28" s="221"/>
      <c r="J28" s="640"/>
      <c r="K28" s="640"/>
      <c r="L28" s="218"/>
      <c r="M28" s="221"/>
      <c r="N28" s="218"/>
      <c r="O28" s="221"/>
      <c r="P28" s="221"/>
      <c r="Q28" s="758" t="s">
        <v>654</v>
      </c>
    </row>
    <row r="29" spans="1:17" ht="12" customHeight="1">
      <c r="A29" s="220" t="str">
        <f>Index!$D$10</f>
        <v>C0</v>
      </c>
      <c r="B29" s="220">
        <v>140</v>
      </c>
      <c r="C29" s="221"/>
      <c r="D29" s="221"/>
      <c r="E29" s="643">
        <f>E28+5</f>
        <v>2039</v>
      </c>
      <c r="F29" s="876" t="str">
        <f>E29&amp;" - "&amp;(E29+4)</f>
        <v>2039 - 2043</v>
      </c>
      <c r="G29" s="221"/>
      <c r="H29" s="221"/>
      <c r="I29" s="221"/>
      <c r="J29" s="640"/>
      <c r="K29" s="640"/>
      <c r="L29" s="218">
        <v>0</v>
      </c>
      <c r="M29" s="221"/>
      <c r="N29" s="218"/>
      <c r="O29" s="221"/>
      <c r="P29" s="221"/>
      <c r="Q29" s="758" t="s">
        <v>655</v>
      </c>
    </row>
    <row r="30" spans="1:17" ht="15.6" customHeight="1" thickBot="1">
      <c r="A30" s="220" t="str">
        <f>Index!$D$10</f>
        <v>C0</v>
      </c>
      <c r="B30" s="220">
        <v>145</v>
      </c>
      <c r="C30" s="221"/>
      <c r="D30" s="221"/>
      <c r="E30" s="643">
        <f>E29+5</f>
        <v>2044</v>
      </c>
      <c r="F30" s="876" t="str">
        <f>E30&amp;" - "&amp;(E30+4)</f>
        <v>2044 - 2048</v>
      </c>
      <c r="G30" s="221"/>
      <c r="H30" s="221"/>
      <c r="I30" s="639"/>
      <c r="J30" s="640"/>
      <c r="K30" s="640"/>
      <c r="L30" s="219"/>
      <c r="M30" s="221"/>
      <c r="N30" s="219">
        <v>0</v>
      </c>
      <c r="O30" s="1124" t="str">
        <f>IF(L33='Long-Term Liabilities'!O17," "," Lease Pmts must tie to Leases Payable on Long-Term Liabilities worksheet")</f>
        <v xml:space="preserve"> Lease Pmts must tie to Leases Payable on Long-Term Liabilities worksheet</v>
      </c>
      <c r="P30" s="221"/>
      <c r="Q30" s="758" t="s">
        <v>656</v>
      </c>
    </row>
    <row r="31" spans="1:17" ht="11.4" customHeight="1">
      <c r="A31" s="220" t="str">
        <f>Index!$D$10</f>
        <v>C0</v>
      </c>
      <c r="C31" s="221"/>
      <c r="D31" s="221"/>
      <c r="E31" s="643"/>
      <c r="F31" s="876"/>
      <c r="G31" s="221"/>
      <c r="H31" s="221"/>
      <c r="I31" s="639"/>
      <c r="J31" s="640"/>
      <c r="K31" s="640"/>
      <c r="L31" s="644" t="s">
        <v>657</v>
      </c>
      <c r="M31" s="221"/>
      <c r="N31" s="221"/>
      <c r="O31" s="1124"/>
      <c r="P31" s="221"/>
    </row>
    <row r="32" spans="1:17" ht="12" customHeight="1" thickBot="1">
      <c r="A32" s="220" t="str">
        <f>Index!$D$10</f>
        <v>C0</v>
      </c>
      <c r="B32" s="220">
        <v>180</v>
      </c>
      <c r="C32" s="221"/>
      <c r="D32" s="221"/>
      <c r="E32" s="221"/>
      <c r="F32" s="326" t="s">
        <v>658</v>
      </c>
      <c r="G32" s="221"/>
      <c r="H32" s="221"/>
      <c r="I32" s="221"/>
      <c r="J32" s="640"/>
      <c r="K32" s="640"/>
      <c r="L32" s="645">
        <f>SUM(L22:L30)</f>
        <v>0</v>
      </c>
      <c r="M32" s="221"/>
      <c r="N32" s="645">
        <f>SUM(N22:N30)</f>
        <v>0</v>
      </c>
      <c r="O32" s="1124"/>
      <c r="P32" s="221"/>
    </row>
    <row r="33" spans="1:17" ht="19.95" customHeight="1" thickTop="1">
      <c r="A33" s="220" t="str">
        <f>Index!$D$10</f>
        <v>C0</v>
      </c>
      <c r="B33" s="220">
        <v>185</v>
      </c>
      <c r="C33" s="221"/>
      <c r="D33" s="221"/>
      <c r="E33" s="221"/>
      <c r="F33" s="326" t="s">
        <v>659</v>
      </c>
      <c r="G33" s="221"/>
      <c r="H33" s="221"/>
      <c r="I33" s="221"/>
      <c r="J33" s="938"/>
      <c r="K33" s="939"/>
      <c r="L33" s="940">
        <f>L32</f>
        <v>0</v>
      </c>
      <c r="M33" s="221"/>
      <c r="N33" s="221"/>
      <c r="O33" s="1124"/>
      <c r="P33" s="221"/>
      <c r="Q33" s="758"/>
    </row>
    <row r="34" spans="1:17" ht="18.600000000000001" customHeight="1">
      <c r="A34" s="220" t="str">
        <f>Index!$D$10</f>
        <v>C0</v>
      </c>
      <c r="C34" s="221"/>
      <c r="D34" s="221"/>
      <c r="E34" s="221"/>
      <c r="F34" s="326"/>
      <c r="G34" s="221"/>
      <c r="H34" s="221"/>
      <c r="I34" s="221"/>
      <c r="J34" s="938"/>
      <c r="K34" s="938"/>
      <c r="L34" s="938"/>
      <c r="M34" s="221"/>
      <c r="N34" s="221"/>
      <c r="O34" s="1124"/>
      <c r="P34" s="221"/>
    </row>
    <row r="35" spans="1:17" ht="12" customHeight="1">
      <c r="A35" s="220" t="str">
        <f>Index!$D$10</f>
        <v>C0</v>
      </c>
      <c r="B35" s="220">
        <v>190</v>
      </c>
      <c r="C35" s="221"/>
      <c r="D35" s="221"/>
      <c r="E35" s="221"/>
      <c r="F35" s="326"/>
      <c r="G35" s="221"/>
      <c r="H35" s="221"/>
      <c r="I35" s="221"/>
      <c r="J35" s="640"/>
      <c r="K35" s="640"/>
      <c r="L35" s="938"/>
      <c r="M35" s="221"/>
      <c r="N35" s="221"/>
      <c r="O35" s="1124"/>
      <c r="P35" s="221"/>
    </row>
    <row r="36" spans="1:17" s="223" customFormat="1" ht="13.2" customHeight="1">
      <c r="A36" s="220" t="str">
        <f>Index!$D$10</f>
        <v>C0</v>
      </c>
      <c r="B36" s="759"/>
      <c r="C36" s="476" t="s">
        <v>660</v>
      </c>
      <c r="D36" s="326" t="s">
        <v>661</v>
      </c>
      <c r="E36" s="326"/>
      <c r="F36" s="221"/>
      <c r="G36" s="221"/>
      <c r="H36" s="221"/>
      <c r="I36" s="221"/>
      <c r="J36" s="221"/>
      <c r="K36" s="221"/>
      <c r="L36" s="221"/>
      <c r="M36" s="221"/>
      <c r="N36" s="221"/>
      <c r="O36" s="221"/>
      <c r="P36" s="221"/>
      <c r="Q36" s="759"/>
    </row>
    <row r="37" spans="1:17" s="223" customFormat="1" ht="6.6" customHeight="1">
      <c r="A37" s="220"/>
      <c r="B37" s="759"/>
      <c r="C37" s="476"/>
      <c r="D37" s="326"/>
      <c r="E37" s="326"/>
      <c r="F37" s="221"/>
      <c r="G37" s="221"/>
      <c r="H37" s="221"/>
      <c r="I37" s="221"/>
      <c r="J37" s="221"/>
      <c r="K37" s="221"/>
      <c r="L37" s="221"/>
      <c r="M37" s="221"/>
      <c r="N37" s="221"/>
      <c r="O37" s="759"/>
      <c r="P37" s="221"/>
      <c r="Q37" s="759"/>
    </row>
    <row r="38" spans="1:17" s="223" customFormat="1" ht="12.6" customHeight="1">
      <c r="A38" s="220"/>
      <c r="B38" s="759"/>
      <c r="C38" s="646" t="s">
        <v>662</v>
      </c>
      <c r="D38" s="476"/>
      <c r="E38" s="476"/>
      <c r="F38" s="476"/>
      <c r="G38" s="646"/>
      <c r="H38" s="646"/>
      <c r="I38" s="646"/>
      <c r="J38" s="646"/>
      <c r="K38" s="646"/>
      <c r="L38" s="646"/>
      <c r="M38" s="646"/>
      <c r="N38" s="646"/>
      <c r="O38" s="646"/>
      <c r="P38" s="646"/>
      <c r="Q38" s="759"/>
    </row>
    <row r="39" spans="1:17" s="223" customFormat="1" ht="12.6" customHeight="1">
      <c r="A39" s="220"/>
      <c r="B39" s="759"/>
      <c r="C39" s="646" t="s">
        <v>663</v>
      </c>
      <c r="D39" s="476"/>
      <c r="E39" s="476"/>
      <c r="F39" s="476"/>
      <c r="G39" s="646"/>
      <c r="H39" s="646"/>
      <c r="I39" s="646"/>
      <c r="J39" s="646"/>
      <c r="K39" s="221"/>
      <c r="L39" s="221"/>
      <c r="M39" s="221"/>
      <c r="N39" s="221"/>
      <c r="O39" s="221"/>
      <c r="P39" s="221"/>
      <c r="Q39" s="759"/>
    </row>
    <row r="40" spans="1:17" s="759" customFormat="1" ht="12.6" customHeight="1">
      <c r="C40" s="368" t="s">
        <v>664</v>
      </c>
      <c r="D40" s="368"/>
      <c r="E40" s="368"/>
      <c r="F40" s="368"/>
      <c r="G40" s="368"/>
      <c r="H40" s="368"/>
      <c r="I40" s="368"/>
      <c r="J40" s="368"/>
      <c r="K40" s="270"/>
      <c r="L40" s="270"/>
      <c r="M40" s="270"/>
      <c r="N40" s="270"/>
      <c r="O40" s="270"/>
      <c r="P40" s="270"/>
    </row>
    <row r="41" spans="1:17" s="759" customFormat="1" ht="12.6" customHeight="1">
      <c r="C41" s="368" t="s">
        <v>665</v>
      </c>
      <c r="D41" s="368"/>
      <c r="E41" s="368"/>
      <c r="F41" s="368"/>
      <c r="G41" s="368"/>
      <c r="H41" s="368"/>
      <c r="I41" s="368"/>
      <c r="J41" s="368"/>
      <c r="K41" s="270"/>
      <c r="L41" s="270"/>
      <c r="M41" s="270"/>
      <c r="N41" s="270"/>
      <c r="O41" s="270"/>
      <c r="P41" s="270"/>
    </row>
    <row r="42" spans="1:17" s="759" customFormat="1" ht="12.6" customHeight="1">
      <c r="C42" s="368" t="s">
        <v>666</v>
      </c>
      <c r="D42" s="368"/>
      <c r="E42" s="368"/>
      <c r="F42" s="368"/>
      <c r="G42" s="368"/>
      <c r="H42" s="368"/>
      <c r="I42" s="368"/>
      <c r="J42" s="368"/>
      <c r="K42" s="270"/>
      <c r="L42" s="270"/>
      <c r="M42" s="270"/>
      <c r="N42" s="270"/>
      <c r="O42" s="270"/>
      <c r="P42" s="270"/>
    </row>
    <row r="43" spans="1:17" s="759" customFormat="1" ht="12.6" customHeight="1">
      <c r="C43" s="368" t="s">
        <v>667</v>
      </c>
      <c r="D43" s="368"/>
      <c r="E43" s="368"/>
      <c r="F43" s="368"/>
      <c r="G43" s="368"/>
      <c r="H43" s="368"/>
      <c r="I43" s="368"/>
      <c r="J43" s="368"/>
      <c r="K43" s="270"/>
      <c r="L43" s="270"/>
      <c r="M43" s="270"/>
      <c r="N43" s="270"/>
      <c r="O43" s="270"/>
      <c r="P43" s="270"/>
    </row>
    <row r="44" spans="1:17" s="759" customFormat="1" ht="12.6" customHeight="1">
      <c r="C44" s="368" t="s">
        <v>668</v>
      </c>
      <c r="D44" s="368"/>
      <c r="E44" s="368"/>
      <c r="F44" s="368"/>
      <c r="G44" s="368"/>
      <c r="H44" s="368"/>
      <c r="I44" s="368"/>
      <c r="J44" s="368"/>
      <c r="K44" s="270"/>
      <c r="L44" s="270"/>
      <c r="M44" s="270"/>
      <c r="N44" s="270"/>
      <c r="O44" s="270"/>
      <c r="P44" s="270"/>
    </row>
    <row r="45" spans="1:17" s="759" customFormat="1" ht="12.6" customHeight="1">
      <c r="C45" s="368" t="s">
        <v>669</v>
      </c>
      <c r="D45" s="368"/>
      <c r="E45" s="368"/>
      <c r="F45" s="368"/>
      <c r="G45" s="368"/>
      <c r="H45" s="368"/>
      <c r="I45" s="368"/>
      <c r="J45" s="368"/>
      <c r="K45" s="270"/>
      <c r="L45" s="270"/>
      <c r="M45" s="270"/>
      <c r="N45" s="270"/>
      <c r="O45" s="270"/>
      <c r="P45" s="270"/>
    </row>
    <row r="46" spans="1:17" s="759" customFormat="1" ht="12.6" customHeight="1">
      <c r="C46" s="368" t="s">
        <v>670</v>
      </c>
      <c r="D46" s="368"/>
      <c r="E46" s="368"/>
      <c r="F46" s="368"/>
      <c r="G46" s="368"/>
      <c r="H46" s="368"/>
      <c r="I46" s="368"/>
      <c r="J46" s="368"/>
      <c r="K46" s="270"/>
      <c r="L46" s="270"/>
      <c r="M46" s="270"/>
      <c r="N46" s="270"/>
      <c r="O46" s="270"/>
      <c r="P46" s="270"/>
    </row>
    <row r="47" spans="1:17" s="759" customFormat="1" ht="4.95" customHeight="1">
      <c r="C47" s="368"/>
      <c r="D47" s="368"/>
      <c r="E47" s="368"/>
      <c r="F47" s="368"/>
      <c r="G47" s="368"/>
      <c r="H47" s="368"/>
      <c r="I47" s="368"/>
      <c r="J47" s="368"/>
      <c r="K47" s="270"/>
      <c r="L47" s="270"/>
      <c r="M47" s="270"/>
      <c r="N47" s="270"/>
      <c r="O47" s="270"/>
      <c r="P47" s="270"/>
    </row>
    <row r="48" spans="1:17" s="759" customFormat="1" ht="12.6" customHeight="1">
      <c r="C48" s="368" t="s">
        <v>671</v>
      </c>
      <c r="D48" s="368"/>
      <c r="E48" s="368"/>
      <c r="F48" s="368"/>
      <c r="G48" s="368"/>
      <c r="H48" s="368"/>
      <c r="I48" s="368"/>
      <c r="J48" s="368"/>
      <c r="K48" s="270"/>
      <c r="L48" s="270"/>
      <c r="M48" s="270"/>
      <c r="N48" s="270"/>
      <c r="O48" s="270"/>
      <c r="P48" s="270"/>
    </row>
    <row r="49" spans="1:17" s="759" customFormat="1" ht="12.6" customHeight="1">
      <c r="C49" s="368" t="s">
        <v>672</v>
      </c>
      <c r="D49" s="368"/>
      <c r="E49" s="368"/>
      <c r="F49" s="368"/>
      <c r="G49" s="368"/>
      <c r="H49" s="368"/>
      <c r="I49" s="368"/>
      <c r="J49" s="368"/>
      <c r="K49" s="270"/>
      <c r="L49" s="270"/>
      <c r="M49" s="270"/>
      <c r="N49" s="270"/>
      <c r="O49" s="270"/>
      <c r="P49" s="270"/>
    </row>
    <row r="50" spans="1:17" s="759" customFormat="1" ht="12.6" customHeight="1">
      <c r="C50" s="368" t="s">
        <v>673</v>
      </c>
      <c r="D50" s="368"/>
      <c r="E50" s="368"/>
      <c r="F50" s="368"/>
      <c r="G50" s="368"/>
      <c r="H50" s="368"/>
      <c r="I50" s="368"/>
      <c r="J50" s="368"/>
      <c r="K50" s="270"/>
      <c r="L50" s="270"/>
      <c r="M50" s="270"/>
      <c r="N50" s="270"/>
      <c r="O50" s="270"/>
      <c r="P50" s="270"/>
    </row>
    <row r="51" spans="1:17" s="759" customFormat="1" ht="12.6" customHeight="1">
      <c r="C51" s="368" t="s">
        <v>674</v>
      </c>
      <c r="D51" s="368"/>
      <c r="E51" s="368"/>
      <c r="F51" s="368"/>
      <c r="G51" s="368"/>
      <c r="H51" s="368"/>
      <c r="I51" s="368"/>
      <c r="J51" s="368"/>
      <c r="K51" s="270"/>
      <c r="L51" s="270"/>
      <c r="M51" s="270"/>
      <c r="N51" s="270"/>
      <c r="O51" s="270"/>
      <c r="P51" s="270"/>
    </row>
    <row r="52" spans="1:17" s="759" customFormat="1" ht="12.6" customHeight="1">
      <c r="C52" s="368" t="s">
        <v>675</v>
      </c>
      <c r="D52" s="368"/>
      <c r="E52" s="368"/>
      <c r="F52" s="368"/>
      <c r="G52" s="368"/>
      <c r="H52" s="368"/>
      <c r="I52" s="368"/>
      <c r="J52" s="368"/>
      <c r="K52" s="270"/>
      <c r="L52" s="270"/>
      <c r="M52" s="270"/>
      <c r="N52" s="270"/>
      <c r="O52" s="270"/>
      <c r="P52" s="270"/>
    </row>
    <row r="53" spans="1:17" s="759" customFormat="1" ht="12.6" customHeight="1">
      <c r="C53" s="368"/>
      <c r="D53" s="368"/>
      <c r="E53" s="368"/>
      <c r="F53" s="368"/>
      <c r="G53" s="368"/>
      <c r="H53" s="368"/>
      <c r="I53" s="368"/>
      <c r="J53" s="368"/>
      <c r="K53" s="270"/>
      <c r="L53" s="270"/>
      <c r="M53" s="270"/>
      <c r="N53" s="270"/>
      <c r="O53" s="270"/>
      <c r="P53" s="270"/>
    </row>
    <row r="54" spans="1:17" s="793" customFormat="1" ht="12.6" customHeight="1">
      <c r="C54" s="368" t="s">
        <v>676</v>
      </c>
      <c r="D54" s="368"/>
      <c r="E54" s="368"/>
      <c r="F54" s="368"/>
      <c r="G54" s="368"/>
      <c r="H54" s="368"/>
      <c r="I54" s="368"/>
      <c r="J54" s="368"/>
      <c r="K54" s="270"/>
      <c r="L54" s="270"/>
      <c r="M54" s="270"/>
      <c r="N54" s="270"/>
      <c r="O54" s="270"/>
      <c r="P54" s="270"/>
    </row>
    <row r="55" spans="1:17" s="759" customFormat="1" ht="22.2" customHeight="1">
      <c r="C55" s="368" t="s">
        <v>677</v>
      </c>
      <c r="D55" s="368"/>
      <c r="E55" s="368"/>
      <c r="F55" s="368"/>
      <c r="G55" s="368"/>
      <c r="H55" s="368"/>
      <c r="I55" s="368"/>
      <c r="J55" s="368"/>
      <c r="K55" s="270"/>
      <c r="L55" s="270"/>
      <c r="M55" s="270"/>
      <c r="N55" s="270"/>
      <c r="O55" s="270"/>
      <c r="P55" s="270"/>
    </row>
    <row r="56" spans="1:17" s="759" customFormat="1" ht="16.2" customHeight="1">
      <c r="C56" s="368" t="s">
        <v>678</v>
      </c>
      <c r="D56" s="368"/>
      <c r="E56" s="368"/>
      <c r="F56" s="368"/>
      <c r="G56" s="368"/>
      <c r="H56" s="368"/>
      <c r="I56" s="368"/>
      <c r="J56" s="368"/>
      <c r="K56" s="270"/>
      <c r="L56" s="270"/>
      <c r="M56" s="270"/>
      <c r="N56" s="270"/>
      <c r="O56" s="270"/>
      <c r="P56" s="270"/>
    </row>
    <row r="57" spans="1:17" s="759" customFormat="1" ht="16.2" customHeight="1">
      <c r="C57" s="368" t="s">
        <v>679</v>
      </c>
      <c r="D57" s="368"/>
      <c r="E57" s="368"/>
      <c r="F57" s="368"/>
      <c r="G57" s="368"/>
      <c r="H57" s="368"/>
      <c r="I57" s="368"/>
      <c r="J57" s="368"/>
      <c r="K57" s="270"/>
      <c r="L57" s="270"/>
      <c r="M57" s="270"/>
      <c r="N57" s="270"/>
      <c r="O57" s="270"/>
      <c r="P57" s="270"/>
    </row>
    <row r="58" spans="1:17" s="759" customFormat="1" ht="16.2" customHeight="1">
      <c r="C58" s="368" t="s">
        <v>680</v>
      </c>
      <c r="D58" s="368"/>
      <c r="E58" s="368"/>
      <c r="F58" s="368"/>
      <c r="G58" s="368"/>
      <c r="H58" s="368"/>
      <c r="I58" s="368"/>
      <c r="J58" s="368"/>
      <c r="K58" s="270"/>
      <c r="L58" s="270"/>
      <c r="M58" s="270"/>
      <c r="N58" s="270"/>
      <c r="O58" s="270"/>
      <c r="P58" s="270"/>
    </row>
    <row r="59" spans="1:17" s="759" customFormat="1" ht="16.2" customHeight="1">
      <c r="C59" s="368" t="s">
        <v>681</v>
      </c>
      <c r="D59" s="368"/>
      <c r="E59" s="368"/>
      <c r="F59" s="368"/>
      <c r="G59" s="368"/>
      <c r="H59" s="368"/>
      <c r="I59" s="368"/>
      <c r="J59" s="368"/>
      <c r="K59" s="270"/>
      <c r="L59" s="270"/>
      <c r="M59" s="270"/>
      <c r="N59" s="270"/>
      <c r="O59" s="270"/>
      <c r="P59" s="270"/>
    </row>
    <row r="60" spans="1:17" s="223" customFormat="1" ht="12.6" customHeight="1">
      <c r="A60" s="220"/>
      <c r="B60" s="759"/>
      <c r="C60" s="646"/>
      <c r="D60" s="476"/>
      <c r="E60" s="476"/>
      <c r="F60" s="476"/>
      <c r="G60" s="646"/>
      <c r="H60" s="646"/>
      <c r="I60" s="646"/>
      <c r="J60" s="646"/>
      <c r="K60" s="221"/>
      <c r="L60" s="221"/>
      <c r="M60" s="221"/>
      <c r="N60" s="221"/>
      <c r="O60" s="221"/>
      <c r="P60" s="221"/>
      <c r="Q60" s="759"/>
    </row>
    <row r="61" spans="1:17" s="200" customFormat="1" ht="15.75" customHeight="1">
      <c r="B61" s="1117"/>
      <c r="C61" s="1117"/>
      <c r="D61" s="1117"/>
      <c r="E61" s="1117"/>
      <c r="F61" s="1117"/>
      <c r="G61" s="1117"/>
      <c r="H61" s="1117"/>
      <c r="I61" s="1117"/>
      <c r="J61" s="1117"/>
      <c r="K61" s="1117"/>
      <c r="L61" s="1117"/>
      <c r="M61" s="1117"/>
      <c r="N61" s="1002"/>
    </row>
    <row r="62" spans="1:17" s="200" customFormat="1" ht="15.75" customHeight="1">
      <c r="B62" s="1117"/>
      <c r="C62" s="1117"/>
      <c r="D62" s="1117"/>
      <c r="E62" s="1117"/>
      <c r="F62" s="1117"/>
      <c r="G62" s="1117"/>
      <c r="H62" s="1117"/>
      <c r="I62" s="1117"/>
      <c r="J62" s="1117"/>
      <c r="K62" s="1117"/>
      <c r="L62" s="1117"/>
      <c r="M62" s="1117"/>
      <c r="N62" s="1002"/>
    </row>
    <row r="63" spans="1:17" s="200" customFormat="1" ht="15.75" customHeight="1">
      <c r="B63" s="1117"/>
      <c r="C63" s="1117"/>
      <c r="D63" s="1117"/>
      <c r="E63" s="1117"/>
      <c r="F63" s="1117"/>
      <c r="G63" s="1117"/>
      <c r="H63" s="1117"/>
      <c r="I63" s="1117"/>
      <c r="J63" s="1117"/>
      <c r="K63" s="1117"/>
      <c r="L63" s="1117"/>
      <c r="M63" s="1117"/>
      <c r="N63" s="1002"/>
    </row>
    <row r="64" spans="1:17" s="200" customFormat="1" ht="15.75" customHeight="1">
      <c r="B64" s="1117"/>
      <c r="C64" s="1117"/>
      <c r="D64" s="1117"/>
      <c r="E64" s="1117"/>
      <c r="F64" s="1117"/>
      <c r="G64" s="1117"/>
      <c r="H64" s="1117"/>
      <c r="I64" s="1117"/>
      <c r="J64" s="1117"/>
      <c r="K64" s="1117"/>
      <c r="L64" s="1117"/>
      <c r="M64" s="1117"/>
      <c r="N64" s="1002"/>
    </row>
    <row r="65" spans="1:17" s="200" customFormat="1" ht="15.75" customHeight="1">
      <c r="B65" s="1117"/>
      <c r="C65" s="1117"/>
      <c r="D65" s="1117"/>
      <c r="E65" s="1117"/>
      <c r="F65" s="1117"/>
      <c r="G65" s="1117"/>
      <c r="H65" s="1117"/>
      <c r="I65" s="1117"/>
      <c r="J65" s="1117"/>
      <c r="K65" s="1117"/>
      <c r="L65" s="1117"/>
      <c r="M65" s="1117"/>
      <c r="N65" s="1002"/>
    </row>
    <row r="66" spans="1:17" s="200" customFormat="1" ht="15.75" customHeight="1">
      <c r="B66" s="1002"/>
      <c r="C66" s="1002"/>
      <c r="D66" s="1002"/>
      <c r="E66" s="1002"/>
      <c r="F66" s="1002"/>
      <c r="G66" s="1002"/>
      <c r="H66" s="1002"/>
      <c r="I66" s="1002"/>
      <c r="J66" s="1002"/>
      <c r="K66" s="1002"/>
      <c r="L66" s="1002"/>
      <c r="M66" s="1002"/>
      <c r="N66" s="1002"/>
    </row>
    <row r="67" spans="1:17" s="200" customFormat="1" ht="15.75" customHeight="1">
      <c r="B67" s="1002"/>
      <c r="C67" s="1002"/>
      <c r="D67" s="1002"/>
      <c r="E67" s="1002"/>
      <c r="F67" s="1002"/>
      <c r="G67" s="1002"/>
      <c r="H67" s="1002"/>
      <c r="I67" s="1002"/>
      <c r="J67" s="1002"/>
      <c r="K67" s="1002"/>
      <c r="L67" s="1002"/>
      <c r="M67" s="1002"/>
      <c r="N67" s="1002"/>
    </row>
    <row r="68" spans="1:17" s="200" customFormat="1" ht="15.75" customHeight="1">
      <c r="B68" s="1117"/>
      <c r="C68" s="1117"/>
      <c r="D68" s="1117"/>
      <c r="E68" s="1117"/>
      <c r="F68" s="1117"/>
      <c r="G68" s="1117"/>
      <c r="H68" s="1117"/>
      <c r="I68" s="1117"/>
      <c r="J68" s="1117"/>
      <c r="K68" s="1117"/>
      <c r="L68" s="1117"/>
      <c r="M68" s="1117"/>
      <c r="N68" s="1002"/>
    </row>
    <row r="69" spans="1:17" s="200" customFormat="1" ht="15.75" customHeight="1">
      <c r="B69" s="1117"/>
      <c r="C69" s="1117"/>
      <c r="D69" s="1117"/>
      <c r="E69" s="1117"/>
      <c r="F69" s="1117"/>
      <c r="G69" s="1117"/>
      <c r="H69" s="1117"/>
      <c r="I69" s="1117"/>
      <c r="J69" s="1117"/>
      <c r="K69" s="1117"/>
      <c r="L69" s="1117"/>
      <c r="M69" s="1117"/>
      <c r="N69" s="1002"/>
    </row>
    <row r="70" spans="1:17" s="200" customFormat="1" ht="15.75" customHeight="1">
      <c r="B70" s="1117"/>
      <c r="C70" s="1117"/>
      <c r="D70" s="1117"/>
      <c r="E70" s="1117"/>
      <c r="F70" s="1117"/>
      <c r="G70" s="1117"/>
      <c r="H70" s="1117"/>
      <c r="I70" s="1117"/>
      <c r="J70" s="1117"/>
      <c r="K70" s="1117"/>
      <c r="L70" s="1117"/>
      <c r="M70" s="1117"/>
      <c r="N70" s="1002"/>
    </row>
    <row r="71" spans="1:17" s="200" customFormat="1" ht="15.75" customHeight="1">
      <c r="B71" s="1117"/>
      <c r="C71" s="1117"/>
      <c r="D71" s="1117"/>
      <c r="E71" s="1117"/>
      <c r="F71" s="1117"/>
      <c r="G71" s="1117"/>
      <c r="H71" s="1117"/>
      <c r="I71" s="1117"/>
      <c r="J71" s="1117"/>
      <c r="K71" s="1117"/>
      <c r="L71" s="1117"/>
      <c r="M71" s="1117"/>
      <c r="N71" s="1002"/>
    </row>
    <row r="72" spans="1:17" s="200" customFormat="1" ht="15.75" customHeight="1">
      <c r="B72" s="1117"/>
      <c r="C72" s="1117"/>
      <c r="D72" s="1117"/>
      <c r="E72" s="1117"/>
      <c r="F72" s="1117"/>
      <c r="G72" s="1117"/>
      <c r="H72" s="1117"/>
      <c r="I72" s="1117"/>
      <c r="J72" s="1117"/>
      <c r="K72" s="1117"/>
      <c r="L72" s="1117"/>
      <c r="M72" s="1117"/>
      <c r="N72" s="1002"/>
    </row>
    <row r="73" spans="1:17" s="200" customFormat="1" ht="15.75" customHeight="1">
      <c r="B73" s="1002"/>
      <c r="C73" s="1002"/>
      <c r="D73" s="1002"/>
      <c r="E73" s="1002"/>
      <c r="F73" s="1002"/>
      <c r="G73" s="1002"/>
      <c r="H73" s="1002"/>
      <c r="I73" s="1002"/>
      <c r="J73" s="1002"/>
      <c r="K73" s="1002"/>
      <c r="L73" s="1002"/>
      <c r="M73" s="1002"/>
      <c r="N73" s="1002"/>
    </row>
    <row r="74" spans="1:17" s="223" customFormat="1" ht="12.6" customHeight="1">
      <c r="A74" s="220"/>
      <c r="B74" s="759"/>
      <c r="C74" s="646"/>
      <c r="D74" s="476"/>
      <c r="E74" s="476"/>
      <c r="F74" s="476"/>
      <c r="G74" s="646"/>
      <c r="H74" s="646"/>
      <c r="I74" s="646"/>
      <c r="J74" s="646"/>
      <c r="K74" s="221"/>
      <c r="L74" s="221"/>
      <c r="M74" s="221"/>
      <c r="N74" s="221"/>
      <c r="O74" s="221"/>
      <c r="P74" s="221"/>
      <c r="Q74" s="759"/>
    </row>
    <row r="75" spans="1:17" ht="12.6">
      <c r="C75" s="787" t="s">
        <v>682</v>
      </c>
      <c r="D75" s="788"/>
      <c r="E75" s="788"/>
      <c r="F75" s="788"/>
      <c r="G75" s="788"/>
      <c r="H75" s="788"/>
      <c r="I75" s="788"/>
      <c r="J75" s="788"/>
      <c r="K75" s="788"/>
      <c r="L75" s="220"/>
    </row>
    <row r="76" spans="1:17" ht="13.2">
      <c r="C76" s="787"/>
      <c r="D76" s="788"/>
      <c r="E76" s="788"/>
      <c r="F76" s="788" t="s">
        <v>683</v>
      </c>
      <c r="G76" s="789"/>
      <c r="H76" s="790"/>
      <c r="I76" s="788" t="s">
        <v>684</v>
      </c>
      <c r="J76" s="788"/>
      <c r="K76" s="789"/>
      <c r="L76" s="220"/>
      <c r="O76" s="791" t="str">
        <f>IF(AND(ISBLANK($G$76),ISBLANK($K$76))=TRUE,"Answer Missing"," ")</f>
        <v>Answer Missing</v>
      </c>
      <c r="P76" s="791"/>
    </row>
    <row r="77" spans="1:17" ht="24.6" customHeight="1">
      <c r="C77" s="36" t="s">
        <v>685</v>
      </c>
      <c r="D77" s="26"/>
      <c r="E77" s="26"/>
      <c r="F77" s="26"/>
      <c r="G77" s="26"/>
      <c r="H77" s="26"/>
      <c r="I77" s="26"/>
      <c r="J77" s="26"/>
      <c r="K77" s="26"/>
      <c r="L77" s="220"/>
    </row>
    <row r="78" spans="1:17" ht="21" customHeight="1">
      <c r="C78" s="220" t="s">
        <v>686</v>
      </c>
      <c r="G78" s="812"/>
      <c r="H78" s="789"/>
      <c r="I78" s="789"/>
      <c r="J78" s="789"/>
      <c r="K78" s="789"/>
      <c r="L78" s="789"/>
      <c r="M78" s="789"/>
      <c r="N78" s="792"/>
    </row>
    <row r="79" spans="1:17" ht="21" customHeight="1">
      <c r="C79" s="787" t="s">
        <v>687</v>
      </c>
      <c r="D79" s="788"/>
      <c r="E79" s="788"/>
      <c r="F79" s="788"/>
      <c r="G79" s="792"/>
      <c r="H79" s="792"/>
      <c r="I79" s="792"/>
      <c r="J79" s="792"/>
      <c r="K79" s="792"/>
      <c r="L79" s="792"/>
      <c r="M79" s="792"/>
      <c r="N79" s="792"/>
    </row>
    <row r="80" spans="1:17" ht="13.2">
      <c r="C80" s="814" t="s">
        <v>688</v>
      </c>
      <c r="D80" s="788"/>
      <c r="E80" s="813"/>
      <c r="F80" s="812"/>
      <c r="G80" s="789"/>
      <c r="H80" s="815"/>
      <c r="I80" s="815"/>
      <c r="J80" s="815"/>
      <c r="K80" s="815"/>
      <c r="L80" s="817" t="s">
        <v>689</v>
      </c>
      <c r="M80" s="818"/>
      <c r="N80" s="937"/>
    </row>
    <row r="81" spans="3:16" ht="23.4" customHeight="1">
      <c r="C81" s="787" t="s">
        <v>690</v>
      </c>
      <c r="D81" s="788"/>
      <c r="E81" s="788"/>
      <c r="F81" s="788"/>
      <c r="G81" s="788"/>
      <c r="H81" s="788"/>
      <c r="I81" s="788"/>
      <c r="J81" s="788"/>
      <c r="K81" s="788"/>
      <c r="L81" s="220"/>
    </row>
    <row r="82" spans="3:16" ht="13.2">
      <c r="E82" s="788"/>
      <c r="F82" s="788" t="s">
        <v>683</v>
      </c>
      <c r="G82" s="789"/>
      <c r="H82" s="790"/>
      <c r="I82" s="788" t="s">
        <v>684</v>
      </c>
      <c r="J82" s="788"/>
      <c r="K82" s="789"/>
      <c r="L82" s="220"/>
      <c r="O82" s="791" t="str">
        <f>IF(AND(ISBLANK($G$82),ISBLANK($K$82))=TRUE,"Answer Missing"," ")</f>
        <v>Answer Missing</v>
      </c>
      <c r="P82" s="791"/>
    </row>
    <row r="83" spans="3:16" ht="19.95" customHeight="1">
      <c r="C83" s="36" t="s">
        <v>691</v>
      </c>
      <c r="D83" s="26"/>
      <c r="E83" s="26"/>
      <c r="F83" s="26"/>
      <c r="G83" s="26"/>
      <c r="H83" s="26"/>
      <c r="I83" s="26"/>
      <c r="J83" s="26"/>
      <c r="K83" s="26"/>
      <c r="L83" s="220"/>
    </row>
    <row r="84" spans="3:16" ht="16.2" customHeight="1">
      <c r="C84" s="220" t="s">
        <v>692</v>
      </c>
      <c r="G84" s="812"/>
      <c r="H84" s="789"/>
      <c r="I84" s="789"/>
      <c r="J84" s="789"/>
      <c r="K84" s="789"/>
      <c r="L84" s="789"/>
      <c r="M84" s="789"/>
      <c r="N84" s="792"/>
    </row>
    <row r="85" spans="3:16" ht="23.4" customHeight="1">
      <c r="C85" s="787" t="s">
        <v>687</v>
      </c>
      <c r="D85" s="788"/>
      <c r="E85" s="788"/>
      <c r="F85" s="788"/>
      <c r="G85" s="792"/>
      <c r="H85" s="792"/>
      <c r="I85" s="792"/>
      <c r="J85" s="792"/>
      <c r="K85" s="792"/>
      <c r="L85" s="792"/>
      <c r="M85" s="792"/>
      <c r="N85" s="792"/>
    </row>
    <row r="86" spans="3:16" ht="16.2" customHeight="1">
      <c r="C86" s="814" t="s">
        <v>688</v>
      </c>
      <c r="D86" s="788"/>
      <c r="E86" s="813"/>
      <c r="F86" s="812"/>
      <c r="G86" s="789"/>
      <c r="H86" s="815"/>
      <c r="I86" s="815"/>
      <c r="J86" s="815"/>
      <c r="K86" s="815"/>
      <c r="L86" s="817" t="s">
        <v>689</v>
      </c>
      <c r="M86" s="818"/>
      <c r="N86" s="937"/>
    </row>
    <row r="88" spans="3:16" ht="13.2">
      <c r="C88" s="32" t="s">
        <v>693</v>
      </c>
      <c r="L88" s="220"/>
    </row>
    <row r="89" spans="3:16">
      <c r="L89" s="220"/>
    </row>
    <row r="90" spans="3:16" ht="12.6">
      <c r="C90" s="787" t="s">
        <v>694</v>
      </c>
      <c r="D90" s="787"/>
      <c r="E90" s="788"/>
      <c r="F90" s="788"/>
      <c r="G90" s="788"/>
      <c r="H90" s="646"/>
      <c r="I90" s="646"/>
      <c r="J90" s="646"/>
      <c r="K90" s="646"/>
      <c r="L90" s="646"/>
    </row>
    <row r="91" spans="3:16" ht="6.6" customHeight="1">
      <c r="C91" s="646"/>
      <c r="D91" s="476"/>
      <c r="E91" s="476"/>
      <c r="F91" s="476"/>
      <c r="G91" s="646"/>
      <c r="H91" s="646"/>
      <c r="I91" s="646"/>
      <c r="J91" s="646"/>
      <c r="K91" s="221"/>
      <c r="L91" s="221"/>
    </row>
    <row r="92" spans="3:16" ht="11.4" customHeight="1">
      <c r="F92" s="788" t="s">
        <v>683</v>
      </c>
      <c r="G92" s="789"/>
      <c r="H92" s="790"/>
      <c r="I92" s="788" t="s">
        <v>684</v>
      </c>
      <c r="J92" s="788"/>
      <c r="K92" s="789"/>
      <c r="L92" s="220"/>
      <c r="O92" s="791" t="str">
        <f>IF(AND(ISBLANK($G$92),ISBLANK($K$92))=TRUE,"Answer Missing"," ")</f>
        <v>Answer Missing</v>
      </c>
    </row>
    <row r="93" spans="3:16" ht="16.95" customHeight="1">
      <c r="F93" s="788"/>
      <c r="G93" s="792"/>
      <c r="H93" s="790"/>
      <c r="I93" s="788"/>
      <c r="J93" s="788"/>
      <c r="K93" s="792"/>
      <c r="L93" s="220"/>
      <c r="O93" s="791"/>
    </row>
    <row r="94" spans="3:16" ht="13.2">
      <c r="C94" s="787" t="s">
        <v>695</v>
      </c>
      <c r="D94" s="787"/>
      <c r="E94" s="788"/>
      <c r="F94" s="788"/>
      <c r="G94" s="788"/>
      <c r="H94" s="788"/>
      <c r="I94" s="788"/>
      <c r="J94" s="788"/>
      <c r="K94" s="792"/>
      <c r="L94" s="220"/>
      <c r="O94" s="791"/>
    </row>
    <row r="95" spans="3:16" ht="6" customHeight="1">
      <c r="C95" s="787"/>
      <c r="D95" s="787"/>
      <c r="E95" s="788"/>
      <c r="F95" s="788"/>
      <c r="G95" s="788"/>
      <c r="H95" s="788"/>
      <c r="I95" s="788"/>
      <c r="J95" s="788"/>
      <c r="K95" s="792"/>
      <c r="L95" s="220"/>
      <c r="O95" s="791"/>
    </row>
    <row r="96" spans="3:16" ht="13.2">
      <c r="C96" s="787" t="s">
        <v>696</v>
      </c>
      <c r="D96" s="787"/>
      <c r="E96" s="788"/>
      <c r="F96" s="788"/>
      <c r="G96" s="788"/>
      <c r="H96" s="788"/>
      <c r="I96" s="788"/>
      <c r="J96" s="788"/>
      <c r="K96" s="792"/>
      <c r="L96" s="220"/>
      <c r="O96" s="791"/>
    </row>
    <row r="97" spans="3:15" ht="13.2">
      <c r="C97" s="787" t="s">
        <v>697</v>
      </c>
      <c r="D97" s="787"/>
      <c r="E97" s="788"/>
      <c r="F97" s="788"/>
      <c r="G97" s="788"/>
      <c r="H97" s="788"/>
      <c r="I97" s="788"/>
      <c r="J97" s="788"/>
      <c r="K97" s="792"/>
      <c r="L97" s="220"/>
      <c r="O97" s="791"/>
    </row>
    <row r="98" spans="3:15" ht="13.2">
      <c r="C98" s="787" t="s">
        <v>698</v>
      </c>
      <c r="D98" s="787"/>
      <c r="E98" s="788"/>
      <c r="F98" s="788"/>
      <c r="G98" s="788"/>
      <c r="H98" s="788"/>
      <c r="I98" s="788"/>
      <c r="J98" s="788"/>
      <c r="K98" s="792"/>
      <c r="L98" s="220"/>
      <c r="O98" s="791"/>
    </row>
    <row r="99" spans="3:15" ht="13.2">
      <c r="C99" s="787" t="s">
        <v>699</v>
      </c>
      <c r="D99" s="787"/>
      <c r="E99" s="788"/>
      <c r="F99" s="788"/>
      <c r="G99" s="788"/>
      <c r="H99" s="788"/>
      <c r="I99" s="788"/>
      <c r="J99" s="788"/>
      <c r="K99" s="792"/>
      <c r="L99" s="220"/>
      <c r="O99" s="791"/>
    </row>
    <row r="100" spans="3:15" ht="13.2">
      <c r="C100" s="787" t="s">
        <v>700</v>
      </c>
      <c r="D100" s="787"/>
      <c r="E100" s="788"/>
      <c r="F100" s="788"/>
      <c r="G100" s="788"/>
      <c r="H100" s="788"/>
      <c r="I100" s="788"/>
      <c r="J100" s="788"/>
      <c r="K100" s="792"/>
      <c r="L100" s="220"/>
      <c r="O100" s="791"/>
    </row>
    <row r="101" spans="3:15" ht="13.2">
      <c r="C101" s="787" t="s">
        <v>701</v>
      </c>
      <c r="D101" s="787"/>
      <c r="E101" s="788"/>
      <c r="F101" s="788"/>
      <c r="G101" s="788"/>
      <c r="H101" s="788"/>
      <c r="I101" s="788"/>
      <c r="J101" s="788"/>
      <c r="K101" s="792"/>
      <c r="L101" s="220"/>
      <c r="O101" s="791"/>
    </row>
    <row r="102" spans="3:15" ht="13.2">
      <c r="C102" s="787" t="s">
        <v>702</v>
      </c>
      <c r="D102" s="787"/>
      <c r="E102" s="788"/>
      <c r="F102" s="788"/>
      <c r="G102" s="788"/>
      <c r="H102" s="788"/>
      <c r="I102" s="788"/>
      <c r="J102" s="788"/>
      <c r="K102" s="792"/>
      <c r="L102" s="220"/>
      <c r="O102" s="791"/>
    </row>
    <row r="103" spans="3:15" ht="13.2">
      <c r="C103" s="787" t="s">
        <v>703</v>
      </c>
      <c r="D103" s="787"/>
      <c r="E103" s="788"/>
      <c r="F103" s="788"/>
      <c r="G103" s="788"/>
      <c r="H103" s="788"/>
      <c r="I103" s="788"/>
      <c r="J103" s="788"/>
      <c r="K103" s="792"/>
      <c r="L103" s="220"/>
      <c r="O103" s="791"/>
    </row>
    <row r="104" spans="3:15" ht="4.95" customHeight="1">
      <c r="C104" s="787"/>
      <c r="D104" s="787"/>
      <c r="E104" s="788"/>
      <c r="F104" s="788"/>
      <c r="G104" s="788"/>
      <c r="H104" s="788"/>
      <c r="I104" s="788"/>
      <c r="J104" s="788"/>
      <c r="K104" s="792"/>
      <c r="L104" s="220"/>
      <c r="O104" s="791"/>
    </row>
    <row r="105" spans="3:15" ht="13.2">
      <c r="C105" s="787" t="s">
        <v>671</v>
      </c>
      <c r="D105" s="787"/>
      <c r="E105" s="788"/>
      <c r="F105" s="788"/>
      <c r="G105" s="788"/>
      <c r="H105" s="788"/>
      <c r="I105" s="788"/>
      <c r="J105" s="788"/>
      <c r="K105" s="792"/>
      <c r="L105" s="220"/>
      <c r="O105" s="791"/>
    </row>
    <row r="106" spans="3:15" ht="4.95" customHeight="1">
      <c r="C106" s="787"/>
      <c r="D106" s="787"/>
      <c r="E106" s="788"/>
      <c r="F106" s="788"/>
      <c r="G106" s="788"/>
      <c r="H106" s="788"/>
      <c r="I106" s="788"/>
      <c r="J106" s="788"/>
      <c r="K106" s="792"/>
      <c r="L106" s="220"/>
      <c r="O106" s="791"/>
    </row>
    <row r="107" spans="3:15" ht="13.2">
      <c r="C107" s="787" t="s">
        <v>704</v>
      </c>
      <c r="D107" s="787"/>
      <c r="E107" s="788"/>
      <c r="F107" s="788"/>
      <c r="G107" s="788"/>
      <c r="H107" s="788"/>
      <c r="I107" s="788"/>
      <c r="J107" s="788"/>
      <c r="K107" s="792"/>
      <c r="L107" s="220"/>
      <c r="O107" s="791"/>
    </row>
    <row r="108" spans="3:15" ht="13.2">
      <c r="C108" s="787" t="s">
        <v>705</v>
      </c>
      <c r="D108" s="787"/>
      <c r="E108" s="788"/>
      <c r="F108" s="788"/>
      <c r="G108" s="788"/>
      <c r="H108" s="788"/>
      <c r="I108" s="788"/>
      <c r="J108" s="788"/>
      <c r="K108" s="792"/>
      <c r="L108" s="220"/>
      <c r="O108" s="791"/>
    </row>
    <row r="109" spans="3:15" ht="13.2">
      <c r="C109" s="787" t="s">
        <v>706</v>
      </c>
      <c r="D109" s="787"/>
      <c r="E109" s="788"/>
      <c r="F109" s="788"/>
      <c r="G109" s="788"/>
      <c r="H109" s="788"/>
      <c r="I109" s="788"/>
      <c r="J109" s="788"/>
      <c r="K109" s="792"/>
      <c r="L109" s="220"/>
      <c r="O109" s="791"/>
    </row>
    <row r="110" spans="3:15" ht="13.2">
      <c r="C110" s="787" t="s">
        <v>707</v>
      </c>
      <c r="D110" s="787"/>
      <c r="E110" s="788"/>
      <c r="F110" s="788"/>
      <c r="G110" s="788"/>
      <c r="H110" s="788"/>
      <c r="I110" s="788"/>
      <c r="J110" s="788"/>
      <c r="K110" s="792"/>
      <c r="L110" s="220"/>
      <c r="O110" s="791"/>
    </row>
    <row r="111" spans="3:15" ht="13.2">
      <c r="C111" s="787"/>
      <c r="D111" s="787"/>
      <c r="E111" s="788"/>
      <c r="F111" s="788"/>
      <c r="G111" s="788"/>
      <c r="H111" s="788"/>
      <c r="I111" s="788"/>
      <c r="J111" s="788"/>
      <c r="K111" s="792"/>
      <c r="L111" s="220"/>
      <c r="O111" s="791"/>
    </row>
    <row r="112" spans="3:15" ht="13.2">
      <c r="C112" s="368" t="s">
        <v>708</v>
      </c>
      <c r="D112" s="476"/>
      <c r="E112" s="476"/>
      <c r="F112" s="476"/>
      <c r="G112" s="476"/>
      <c r="H112" s="476"/>
      <c r="I112" s="788"/>
      <c r="J112" s="788"/>
      <c r="K112" s="792"/>
      <c r="L112" s="220"/>
      <c r="O112" s="791"/>
    </row>
    <row r="113" spans="2:15" ht="18.600000000000001" customHeight="1">
      <c r="C113" s="787" t="s">
        <v>709</v>
      </c>
      <c r="D113" s="787"/>
      <c r="E113" s="788"/>
      <c r="F113" s="788"/>
      <c r="G113" s="788"/>
      <c r="H113" s="788"/>
      <c r="I113" s="788"/>
      <c r="J113" s="788"/>
      <c r="K113" s="792"/>
      <c r="L113" s="220"/>
      <c r="O113" s="791"/>
    </row>
    <row r="114" spans="2:15" ht="13.2">
      <c r="C114" s="787" t="s">
        <v>710</v>
      </c>
      <c r="D114" s="787"/>
      <c r="E114" s="788"/>
      <c r="F114" s="788"/>
      <c r="G114" s="788"/>
      <c r="H114" s="788"/>
      <c r="I114" s="788"/>
      <c r="J114" s="788"/>
      <c r="K114" s="792"/>
      <c r="L114" s="220"/>
      <c r="O114" s="791"/>
    </row>
    <row r="115" spans="2:15" ht="13.2">
      <c r="C115" s="787" t="s">
        <v>711</v>
      </c>
      <c r="D115" s="787"/>
      <c r="E115" s="788"/>
      <c r="F115" s="788"/>
      <c r="G115" s="788"/>
      <c r="H115" s="788"/>
      <c r="I115" s="788"/>
      <c r="J115" s="788"/>
      <c r="K115" s="792"/>
      <c r="L115" s="220"/>
      <c r="O115" s="791"/>
    </row>
    <row r="116" spans="2:15" ht="13.2">
      <c r="C116" s="787" t="s">
        <v>712</v>
      </c>
      <c r="D116" s="787"/>
      <c r="E116" s="788"/>
      <c r="F116" s="788"/>
      <c r="G116" s="788"/>
      <c r="H116" s="788"/>
      <c r="I116" s="788"/>
      <c r="J116" s="788"/>
      <c r="K116" s="792"/>
      <c r="L116" s="220"/>
      <c r="O116" s="791"/>
    </row>
    <row r="117" spans="2:15" ht="13.2">
      <c r="C117" s="787" t="s">
        <v>713</v>
      </c>
      <c r="D117" s="787"/>
      <c r="E117" s="788"/>
      <c r="F117" s="788"/>
      <c r="G117" s="788"/>
      <c r="H117" s="788"/>
      <c r="I117" s="788"/>
      <c r="J117" s="788"/>
      <c r="K117" s="792"/>
      <c r="L117" s="220"/>
      <c r="O117" s="791"/>
    </row>
    <row r="118" spans="2:15" ht="13.2">
      <c r="C118" s="787"/>
      <c r="D118" s="787"/>
      <c r="E118" s="788"/>
      <c r="F118" s="788"/>
      <c r="G118" s="788"/>
      <c r="H118" s="788"/>
      <c r="I118" s="788"/>
      <c r="J118" s="788"/>
      <c r="K118" s="792"/>
      <c r="L118" s="220"/>
      <c r="O118" s="791"/>
    </row>
    <row r="119" spans="2:15" s="200" customFormat="1" ht="15.75" customHeight="1">
      <c r="B119" s="1117"/>
      <c r="C119" s="1117"/>
      <c r="D119" s="1117"/>
      <c r="E119" s="1117"/>
      <c r="F119" s="1117"/>
      <c r="G119" s="1117"/>
      <c r="H119" s="1117"/>
      <c r="I119" s="1117"/>
      <c r="J119" s="1117"/>
      <c r="K119" s="1117"/>
      <c r="L119" s="1117"/>
      <c r="M119" s="1117"/>
      <c r="N119" s="1002"/>
    </row>
    <row r="120" spans="2:15" s="200" customFormat="1" ht="15.75" customHeight="1">
      <c r="B120" s="1117"/>
      <c r="C120" s="1117"/>
      <c r="D120" s="1117"/>
      <c r="E120" s="1117"/>
      <c r="F120" s="1117"/>
      <c r="G120" s="1117"/>
      <c r="H120" s="1117"/>
      <c r="I120" s="1117"/>
      <c r="J120" s="1117"/>
      <c r="K120" s="1117"/>
      <c r="L120" s="1117"/>
      <c r="M120" s="1117"/>
      <c r="N120" s="1002"/>
    </row>
    <row r="121" spans="2:15" s="200" customFormat="1" ht="15.75" customHeight="1">
      <c r="B121" s="1117"/>
      <c r="C121" s="1117"/>
      <c r="D121" s="1117"/>
      <c r="E121" s="1117"/>
      <c r="F121" s="1117"/>
      <c r="G121" s="1117"/>
      <c r="H121" s="1117"/>
      <c r="I121" s="1117"/>
      <c r="J121" s="1117"/>
      <c r="K121" s="1117"/>
      <c r="L121" s="1117"/>
      <c r="M121" s="1117"/>
      <c r="N121" s="1002"/>
    </row>
    <row r="122" spans="2:15" s="200" customFormat="1" ht="15.75" customHeight="1">
      <c r="B122" s="1117"/>
      <c r="C122" s="1117"/>
      <c r="D122" s="1117"/>
      <c r="E122" s="1117"/>
      <c r="F122" s="1117"/>
      <c r="G122" s="1117"/>
      <c r="H122" s="1117"/>
      <c r="I122" s="1117"/>
      <c r="J122" s="1117"/>
      <c r="K122" s="1117"/>
      <c r="L122" s="1117"/>
      <c r="M122" s="1117"/>
      <c r="N122" s="1002"/>
    </row>
    <row r="123" spans="2:15" s="200" customFormat="1" ht="15.75" customHeight="1">
      <c r="B123" s="1117"/>
      <c r="C123" s="1117"/>
      <c r="D123" s="1117"/>
      <c r="E123" s="1117"/>
      <c r="F123" s="1117"/>
      <c r="G123" s="1117"/>
      <c r="H123" s="1117"/>
      <c r="I123" s="1117"/>
      <c r="J123" s="1117"/>
      <c r="K123" s="1117"/>
      <c r="L123" s="1117"/>
      <c r="M123" s="1117"/>
      <c r="N123" s="1002"/>
    </row>
    <row r="124" spans="2:15" s="200" customFormat="1" ht="15.75" customHeight="1">
      <c r="B124" s="1002"/>
      <c r="C124" s="1002"/>
      <c r="D124" s="1002"/>
      <c r="E124" s="1002"/>
      <c r="F124" s="1002"/>
      <c r="G124" s="1002"/>
      <c r="H124" s="1002"/>
      <c r="I124" s="1002"/>
      <c r="J124" s="1002"/>
      <c r="K124" s="1002"/>
      <c r="L124" s="1002"/>
      <c r="M124" s="1002"/>
      <c r="N124" s="1002"/>
    </row>
    <row r="125" spans="2:15" s="200" customFormat="1" ht="15.75" customHeight="1">
      <c r="B125" s="1002"/>
      <c r="C125" s="1002"/>
      <c r="D125" s="1002"/>
      <c r="E125" s="1002"/>
      <c r="F125" s="1002"/>
      <c r="G125" s="1002"/>
      <c r="H125" s="1002"/>
      <c r="I125" s="1002"/>
      <c r="J125" s="1002"/>
      <c r="K125" s="1002"/>
      <c r="L125" s="1002"/>
      <c r="M125" s="1002"/>
      <c r="N125" s="1002"/>
    </row>
    <row r="126" spans="2:15" s="200" customFormat="1" ht="15.75" customHeight="1">
      <c r="B126" s="1117"/>
      <c r="C126" s="1117"/>
      <c r="D126" s="1117"/>
      <c r="E126" s="1117"/>
      <c r="F126" s="1117"/>
      <c r="G126" s="1117"/>
      <c r="H126" s="1117"/>
      <c r="I126" s="1117"/>
      <c r="J126" s="1117"/>
      <c r="K126" s="1117"/>
      <c r="L126" s="1117"/>
      <c r="M126" s="1117"/>
      <c r="N126" s="1002"/>
    </row>
    <row r="127" spans="2:15" s="200" customFormat="1" ht="15.75" customHeight="1">
      <c r="B127" s="1117"/>
      <c r="C127" s="1117"/>
      <c r="D127" s="1117"/>
      <c r="E127" s="1117"/>
      <c r="F127" s="1117"/>
      <c r="G127" s="1117"/>
      <c r="H127" s="1117"/>
      <c r="I127" s="1117"/>
      <c r="J127" s="1117"/>
      <c r="K127" s="1117"/>
      <c r="L127" s="1117"/>
      <c r="M127" s="1117"/>
      <c r="N127" s="1002"/>
    </row>
    <row r="128" spans="2:15" s="200" customFormat="1" ht="15.75" customHeight="1">
      <c r="B128" s="1117"/>
      <c r="C128" s="1117"/>
      <c r="D128" s="1117"/>
      <c r="E128" s="1117"/>
      <c r="F128" s="1117"/>
      <c r="G128" s="1117"/>
      <c r="H128" s="1117"/>
      <c r="I128" s="1117"/>
      <c r="J128" s="1117"/>
      <c r="K128" s="1117"/>
      <c r="L128" s="1117"/>
      <c r="M128" s="1117"/>
      <c r="N128" s="1002"/>
    </row>
    <row r="129" spans="2:32" s="200" customFormat="1" ht="15.75" customHeight="1">
      <c r="B129" s="1117"/>
      <c r="C129" s="1117"/>
      <c r="D129" s="1117"/>
      <c r="E129" s="1117"/>
      <c r="F129" s="1117"/>
      <c r="G129" s="1117"/>
      <c r="H129" s="1117"/>
      <c r="I129" s="1117"/>
      <c r="J129" s="1117"/>
      <c r="K129" s="1117"/>
      <c r="L129" s="1117"/>
      <c r="M129" s="1117"/>
      <c r="N129" s="1002"/>
    </row>
    <row r="130" spans="2:32" s="200" customFormat="1" ht="15.75" customHeight="1">
      <c r="B130" s="1117"/>
      <c r="C130" s="1117"/>
      <c r="D130" s="1117"/>
      <c r="E130" s="1117"/>
      <c r="F130" s="1117"/>
      <c r="G130" s="1117"/>
      <c r="H130" s="1117"/>
      <c r="I130" s="1117"/>
      <c r="J130" s="1117"/>
      <c r="K130" s="1117"/>
      <c r="L130" s="1117"/>
      <c r="M130" s="1117"/>
      <c r="N130" s="1002"/>
    </row>
    <row r="131" spans="2:32" s="200" customFormat="1" ht="15.75" customHeight="1">
      <c r="B131" s="1002"/>
      <c r="C131" s="1002"/>
      <c r="D131" s="1002"/>
      <c r="E131" s="1002"/>
      <c r="F131" s="1002"/>
      <c r="G131" s="1002"/>
      <c r="H131" s="1002"/>
      <c r="I131" s="1002"/>
      <c r="J131" s="1002"/>
      <c r="K131" s="1002"/>
      <c r="L131" s="1002"/>
      <c r="M131" s="1002"/>
      <c r="N131" s="1002"/>
    </row>
    <row r="132" spans="2:32" ht="13.2">
      <c r="C132" s="787"/>
      <c r="D132" s="787"/>
      <c r="E132" s="788"/>
      <c r="F132" s="788"/>
      <c r="G132" s="788"/>
      <c r="H132" s="788"/>
      <c r="I132" s="788"/>
      <c r="J132" s="788"/>
      <c r="K132" s="792"/>
      <c r="L132" s="220"/>
      <c r="O132" s="791"/>
    </row>
    <row r="133" spans="2:32" ht="13.2">
      <c r="F133" s="788"/>
      <c r="G133" s="792"/>
      <c r="H133" s="790"/>
      <c r="I133" s="788"/>
      <c r="J133" s="788"/>
      <c r="K133" s="792"/>
      <c r="L133" s="220"/>
      <c r="O133" s="791"/>
    </row>
    <row r="134" spans="2:32" ht="12.6">
      <c r="C134" s="787" t="s">
        <v>714</v>
      </c>
      <c r="D134" s="788"/>
      <c r="E134" s="788"/>
      <c r="F134" s="788"/>
      <c r="G134" s="788"/>
      <c r="H134" s="788"/>
      <c r="I134" s="788"/>
      <c r="J134" s="788"/>
      <c r="K134" s="788"/>
      <c r="L134" s="220"/>
    </row>
    <row r="135" spans="2:32" ht="13.2">
      <c r="F135" s="788" t="s">
        <v>683</v>
      </c>
      <c r="G135" s="789"/>
      <c r="H135" s="790"/>
      <c r="I135" s="788" t="s">
        <v>684</v>
      </c>
      <c r="J135" s="788"/>
      <c r="K135" s="789"/>
      <c r="L135" s="220"/>
      <c r="O135" s="791" t="str">
        <f>IF(AND(ISBLANK($G$135),ISBLANK($K$135))=TRUE,"Answer Missing"," ")</f>
        <v>Answer Missing</v>
      </c>
      <c r="P135" s="791"/>
    </row>
    <row r="136" spans="2:32" ht="25.2" customHeight="1">
      <c r="C136" s="36" t="s">
        <v>715</v>
      </c>
      <c r="D136" s="36"/>
      <c r="E136" s="36"/>
      <c r="F136" s="36"/>
      <c r="G136" s="36"/>
      <c r="H136" s="36"/>
      <c r="I136" s="36"/>
      <c r="J136" s="36"/>
      <c r="K136" s="36"/>
      <c r="L136" s="793"/>
      <c r="O136" s="791"/>
      <c r="P136" s="791"/>
    </row>
    <row r="137" spans="2:32" ht="13.2">
      <c r="C137" s="220" t="s">
        <v>716</v>
      </c>
      <c r="G137" s="792"/>
      <c r="H137" s="812"/>
      <c r="I137" s="789"/>
      <c r="J137" s="789"/>
      <c r="K137" s="789"/>
      <c r="L137" s="789"/>
      <c r="M137" s="789"/>
      <c r="N137" s="792"/>
      <c r="O137" s="792"/>
      <c r="P137" s="792"/>
    </row>
    <row r="138" spans="2:32" ht="23.4" customHeight="1">
      <c r="C138" s="787" t="s">
        <v>717</v>
      </c>
      <c r="D138" s="788"/>
      <c r="E138" s="788"/>
      <c r="F138" s="788"/>
      <c r="G138" s="792"/>
      <c r="H138" s="792"/>
      <c r="I138" s="792"/>
      <c r="J138" s="792"/>
      <c r="K138" s="792"/>
      <c r="L138" s="792"/>
      <c r="M138" s="792"/>
      <c r="N138" s="792"/>
    </row>
    <row r="139" spans="2:32" ht="13.2">
      <c r="C139" s="814" t="s">
        <v>688</v>
      </c>
      <c r="D139" s="788"/>
      <c r="E139" s="813"/>
      <c r="F139" s="812"/>
      <c r="G139" s="789"/>
      <c r="H139" s="815"/>
      <c r="I139" s="815"/>
      <c r="J139" s="815"/>
      <c r="K139" s="815"/>
      <c r="L139" s="817" t="s">
        <v>689</v>
      </c>
      <c r="M139" s="818"/>
      <c r="N139" s="937"/>
    </row>
    <row r="140" spans="2:32" ht="27" customHeight="1">
      <c r="C140" s="787" t="s">
        <v>718</v>
      </c>
      <c r="D140" s="788"/>
      <c r="E140" s="788"/>
      <c r="F140" s="788"/>
      <c r="G140" s="788"/>
      <c r="H140" s="788"/>
      <c r="I140" s="788"/>
      <c r="J140" s="788"/>
      <c r="K140" s="788"/>
      <c r="L140" s="788"/>
      <c r="M140" s="788"/>
      <c r="N140" s="788"/>
      <c r="O140" s="788"/>
      <c r="P140" s="788"/>
      <c r="Q140" s="788"/>
      <c r="S140" s="788"/>
      <c r="T140" s="788"/>
      <c r="U140" s="788"/>
      <c r="V140" s="788"/>
      <c r="W140" s="788"/>
      <c r="X140" s="788"/>
      <c r="Y140" s="788"/>
      <c r="Z140" s="788"/>
      <c r="AA140" s="788"/>
      <c r="AB140" s="788"/>
      <c r="AC140" s="788"/>
      <c r="AD140" s="788"/>
      <c r="AE140" s="788"/>
      <c r="AF140" s="788"/>
    </row>
    <row r="141" spans="2:32" ht="13.2">
      <c r="F141" s="788" t="s">
        <v>683</v>
      </c>
      <c r="G141" s="789"/>
      <c r="H141" s="790"/>
      <c r="I141" s="788" t="s">
        <v>684</v>
      </c>
      <c r="J141" s="788"/>
      <c r="K141" s="789"/>
      <c r="L141" s="220"/>
      <c r="O141" s="791" t="str">
        <f>IF(AND(ISBLANK($G$141),ISBLANK($K$141))=TRUE,"Answer Missing"," ")</f>
        <v>Answer Missing</v>
      </c>
      <c r="P141" s="791"/>
    </row>
    <row r="142" spans="2:32" ht="21.6" customHeight="1">
      <c r="C142" s="36" t="s">
        <v>719</v>
      </c>
      <c r="D142" s="26"/>
      <c r="E142" s="26"/>
      <c r="F142" s="26"/>
      <c r="G142" s="26"/>
      <c r="H142" s="26"/>
      <c r="I142" s="26"/>
      <c r="J142" s="26"/>
      <c r="K142" s="26"/>
      <c r="L142" s="26"/>
      <c r="M142" s="26"/>
      <c r="N142" s="26"/>
    </row>
    <row r="143" spans="2:32" ht="16.95" customHeight="1">
      <c r="C143" s="788" t="s">
        <v>720</v>
      </c>
      <c r="H143" s="792"/>
      <c r="I143" s="816"/>
      <c r="J143" s="812"/>
      <c r="K143" s="789"/>
      <c r="L143" s="789"/>
      <c r="M143" s="789"/>
      <c r="N143" s="792"/>
    </row>
    <row r="144" spans="2:32" ht="19.95" customHeight="1">
      <c r="C144" s="787" t="s">
        <v>721</v>
      </c>
      <c r="D144" s="788"/>
      <c r="E144" s="788"/>
      <c r="F144" s="788"/>
      <c r="G144" s="792"/>
      <c r="H144" s="792"/>
      <c r="I144" s="792"/>
      <c r="J144" s="792"/>
      <c r="K144" s="792"/>
    </row>
    <row r="145" spans="3:14" ht="17.399999999999999" customHeight="1">
      <c r="C145" s="814" t="s">
        <v>688</v>
      </c>
      <c r="D145" s="788"/>
      <c r="E145" s="813"/>
      <c r="F145" s="812"/>
      <c r="G145" s="789"/>
      <c r="H145" s="815"/>
      <c r="I145" s="815"/>
      <c r="J145" s="815"/>
      <c r="K145" s="815"/>
      <c r="L145" s="817" t="s">
        <v>689</v>
      </c>
      <c r="M145" s="818"/>
      <c r="N145" s="937"/>
    </row>
  </sheetData>
  <sheetProtection algorithmName="SHA-512" hashValue="Z/BfMdjrWjZuNwDBKzEJx4EUUdn5vzXqoRF67tHNIqvKveFjQuetz8bEnMgN8q7cNjjtefGZvNj6rKz6knSBIQ==" saltValue="55onW1H5LhOOtGaVURgkHw==" spinCount="100000" sheet="1" objects="1" scenarios="1" autoFilter="0"/>
  <mergeCells count="28">
    <mergeCell ref="J5:L5"/>
    <mergeCell ref="J6:L6"/>
    <mergeCell ref="J7:L7"/>
    <mergeCell ref="M1:M3"/>
    <mergeCell ref="C1:L1"/>
    <mergeCell ref="C2:L2"/>
    <mergeCell ref="C3:L3"/>
    <mergeCell ref="B61:M61"/>
    <mergeCell ref="B62:M62"/>
    <mergeCell ref="B63:M63"/>
    <mergeCell ref="B64:M64"/>
    <mergeCell ref="O30:O35"/>
    <mergeCell ref="B65:M65"/>
    <mergeCell ref="B72:M72"/>
    <mergeCell ref="B119:M119"/>
    <mergeCell ref="B120:M120"/>
    <mergeCell ref="B121:M121"/>
    <mergeCell ref="B68:M68"/>
    <mergeCell ref="B69:M69"/>
    <mergeCell ref="B70:M70"/>
    <mergeCell ref="B71:M71"/>
    <mergeCell ref="B129:M129"/>
    <mergeCell ref="B130:M130"/>
    <mergeCell ref="B122:M122"/>
    <mergeCell ref="B123:M123"/>
    <mergeCell ref="B126:M126"/>
    <mergeCell ref="B127:M127"/>
    <mergeCell ref="B128:M128"/>
  </mergeCells>
  <phoneticPr fontId="43" type="noConversion"/>
  <conditionalFormatting sqref="M1:N3">
    <cfRule type="cellIs" dxfId="43" priority="8" stopIfTrue="1" operator="equal">
      <formula>"na"</formula>
    </cfRule>
  </conditionalFormatting>
  <conditionalFormatting sqref="O92:O118">
    <cfRule type="containsText" dxfId="42" priority="1" stopIfTrue="1" operator="containsText" text="Answer Missing">
      <formula>NOT(ISERROR(SEARCH("Answer Missing",O92)))</formula>
    </cfRule>
  </conditionalFormatting>
  <conditionalFormatting sqref="O76:P76 O132:O133">
    <cfRule type="containsText" dxfId="41" priority="7" stopIfTrue="1" operator="containsText" text="Answer Missing">
      <formula>NOT(ISERROR(SEARCH("Answer Missing",O76)))</formula>
    </cfRule>
  </conditionalFormatting>
  <conditionalFormatting sqref="O82:P82">
    <cfRule type="containsText" dxfId="40" priority="6" stopIfTrue="1" operator="containsText" text="Answer Missing">
      <formula>NOT(ISERROR(SEARCH("Answer Missing",O82)))</formula>
    </cfRule>
  </conditionalFormatting>
  <conditionalFormatting sqref="O135:P136">
    <cfRule type="containsText" dxfId="39" priority="5" stopIfTrue="1" operator="containsText" text="Answer Missing">
      <formula>NOT(ISERROR(SEARCH("Answer Missing",O135)))</formula>
    </cfRule>
  </conditionalFormatting>
  <conditionalFormatting sqref="O141:P141">
    <cfRule type="containsText" dxfId="38" priority="4" stopIfTrue="1" operator="containsText" text="Answer Missing">
      <formula>NOT(ISERROR(SEARCH("Answer Missing",O141)))</formula>
    </cfRule>
  </conditionalFormatting>
  <conditionalFormatting sqref="P1:P3">
    <cfRule type="cellIs" dxfId="37" priority="3" stopIfTrue="1" operator="equal">
      <formula>"na"</formula>
    </cfRule>
  </conditionalFormatting>
  <hyperlinks>
    <hyperlink ref="C1:J1" location="Index!A1" display="Index!A1" xr:uid="{00000000-0004-0000-0C00-000000000000}"/>
  </hyperlinks>
  <printOptions horizontalCentered="1"/>
  <pageMargins left="0.5" right="0.25" top="0.5" bottom="0.25" header="0.5" footer="0.25"/>
  <pageSetup scale="91" fitToHeight="0" orientation="landscape" r:id="rId1"/>
  <headerFooter alignWithMargins="0"/>
  <ignoredErrors>
    <ignoredError sqref="J5 J7"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4BDC-B4EA-42D1-AAEF-17EB6EC30A20}">
  <sheetPr codeName="Sheet38">
    <pageSetUpPr fitToPage="1"/>
  </sheetPr>
  <dimension ref="A1:R65"/>
  <sheetViews>
    <sheetView showGridLines="0" topLeftCell="C1" zoomScaleNormal="100" workbookViewId="0">
      <selection activeCell="AA31" sqref="AA31"/>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063" t="str">
        <f>+Index!$A$1</f>
        <v>Office of the State Controller</v>
      </c>
      <c r="D1" s="1063"/>
      <c r="E1" s="1063"/>
      <c r="F1" s="1063"/>
      <c r="G1" s="1063"/>
      <c r="H1" s="1063"/>
      <c r="I1" s="1063"/>
      <c r="J1" s="1063"/>
      <c r="K1" s="1063"/>
      <c r="L1" s="1063"/>
      <c r="M1" s="1112"/>
      <c r="N1" s="1001"/>
      <c r="P1" s="666" t="str">
        <f>IF(Index!$B$51="na","NA","")</f>
        <v/>
      </c>
    </row>
    <row r="2" spans="1:18" ht="15" customHeight="1">
      <c r="A2" s="220" t="str">
        <f>Index!$D$10</f>
        <v>C0</v>
      </c>
      <c r="C2" s="1128" t="str">
        <f>+Index!$A$2</f>
        <v>2023 Year-End ACFR Package</v>
      </c>
      <c r="D2" s="1128"/>
      <c r="E2" s="1128"/>
      <c r="F2" s="1128"/>
      <c r="G2" s="1128"/>
      <c r="H2" s="1128"/>
      <c r="I2" s="1128"/>
      <c r="J2" s="1128"/>
      <c r="K2" s="1128"/>
      <c r="L2" s="1128"/>
      <c r="M2" s="1112"/>
      <c r="N2" s="1001"/>
      <c r="O2" s="632"/>
      <c r="P2" s="666"/>
    </row>
    <row r="3" spans="1:18" ht="15" customHeight="1">
      <c r="A3" s="220" t="str">
        <f>Index!$D$10</f>
        <v>C0</v>
      </c>
      <c r="C3" s="1128" t="s">
        <v>722</v>
      </c>
      <c r="D3" s="1128"/>
      <c r="E3" s="1128"/>
      <c r="F3" s="1128"/>
      <c r="G3" s="1128"/>
      <c r="H3" s="1128"/>
      <c r="I3" s="1128"/>
      <c r="J3" s="1128"/>
      <c r="K3" s="1128"/>
      <c r="L3" s="1128"/>
      <c r="M3" s="1112"/>
      <c r="N3" s="1001"/>
      <c r="P3" s="666"/>
    </row>
    <row r="4" spans="1:18" ht="15" customHeight="1">
      <c r="A4" s="220" t="str">
        <f>Index!$D$10</f>
        <v>C0</v>
      </c>
      <c r="C4" s="632"/>
      <c r="D4" s="220"/>
      <c r="E4" s="633"/>
      <c r="F4" s="633"/>
      <c r="G4" s="633"/>
      <c r="H4" s="633"/>
      <c r="I4" s="633"/>
      <c r="J4" s="633"/>
      <c r="K4" s="633"/>
      <c r="L4" s="633"/>
    </row>
    <row r="5" spans="1:18" ht="15" customHeight="1">
      <c r="A5" s="220" t="str">
        <f>Index!$D$10</f>
        <v>C0</v>
      </c>
      <c r="C5" s="220"/>
      <c r="D5" s="220"/>
      <c r="E5" s="220"/>
      <c r="F5" s="634"/>
      <c r="G5" s="220"/>
      <c r="H5" s="875"/>
      <c r="I5" s="635" t="s">
        <v>633</v>
      </c>
      <c r="J5" s="1125" t="str">
        <f>+Index!$D$10</f>
        <v>C0</v>
      </c>
      <c r="K5" s="1125"/>
      <c r="L5" s="1125"/>
    </row>
    <row r="6" spans="1:18" ht="15" customHeight="1">
      <c r="A6" s="220" t="str">
        <f>Index!$D$10</f>
        <v>C0</v>
      </c>
      <c r="C6" s="220"/>
      <c r="D6" s="220"/>
      <c r="E6" s="220"/>
      <c r="F6" s="220"/>
      <c r="G6" s="220"/>
      <c r="H6" s="875"/>
      <c r="I6" s="635" t="s">
        <v>480</v>
      </c>
      <c r="J6" s="1126" t="str">
        <f>+Index!$D$9</f>
        <v>Alamance Community College</v>
      </c>
      <c r="K6" s="1126"/>
      <c r="L6" s="1126"/>
    </row>
    <row r="7" spans="1:18" ht="15" customHeight="1">
      <c r="A7" s="220" t="str">
        <f>Index!$D$10</f>
        <v>C0</v>
      </c>
      <c r="C7" s="220"/>
      <c r="D7" s="220"/>
      <c r="E7" s="220"/>
      <c r="F7" s="636"/>
      <c r="G7" s="220"/>
      <c r="H7" s="875"/>
      <c r="I7" s="635" t="s">
        <v>481</v>
      </c>
      <c r="J7" s="1127" t="str">
        <f>CONCATENATE(Index!$D$11," ",Index!$D$12)</f>
        <v xml:space="preserve"> </v>
      </c>
      <c r="K7" s="1127"/>
      <c r="L7" s="1127"/>
    </row>
    <row r="8" spans="1:18" ht="15" customHeight="1" thickBot="1">
      <c r="A8" s="220" t="str">
        <f>Index!$D$10</f>
        <v>C0</v>
      </c>
      <c r="C8" s="637"/>
      <c r="D8" s="637"/>
      <c r="E8" s="637"/>
      <c r="F8" s="637"/>
      <c r="G8" s="637"/>
      <c r="H8" s="637"/>
      <c r="I8" s="637"/>
      <c r="J8" s="637"/>
      <c r="K8" s="637"/>
      <c r="L8" s="637"/>
      <c r="M8" s="637"/>
      <c r="N8" s="637"/>
    </row>
    <row r="9" spans="1:18" ht="7.5" customHeight="1">
      <c r="A9" s="220" t="str">
        <f>Index!$D$10</f>
        <v>C0</v>
      </c>
      <c r="C9" s="220"/>
      <c r="D9" s="220"/>
      <c r="E9" s="220"/>
      <c r="F9" s="220"/>
      <c r="G9" s="220"/>
      <c r="H9" s="220"/>
      <c r="I9" s="220"/>
      <c r="J9" s="220"/>
      <c r="K9" s="220"/>
      <c r="L9" s="220"/>
    </row>
    <row r="10" spans="1:18" ht="15" customHeight="1">
      <c r="C10" s="27" t="s">
        <v>723</v>
      </c>
      <c r="D10" s="183"/>
      <c r="E10" s="784"/>
      <c r="F10" s="183"/>
      <c r="G10" s="183"/>
      <c r="H10" s="183"/>
      <c r="I10" s="183"/>
      <c r="J10" s="183"/>
      <c r="K10" s="183"/>
      <c r="L10" s="183"/>
      <c r="M10" s="785"/>
      <c r="N10" s="183"/>
      <c r="O10" s="785"/>
      <c r="P10" s="785"/>
      <c r="Q10" s="785"/>
      <c r="R10" s="786"/>
    </row>
    <row r="11" spans="1:18" ht="15" customHeight="1">
      <c r="C11" s="27" t="s">
        <v>724</v>
      </c>
      <c r="D11" s="183"/>
      <c r="E11" s="784"/>
      <c r="F11" s="183"/>
      <c r="G11" s="183"/>
      <c r="H11" s="183"/>
      <c r="I11" s="183"/>
      <c r="J11" s="183"/>
      <c r="K11" s="183"/>
      <c r="L11" s="183"/>
      <c r="M11" s="785"/>
      <c r="N11" s="183"/>
      <c r="O11" s="785"/>
      <c r="P11" s="785"/>
      <c r="Q11" s="785"/>
      <c r="R11" s="786"/>
    </row>
    <row r="12" spans="1:18" ht="13.95" customHeight="1">
      <c r="C12" s="27" t="s">
        <v>725</v>
      </c>
      <c r="D12" s="183"/>
      <c r="E12" s="784"/>
      <c r="F12" s="183"/>
      <c r="G12" s="183"/>
      <c r="H12" s="183"/>
      <c r="I12" s="183"/>
      <c r="J12" s="183"/>
      <c r="K12" s="183"/>
      <c r="L12" s="183"/>
      <c r="M12" s="183"/>
      <c r="N12" s="183"/>
      <c r="O12" s="785"/>
      <c r="P12" s="785"/>
      <c r="Q12" s="785"/>
      <c r="R12" s="786"/>
    </row>
    <row r="13" spans="1:18" ht="11.4" customHeight="1">
      <c r="C13" s="220"/>
      <c r="D13" s="220"/>
      <c r="E13" s="220"/>
      <c r="F13" s="220"/>
      <c r="G13" s="220"/>
      <c r="H13" s="220"/>
      <c r="I13" s="220"/>
      <c r="J13" s="220"/>
      <c r="K13" s="220"/>
      <c r="L13" s="220"/>
    </row>
    <row r="14" spans="1:18" ht="7.5" customHeight="1">
      <c r="C14" s="220"/>
      <c r="D14" s="220"/>
      <c r="E14" s="220"/>
      <c r="F14" s="220"/>
      <c r="G14" s="220"/>
      <c r="H14" s="220"/>
      <c r="I14" s="220"/>
      <c r="J14" s="220"/>
      <c r="K14" s="220"/>
      <c r="L14" s="220"/>
    </row>
    <row r="15" spans="1:18">
      <c r="C15" s="638"/>
      <c r="D15" s="221"/>
      <c r="E15" s="221"/>
      <c r="F15" s="221"/>
      <c r="G15" s="221"/>
      <c r="H15" s="221"/>
      <c r="I15" s="221"/>
      <c r="J15" s="221"/>
      <c r="K15" s="221"/>
      <c r="L15" s="221"/>
      <c r="M15" s="221"/>
      <c r="N15" s="221"/>
      <c r="O15" s="221"/>
      <c r="P15" s="221"/>
    </row>
    <row r="16" spans="1:18" ht="12.6" customHeight="1">
      <c r="C16" s="32" t="s">
        <v>638</v>
      </c>
      <c r="D16" s="221"/>
      <c r="E16" s="221"/>
      <c r="F16" s="221"/>
      <c r="G16" s="221"/>
      <c r="H16" s="221"/>
      <c r="I16" s="221"/>
      <c r="J16" s="221"/>
      <c r="K16" s="221"/>
      <c r="L16" s="220"/>
      <c r="M16" s="221"/>
      <c r="N16" s="221"/>
      <c r="O16" s="221"/>
      <c r="P16" s="221"/>
    </row>
    <row r="17" spans="1:17">
      <c r="A17" s="220" t="str">
        <f>Index!$D$10</f>
        <v>C0</v>
      </c>
      <c r="C17" s="221" t="s">
        <v>639</v>
      </c>
      <c r="D17" s="221"/>
      <c r="E17" s="221"/>
      <c r="F17" s="221"/>
      <c r="G17" s="221"/>
      <c r="H17" s="221"/>
      <c r="I17" s="221"/>
      <c r="J17" s="221"/>
      <c r="K17" s="221"/>
      <c r="L17" s="220"/>
      <c r="M17" s="221"/>
      <c r="N17" s="221"/>
      <c r="O17" s="221"/>
      <c r="P17" s="221"/>
    </row>
    <row r="18" spans="1:17" ht="8.1" customHeight="1">
      <c r="A18" s="220" t="str">
        <f>Index!$D$10</f>
        <v>C0</v>
      </c>
      <c r="C18" s="221"/>
      <c r="D18" s="221"/>
      <c r="E18" s="221"/>
      <c r="F18" s="221"/>
      <c r="G18" s="221"/>
      <c r="H18" s="221"/>
      <c r="I18" s="221"/>
      <c r="J18" s="221"/>
      <c r="K18" s="221"/>
      <c r="L18" s="221"/>
      <c r="M18" s="221"/>
      <c r="N18" s="221"/>
      <c r="O18" s="221"/>
      <c r="P18" s="221"/>
    </row>
    <row r="19" spans="1:17" s="223" customFormat="1" ht="11.1" customHeight="1">
      <c r="A19" s="220" t="str">
        <f>Index!$D$10</f>
        <v>C0</v>
      </c>
      <c r="B19" s="759"/>
      <c r="C19" s="326"/>
      <c r="D19" s="326"/>
      <c r="E19" s="326"/>
      <c r="F19" s="222" t="s">
        <v>726</v>
      </c>
      <c r="G19" s="326"/>
      <c r="H19" s="326"/>
      <c r="I19" s="326"/>
      <c r="J19" s="326"/>
      <c r="K19" s="326"/>
      <c r="L19" s="222"/>
      <c r="M19" s="222"/>
      <c r="N19" s="222"/>
      <c r="O19" s="326"/>
      <c r="P19" s="326"/>
      <c r="Q19" s="759"/>
    </row>
    <row r="20" spans="1:17" s="223" customFormat="1" ht="12" customHeight="1">
      <c r="A20" s="220" t="str">
        <f>Index!$D$10</f>
        <v>C0</v>
      </c>
      <c r="B20" s="759"/>
      <c r="C20" s="326"/>
      <c r="D20" s="326"/>
      <c r="E20" s="326"/>
      <c r="F20" s="222" t="s">
        <v>643</v>
      </c>
      <c r="G20" s="326"/>
      <c r="H20" s="326"/>
      <c r="I20" s="326"/>
      <c r="J20" s="326"/>
      <c r="K20" s="759"/>
      <c r="L20" s="974" t="s">
        <v>727</v>
      </c>
      <c r="M20" s="974"/>
      <c r="N20" s="974" t="s">
        <v>728</v>
      </c>
      <c r="O20" s="326"/>
      <c r="P20" s="326"/>
      <c r="Q20" s="759"/>
    </row>
    <row r="21" spans="1:17" s="223" customFormat="1" ht="12" customHeight="1">
      <c r="A21" s="220" t="str">
        <f>Index!$D$10</f>
        <v>C0</v>
      </c>
      <c r="B21" s="759"/>
      <c r="C21" s="326"/>
      <c r="D21" s="326"/>
      <c r="E21" s="326"/>
      <c r="F21" s="804" t="s">
        <v>644</v>
      </c>
      <c r="G21" s="326"/>
      <c r="H21" s="326"/>
      <c r="I21" s="326"/>
      <c r="J21" s="326"/>
      <c r="K21" s="759"/>
      <c r="L21" s="804" t="s">
        <v>645</v>
      </c>
      <c r="M21" s="222"/>
      <c r="N21" s="804" t="s">
        <v>646</v>
      </c>
      <c r="O21" s="326"/>
      <c r="P21" s="326"/>
      <c r="Q21" s="759"/>
    </row>
    <row r="22" spans="1:17" s="223" customFormat="1" ht="12" hidden="1" customHeight="1">
      <c r="A22" s="220" t="str">
        <f>Index!$D$10</f>
        <v>C0</v>
      </c>
      <c r="B22" s="759"/>
      <c r="C22" s="326"/>
      <c r="D22" s="326"/>
      <c r="E22" s="326"/>
      <c r="F22" s="222"/>
      <c r="G22" s="326"/>
      <c r="H22" s="326"/>
      <c r="I22" s="326"/>
      <c r="J22" s="326"/>
      <c r="K22" s="759"/>
      <c r="L22" s="804" t="s">
        <v>647</v>
      </c>
      <c r="M22" s="222"/>
      <c r="N22" s="222"/>
      <c r="O22" s="326"/>
      <c r="P22" s="326"/>
      <c r="Q22" s="759"/>
    </row>
    <row r="23" spans="1:17" ht="12" customHeight="1">
      <c r="A23" s="220" t="str">
        <f>Index!$D$10</f>
        <v>C0</v>
      </c>
      <c r="B23" s="220">
        <v>105</v>
      </c>
      <c r="C23" s="221"/>
      <c r="D23" s="221"/>
      <c r="E23" s="221"/>
      <c r="F23" s="876">
        <f>YEAR(Index!$A$122)</f>
        <v>2024</v>
      </c>
      <c r="G23" s="221"/>
      <c r="H23" s="221"/>
      <c r="I23" s="639"/>
      <c r="J23" s="640"/>
      <c r="K23" s="641"/>
      <c r="L23" s="218"/>
      <c r="M23" s="221"/>
      <c r="N23" s="218">
        <v>0</v>
      </c>
      <c r="O23" s="221"/>
      <c r="P23" s="221"/>
      <c r="Q23" s="758" t="s">
        <v>648</v>
      </c>
    </row>
    <row r="24" spans="1:17" ht="12" customHeight="1">
      <c r="A24" s="220" t="str">
        <f>Index!$D$10</f>
        <v>C0</v>
      </c>
      <c r="B24" s="220">
        <v>110</v>
      </c>
      <c r="C24" s="221"/>
      <c r="D24" s="221"/>
      <c r="E24" s="221"/>
      <c r="F24" s="876">
        <f>F23+1</f>
        <v>2025</v>
      </c>
      <c r="G24" s="221"/>
      <c r="H24" s="221"/>
      <c r="I24" s="221"/>
      <c r="J24" s="640"/>
      <c r="K24" s="640"/>
      <c r="L24" s="218">
        <v>0</v>
      </c>
      <c r="M24" s="221"/>
      <c r="N24" s="218">
        <v>0</v>
      </c>
      <c r="O24" s="221"/>
      <c r="P24" s="221"/>
      <c r="Q24" s="758" t="s">
        <v>649</v>
      </c>
    </row>
    <row r="25" spans="1:17" ht="12" customHeight="1">
      <c r="A25" s="220" t="str">
        <f>Index!$D$10</f>
        <v>C0</v>
      </c>
      <c r="B25" s="220">
        <v>115</v>
      </c>
      <c r="C25" s="221"/>
      <c r="D25" s="221"/>
      <c r="E25" s="221"/>
      <c r="F25" s="876">
        <f>F24+1</f>
        <v>2026</v>
      </c>
      <c r="G25" s="221"/>
      <c r="H25" s="221"/>
      <c r="I25" s="221"/>
      <c r="J25" s="640"/>
      <c r="K25" s="640"/>
      <c r="L25" s="218">
        <v>0</v>
      </c>
      <c r="M25" s="221"/>
      <c r="N25" s="218">
        <v>0</v>
      </c>
      <c r="O25" s="221"/>
      <c r="P25" s="221"/>
      <c r="Q25" s="758" t="s">
        <v>650</v>
      </c>
    </row>
    <row r="26" spans="1:17" ht="11.4" customHeight="1">
      <c r="A26" s="220" t="str">
        <f>Index!$D$10</f>
        <v>C0</v>
      </c>
      <c r="B26" s="220">
        <v>120</v>
      </c>
      <c r="C26" s="221"/>
      <c r="D26" s="221"/>
      <c r="E26" s="221"/>
      <c r="F26" s="876">
        <f>F25+1</f>
        <v>2027</v>
      </c>
      <c r="G26" s="221"/>
      <c r="H26" s="221"/>
      <c r="I26" s="221"/>
      <c r="J26" s="640"/>
      <c r="K26" s="640"/>
      <c r="L26" s="218">
        <v>0</v>
      </c>
      <c r="M26" s="221"/>
      <c r="N26" s="218">
        <v>0</v>
      </c>
      <c r="O26" s="221"/>
      <c r="P26" s="221"/>
      <c r="Q26" s="758" t="s">
        <v>651</v>
      </c>
    </row>
    <row r="27" spans="1:17" ht="12" customHeight="1">
      <c r="A27" s="220" t="str">
        <f>Index!$D$10</f>
        <v>C0</v>
      </c>
      <c r="B27" s="220">
        <v>125</v>
      </c>
      <c r="C27" s="221"/>
      <c r="D27" s="221"/>
      <c r="E27" s="221"/>
      <c r="F27" s="876">
        <f>F26+1</f>
        <v>2028</v>
      </c>
      <c r="G27" s="221"/>
      <c r="H27" s="221"/>
      <c r="I27" s="221"/>
      <c r="J27" s="640"/>
      <c r="K27" s="640"/>
      <c r="L27" s="218">
        <v>0</v>
      </c>
      <c r="M27" s="221"/>
      <c r="N27" s="218">
        <v>0</v>
      </c>
      <c r="O27" s="221"/>
      <c r="P27" s="221"/>
      <c r="Q27" s="758" t="s">
        <v>652</v>
      </c>
    </row>
    <row r="28" spans="1:17" ht="12" customHeight="1">
      <c r="A28" s="220" t="str">
        <f>Index!$D$10</f>
        <v>C0</v>
      </c>
      <c r="B28" s="220">
        <v>130</v>
      </c>
      <c r="C28" s="221"/>
      <c r="D28" s="221"/>
      <c r="E28" s="642">
        <f>F27+1</f>
        <v>2029</v>
      </c>
      <c r="F28" s="876" t="str">
        <f>E28&amp;" - "&amp;(E28+4)</f>
        <v>2029 - 2033</v>
      </c>
      <c r="G28" s="221"/>
      <c r="H28" s="221"/>
      <c r="I28" s="221"/>
      <c r="J28" s="640"/>
      <c r="K28" s="640"/>
      <c r="L28" s="218">
        <v>0</v>
      </c>
      <c r="M28" s="221"/>
      <c r="N28" s="218">
        <v>0</v>
      </c>
      <c r="O28" s="221"/>
      <c r="P28" s="221"/>
      <c r="Q28" s="758" t="s">
        <v>653</v>
      </c>
    </row>
    <row r="29" spans="1:17" ht="12" customHeight="1">
      <c r="A29" s="220" t="str">
        <f>Index!$D$10</f>
        <v>C0</v>
      </c>
      <c r="B29" s="220">
        <v>135</v>
      </c>
      <c r="C29" s="221"/>
      <c r="D29" s="221"/>
      <c r="E29" s="643">
        <f>E28+5</f>
        <v>2034</v>
      </c>
      <c r="F29" s="876" t="str">
        <f>E29&amp;" - "&amp;(E29+4)</f>
        <v>2034 - 2038</v>
      </c>
      <c r="G29" s="221"/>
      <c r="H29" s="221"/>
      <c r="I29" s="221"/>
      <c r="J29" s="640"/>
      <c r="K29" s="640"/>
      <c r="L29" s="218"/>
      <c r="M29" s="221"/>
      <c r="N29" s="218"/>
      <c r="O29" s="221"/>
      <c r="P29" s="221"/>
      <c r="Q29" s="758" t="s">
        <v>654</v>
      </c>
    </row>
    <row r="30" spans="1:17" ht="12" customHeight="1">
      <c r="A30" s="220" t="str">
        <f>Index!$D$10</f>
        <v>C0</v>
      </c>
      <c r="B30" s="220">
        <v>140</v>
      </c>
      <c r="C30" s="221"/>
      <c r="D30" s="221"/>
      <c r="E30" s="643">
        <f>E29+5</f>
        <v>2039</v>
      </c>
      <c r="F30" s="876" t="str">
        <f>E30&amp;" - "&amp;(E30+4)</f>
        <v>2039 - 2043</v>
      </c>
      <c r="G30" s="221"/>
      <c r="H30" s="221"/>
      <c r="I30" s="221"/>
      <c r="J30" s="640"/>
      <c r="K30" s="640"/>
      <c r="L30" s="218">
        <v>0</v>
      </c>
      <c r="M30" s="221"/>
      <c r="N30" s="218"/>
      <c r="O30" s="221"/>
      <c r="P30" s="221"/>
      <c r="Q30" s="758" t="s">
        <v>655</v>
      </c>
    </row>
    <row r="31" spans="1:17" ht="15.6" customHeight="1" thickBot="1">
      <c r="A31" s="220" t="str">
        <f>Index!$D$10</f>
        <v>C0</v>
      </c>
      <c r="B31" s="220">
        <v>145</v>
      </c>
      <c r="C31" s="221"/>
      <c r="D31" s="221"/>
      <c r="E31" s="643">
        <f>E30+5</f>
        <v>2044</v>
      </c>
      <c r="F31" s="876" t="str">
        <f>E31&amp;" - "&amp;(E31+4)</f>
        <v>2044 - 2048</v>
      </c>
      <c r="G31" s="221"/>
      <c r="H31" s="221"/>
      <c r="I31" s="639"/>
      <c r="J31" s="640"/>
      <c r="K31" s="640"/>
      <c r="L31" s="219"/>
      <c r="M31" s="221"/>
      <c r="N31" s="219">
        <v>0</v>
      </c>
      <c r="O31" s="1124" t="str">
        <f>IF(L34='Long-Term Liabilities'!O18," "," Subscription Principal Pmts must tie to Subscription Liability on Long-Term Liabilities worksheet")</f>
        <v xml:space="preserve"> </v>
      </c>
      <c r="P31" s="221"/>
      <c r="Q31" s="758" t="s">
        <v>656</v>
      </c>
    </row>
    <row r="32" spans="1:17" ht="12" customHeight="1">
      <c r="A32" s="220" t="str">
        <f>Index!$D$10</f>
        <v>C0</v>
      </c>
      <c r="C32" s="221"/>
      <c r="D32" s="221"/>
      <c r="E32" s="643"/>
      <c r="F32" s="876"/>
      <c r="G32" s="221"/>
      <c r="H32" s="221"/>
      <c r="I32" s="639"/>
      <c r="J32" s="640"/>
      <c r="K32" s="640"/>
      <c r="L32" s="644" t="s">
        <v>657</v>
      </c>
      <c r="M32" s="221"/>
      <c r="N32" s="221"/>
      <c r="O32" s="1124"/>
      <c r="P32" s="221"/>
    </row>
    <row r="33" spans="1:17" ht="12" customHeight="1" thickBot="1">
      <c r="A33" s="220" t="str">
        <f>Index!$D$10</f>
        <v>C0</v>
      </c>
      <c r="B33" s="220">
        <v>180</v>
      </c>
      <c r="C33" s="221"/>
      <c r="D33" s="221"/>
      <c r="E33" s="221"/>
      <c r="F33" s="326" t="s">
        <v>658</v>
      </c>
      <c r="G33" s="221"/>
      <c r="H33" s="221"/>
      <c r="I33" s="221"/>
      <c r="J33" s="640"/>
      <c r="K33" s="640"/>
      <c r="L33" s="645">
        <f>SUM(L23:L31)</f>
        <v>0</v>
      </c>
      <c r="M33" s="221"/>
      <c r="N33" s="645">
        <f>SUM(N23:N31)</f>
        <v>0</v>
      </c>
      <c r="O33" s="1124"/>
      <c r="P33" s="221"/>
    </row>
    <row r="34" spans="1:17" ht="19.95" customHeight="1" thickTop="1">
      <c r="A34" s="220" t="str">
        <f>Index!$D$10</f>
        <v>C0</v>
      </c>
      <c r="B34" s="220">
        <v>185</v>
      </c>
      <c r="C34" s="221"/>
      <c r="D34" s="221"/>
      <c r="E34" s="221"/>
      <c r="F34" s="326" t="s">
        <v>729</v>
      </c>
      <c r="G34" s="221"/>
      <c r="H34" s="221"/>
      <c r="I34" s="221"/>
      <c r="J34" s="938"/>
      <c r="K34" s="939"/>
      <c r="L34" s="940">
        <f>L33</f>
        <v>0</v>
      </c>
      <c r="M34" s="221"/>
      <c r="N34" s="221"/>
      <c r="O34" s="1124"/>
      <c r="P34" s="221"/>
      <c r="Q34" s="758"/>
    </row>
    <row r="35" spans="1:17" ht="18.600000000000001" customHeight="1">
      <c r="A35" s="220" t="str">
        <f>Index!$D$10</f>
        <v>C0</v>
      </c>
      <c r="C35" s="221"/>
      <c r="D35" s="221"/>
      <c r="E35" s="221"/>
      <c r="F35" s="326"/>
      <c r="G35" s="221"/>
      <c r="H35" s="221"/>
      <c r="I35" s="221"/>
      <c r="J35" s="938"/>
      <c r="K35" s="938"/>
      <c r="L35" s="938"/>
      <c r="M35" s="221"/>
      <c r="N35" s="221"/>
      <c r="O35" s="1124"/>
      <c r="P35" s="221"/>
    </row>
    <row r="36" spans="1:17" ht="12" customHeight="1">
      <c r="A36" s="220" t="str">
        <f>Index!$D$10</f>
        <v>C0</v>
      </c>
      <c r="B36" s="220">
        <v>190</v>
      </c>
      <c r="C36" s="221"/>
      <c r="D36" s="221"/>
      <c r="E36" s="221"/>
      <c r="F36" s="326"/>
      <c r="G36" s="221"/>
      <c r="H36" s="221"/>
      <c r="I36" s="221"/>
      <c r="J36" s="640"/>
      <c r="K36" s="640"/>
      <c r="L36" s="938"/>
      <c r="M36" s="221"/>
      <c r="N36" s="221"/>
      <c r="O36" s="1124"/>
      <c r="P36" s="221"/>
    </row>
    <row r="37" spans="1:17" ht="12" customHeight="1">
      <c r="C37" s="221"/>
      <c r="D37" s="221"/>
      <c r="E37" s="221"/>
      <c r="F37" s="326"/>
      <c r="G37" s="221"/>
      <c r="H37" s="221"/>
      <c r="I37" s="221"/>
      <c r="J37" s="640"/>
      <c r="K37" s="640"/>
      <c r="L37" s="938"/>
      <c r="M37" s="221"/>
      <c r="N37" s="221"/>
      <c r="O37" s="1004"/>
      <c r="P37" s="221"/>
    </row>
    <row r="38" spans="1:17" s="223" customFormat="1" ht="22.2" customHeight="1">
      <c r="A38" s="220" t="str">
        <f>Index!$D$10</f>
        <v>C0</v>
      </c>
      <c r="B38" s="759"/>
      <c r="C38" s="476" t="s">
        <v>660</v>
      </c>
      <c r="D38" s="326" t="s">
        <v>730</v>
      </c>
      <c r="E38" s="326"/>
      <c r="F38" s="221"/>
      <c r="G38" s="221"/>
      <c r="H38" s="221"/>
      <c r="I38" s="221"/>
      <c r="J38" s="221"/>
      <c r="K38" s="221"/>
      <c r="L38" s="221"/>
      <c r="M38" s="221"/>
      <c r="N38" s="221"/>
      <c r="O38" s="759"/>
      <c r="P38" s="221"/>
      <c r="Q38" s="759"/>
    </row>
    <row r="39" spans="1:17" s="223" customFormat="1" ht="10.95" customHeight="1">
      <c r="A39" s="220"/>
      <c r="B39" s="759"/>
      <c r="C39" s="476"/>
      <c r="D39" s="326"/>
      <c r="E39" s="326"/>
      <c r="F39" s="221"/>
      <c r="G39" s="221"/>
      <c r="H39" s="221"/>
      <c r="I39" s="221"/>
      <c r="J39" s="221"/>
      <c r="K39" s="221"/>
      <c r="L39" s="221"/>
      <c r="M39" s="221"/>
      <c r="N39" s="221"/>
      <c r="O39" s="759"/>
      <c r="P39" s="221"/>
      <c r="Q39" s="759"/>
    </row>
    <row r="40" spans="1:17" s="223" customFormat="1" ht="12.6" customHeight="1">
      <c r="A40" s="220"/>
      <c r="B40" s="759"/>
      <c r="C40" s="646" t="s">
        <v>731</v>
      </c>
      <c r="D40" s="476"/>
      <c r="E40" s="476"/>
      <c r="F40" s="476"/>
      <c r="G40" s="646"/>
      <c r="H40" s="646"/>
      <c r="I40" s="646"/>
      <c r="J40" s="646"/>
      <c r="K40" s="646"/>
      <c r="L40" s="646"/>
      <c r="M40" s="646"/>
      <c r="N40" s="646"/>
      <c r="O40" s="646"/>
      <c r="P40" s="646"/>
      <c r="Q40" s="759"/>
    </row>
    <row r="41" spans="1:17" s="223" customFormat="1" ht="12.6" customHeight="1">
      <c r="A41" s="220"/>
      <c r="B41" s="759"/>
      <c r="C41" s="646"/>
      <c r="D41" s="476"/>
      <c r="E41" s="476"/>
      <c r="F41" s="476"/>
      <c r="G41" s="646"/>
      <c r="H41" s="646"/>
      <c r="I41" s="646"/>
      <c r="J41" s="646"/>
      <c r="K41" s="646"/>
      <c r="L41" s="646"/>
      <c r="M41" s="646"/>
      <c r="N41" s="646"/>
      <c r="O41" s="646"/>
      <c r="P41" s="646"/>
      <c r="Q41" s="759"/>
    </row>
    <row r="42" spans="1:17" s="223" customFormat="1" ht="12.6" customHeight="1">
      <c r="A42" s="220"/>
      <c r="B42" s="759"/>
      <c r="C42" s="646" t="s">
        <v>663</v>
      </c>
      <c r="D42" s="476"/>
      <c r="E42" s="476"/>
      <c r="F42" s="476"/>
      <c r="G42" s="646"/>
      <c r="H42" s="646"/>
      <c r="I42" s="646"/>
      <c r="J42" s="646"/>
      <c r="K42" s="221"/>
      <c r="L42" s="221"/>
      <c r="M42" s="221"/>
      <c r="N42" s="221"/>
      <c r="O42" s="221"/>
      <c r="P42" s="221"/>
      <c r="Q42" s="759"/>
    </row>
    <row r="43" spans="1:17" s="223" customFormat="1" ht="12.6" customHeight="1">
      <c r="A43" s="220"/>
      <c r="B43" s="759"/>
      <c r="C43" s="646"/>
      <c r="D43" s="476"/>
      <c r="E43" s="476"/>
      <c r="F43" s="476"/>
      <c r="G43" s="646"/>
      <c r="H43" s="646"/>
      <c r="I43" s="646"/>
      <c r="J43" s="646"/>
      <c r="K43" s="221"/>
      <c r="L43" s="221"/>
      <c r="M43" s="221"/>
      <c r="N43" s="221"/>
      <c r="O43" s="221"/>
      <c r="P43" s="221"/>
      <c r="Q43" s="759"/>
    </row>
    <row r="44" spans="1:17" s="759" customFormat="1" ht="12.6" customHeight="1">
      <c r="C44" s="368" t="s">
        <v>732</v>
      </c>
      <c r="D44" s="368"/>
      <c r="E44" s="368"/>
      <c r="F44" s="368"/>
      <c r="G44" s="368"/>
      <c r="H44" s="368"/>
      <c r="I44" s="368"/>
      <c r="J44" s="368"/>
      <c r="K44" s="270"/>
      <c r="L44" s="270"/>
      <c r="M44" s="270"/>
      <c r="N44" s="270"/>
      <c r="O44" s="270"/>
      <c r="P44" s="270"/>
    </row>
    <row r="45" spans="1:17" s="759" customFormat="1" ht="12.6" customHeight="1">
      <c r="C45" s="368" t="s">
        <v>733</v>
      </c>
      <c r="D45" s="368"/>
      <c r="E45" s="368"/>
      <c r="F45" s="368"/>
      <c r="G45" s="368"/>
      <c r="H45" s="368"/>
      <c r="I45" s="368"/>
      <c r="J45" s="368"/>
      <c r="K45" s="270"/>
      <c r="L45" s="270"/>
      <c r="M45" s="270"/>
      <c r="N45" s="270"/>
      <c r="O45" s="270"/>
      <c r="P45" s="270"/>
    </row>
    <row r="46" spans="1:17" s="759" customFormat="1" ht="12.6" customHeight="1">
      <c r="C46" s="368" t="s">
        <v>734</v>
      </c>
      <c r="D46" s="368"/>
      <c r="E46" s="368"/>
      <c r="F46" s="368"/>
      <c r="G46" s="368"/>
      <c r="H46" s="368"/>
      <c r="I46" s="368"/>
      <c r="J46" s="368"/>
      <c r="K46" s="270"/>
      <c r="L46" s="270"/>
      <c r="M46" s="270"/>
      <c r="N46" s="270"/>
      <c r="O46" s="270"/>
      <c r="P46" s="270"/>
    </row>
    <row r="47" spans="1:17" s="759" customFormat="1" ht="12.6" customHeight="1">
      <c r="C47" s="368" t="s">
        <v>735</v>
      </c>
      <c r="D47" s="368"/>
      <c r="E47" s="368"/>
      <c r="F47" s="368"/>
      <c r="G47" s="368"/>
      <c r="H47" s="368"/>
      <c r="I47" s="368"/>
      <c r="J47" s="368"/>
      <c r="K47" s="270"/>
      <c r="L47" s="270"/>
      <c r="M47" s="270"/>
      <c r="N47" s="270"/>
      <c r="O47" s="270"/>
      <c r="P47" s="270"/>
    </row>
    <row r="48" spans="1:17" s="759" customFormat="1" ht="4.95" customHeight="1">
      <c r="C48" s="368"/>
      <c r="D48" s="368"/>
      <c r="E48" s="368"/>
      <c r="F48" s="368"/>
      <c r="G48" s="368"/>
      <c r="H48" s="368"/>
      <c r="I48" s="368"/>
      <c r="J48" s="368"/>
      <c r="K48" s="270"/>
      <c r="L48" s="270"/>
      <c r="M48" s="270"/>
      <c r="N48" s="270"/>
      <c r="O48" s="270"/>
      <c r="P48" s="270"/>
    </row>
    <row r="49" spans="1:17" s="759" customFormat="1" ht="12.6" customHeight="1">
      <c r="C49" s="368"/>
      <c r="D49" s="368"/>
      <c r="E49" s="368"/>
      <c r="F49" s="368"/>
      <c r="G49" s="368"/>
      <c r="H49" s="368"/>
      <c r="I49" s="368"/>
      <c r="J49" s="368"/>
      <c r="K49" s="270"/>
      <c r="L49" s="270"/>
      <c r="M49" s="270"/>
      <c r="N49" s="270"/>
      <c r="O49" s="270"/>
      <c r="P49" s="270"/>
    </row>
    <row r="50" spans="1:17" s="759" customFormat="1" ht="16.2" customHeight="1">
      <c r="C50" s="368"/>
      <c r="D50" s="368"/>
      <c r="E50" s="368"/>
      <c r="F50" s="368"/>
      <c r="G50" s="368"/>
      <c r="H50" s="368"/>
      <c r="I50" s="368"/>
      <c r="J50" s="368"/>
      <c r="K50" s="270"/>
      <c r="L50" s="270"/>
      <c r="M50" s="270"/>
      <c r="N50" s="270"/>
      <c r="O50" s="270"/>
      <c r="P50" s="270"/>
    </row>
    <row r="51" spans="1:17" s="223" customFormat="1" ht="12.6" customHeight="1">
      <c r="A51" s="220"/>
      <c r="B51" s="759"/>
      <c r="C51" s="646"/>
      <c r="D51" s="476"/>
      <c r="E51" s="476"/>
      <c r="F51" s="476"/>
      <c r="G51" s="646"/>
      <c r="H51" s="646"/>
      <c r="I51" s="646"/>
      <c r="J51" s="646"/>
      <c r="K51" s="221"/>
      <c r="L51" s="221"/>
      <c r="M51" s="221"/>
      <c r="N51" s="221"/>
      <c r="O51" s="221"/>
      <c r="P51" s="221"/>
      <c r="Q51" s="759"/>
    </row>
    <row r="52" spans="1:17" s="200" customFormat="1" ht="15.75" customHeight="1">
      <c r="B52" s="1117"/>
      <c r="C52" s="1117"/>
      <c r="D52" s="1117"/>
      <c r="E52" s="1117"/>
      <c r="F52" s="1117"/>
      <c r="G52" s="1117"/>
      <c r="H52" s="1117"/>
      <c r="I52" s="1117"/>
      <c r="J52" s="1117"/>
      <c r="K52" s="1117"/>
      <c r="L52" s="1117"/>
      <c r="M52" s="1117"/>
      <c r="N52" s="1002"/>
    </row>
    <row r="53" spans="1:17" s="200" customFormat="1" ht="15.75" customHeight="1">
      <c r="B53" s="1117"/>
      <c r="C53" s="1117"/>
      <c r="D53" s="1117"/>
      <c r="E53" s="1117"/>
      <c r="F53" s="1117"/>
      <c r="G53" s="1117"/>
      <c r="H53" s="1117"/>
      <c r="I53" s="1117"/>
      <c r="J53" s="1117"/>
      <c r="K53" s="1117"/>
      <c r="L53" s="1117"/>
      <c r="M53" s="1117"/>
      <c r="N53" s="1002"/>
    </row>
    <row r="54" spans="1:17" s="200" customFormat="1" ht="15.75" customHeight="1">
      <c r="B54" s="1117"/>
      <c r="C54" s="1117"/>
      <c r="D54" s="1117"/>
      <c r="E54" s="1117"/>
      <c r="F54" s="1117"/>
      <c r="G54" s="1117"/>
      <c r="H54" s="1117"/>
      <c r="I54" s="1117"/>
      <c r="J54" s="1117"/>
      <c r="K54" s="1117"/>
      <c r="L54" s="1117"/>
      <c r="M54" s="1117"/>
      <c r="N54" s="1002"/>
    </row>
    <row r="55" spans="1:17" s="200" customFormat="1" ht="15.75" customHeight="1">
      <c r="B55" s="1117"/>
      <c r="C55" s="1117"/>
      <c r="D55" s="1117"/>
      <c r="E55" s="1117"/>
      <c r="F55" s="1117"/>
      <c r="G55" s="1117"/>
      <c r="H55" s="1117"/>
      <c r="I55" s="1117"/>
      <c r="J55" s="1117"/>
      <c r="K55" s="1117"/>
      <c r="L55" s="1117"/>
      <c r="M55" s="1117"/>
      <c r="N55" s="1002"/>
    </row>
    <row r="56" spans="1:17" s="200" customFormat="1" ht="15.75" customHeight="1">
      <c r="B56" s="1117"/>
      <c r="C56" s="1117"/>
      <c r="D56" s="1117"/>
      <c r="E56" s="1117"/>
      <c r="F56" s="1117"/>
      <c r="G56" s="1117"/>
      <c r="H56" s="1117"/>
      <c r="I56" s="1117"/>
      <c r="J56" s="1117"/>
      <c r="K56" s="1117"/>
      <c r="L56" s="1117"/>
      <c r="M56" s="1117"/>
      <c r="N56" s="1002"/>
    </row>
    <row r="57" spans="1:17" s="200" customFormat="1" ht="15.75" customHeight="1">
      <c r="B57" s="1002"/>
      <c r="C57" s="1002"/>
      <c r="D57" s="1002"/>
      <c r="E57" s="1002"/>
      <c r="F57" s="1002"/>
      <c r="G57" s="1002"/>
      <c r="H57" s="1002"/>
      <c r="I57" s="1002"/>
      <c r="J57" s="1002"/>
      <c r="K57" s="1002"/>
      <c r="L57" s="1002"/>
      <c r="M57" s="1002"/>
      <c r="N57" s="1002"/>
    </row>
    <row r="58" spans="1:17" s="200" customFormat="1" ht="15.75" customHeight="1">
      <c r="B58" s="1002"/>
      <c r="C58" s="1002"/>
      <c r="D58" s="1002"/>
      <c r="E58" s="1002"/>
      <c r="F58" s="1002"/>
      <c r="G58" s="1002"/>
      <c r="H58" s="1002"/>
      <c r="I58" s="1002"/>
      <c r="J58" s="1002"/>
      <c r="K58" s="1002"/>
      <c r="L58" s="1002"/>
      <c r="M58" s="1002"/>
      <c r="N58" s="1002"/>
    </row>
    <row r="59" spans="1:17" s="200" customFormat="1" ht="15.75" customHeight="1">
      <c r="B59" s="1117"/>
      <c r="C59" s="1117"/>
      <c r="D59" s="1117"/>
      <c r="E59" s="1117"/>
      <c r="F59" s="1117"/>
      <c r="G59" s="1117"/>
      <c r="H59" s="1117"/>
      <c r="I59" s="1117"/>
      <c r="J59" s="1117"/>
      <c r="K59" s="1117"/>
      <c r="L59" s="1117"/>
      <c r="M59" s="1117"/>
      <c r="N59" s="1002"/>
    </row>
    <row r="60" spans="1:17" s="200" customFormat="1" ht="15.75" customHeight="1">
      <c r="B60" s="1117"/>
      <c r="C60" s="1117"/>
      <c r="D60" s="1117"/>
      <c r="E60" s="1117"/>
      <c r="F60" s="1117"/>
      <c r="G60" s="1117"/>
      <c r="H60" s="1117"/>
      <c r="I60" s="1117"/>
      <c r="J60" s="1117"/>
      <c r="K60" s="1117"/>
      <c r="L60" s="1117"/>
      <c r="M60" s="1117"/>
      <c r="N60" s="1002"/>
    </row>
    <row r="61" spans="1:17" s="200" customFormat="1" ht="15.75" customHeight="1">
      <c r="B61" s="1117"/>
      <c r="C61" s="1117"/>
      <c r="D61" s="1117"/>
      <c r="E61" s="1117"/>
      <c r="F61" s="1117"/>
      <c r="G61" s="1117"/>
      <c r="H61" s="1117"/>
      <c r="I61" s="1117"/>
      <c r="J61" s="1117"/>
      <c r="K61" s="1117"/>
      <c r="L61" s="1117"/>
      <c r="M61" s="1117"/>
      <c r="N61" s="1002"/>
    </row>
    <row r="62" spans="1:17" s="200" customFormat="1" ht="15.75" customHeight="1">
      <c r="B62" s="1117"/>
      <c r="C62" s="1117"/>
      <c r="D62" s="1117"/>
      <c r="E62" s="1117"/>
      <c r="F62" s="1117"/>
      <c r="G62" s="1117"/>
      <c r="H62" s="1117"/>
      <c r="I62" s="1117"/>
      <c r="J62" s="1117"/>
      <c r="K62" s="1117"/>
      <c r="L62" s="1117"/>
      <c r="M62" s="1117"/>
      <c r="N62" s="1002"/>
    </row>
    <row r="63" spans="1:17" s="200" customFormat="1" ht="15.75" customHeight="1">
      <c r="B63" s="1117"/>
      <c r="C63" s="1117"/>
      <c r="D63" s="1117"/>
      <c r="E63" s="1117"/>
      <c r="F63" s="1117"/>
      <c r="G63" s="1117"/>
      <c r="H63" s="1117"/>
      <c r="I63" s="1117"/>
      <c r="J63" s="1117"/>
      <c r="K63" s="1117"/>
      <c r="L63" s="1117"/>
      <c r="M63" s="1117"/>
      <c r="N63" s="1002"/>
    </row>
    <row r="64" spans="1:17" s="200" customFormat="1" ht="15.75" customHeight="1">
      <c r="B64" s="1002"/>
      <c r="C64" s="1002"/>
      <c r="D64" s="1002"/>
      <c r="E64" s="1002"/>
      <c r="F64" s="1002"/>
      <c r="G64" s="1002"/>
      <c r="H64" s="1002"/>
      <c r="I64" s="1002"/>
      <c r="J64" s="1002"/>
      <c r="K64" s="1002"/>
      <c r="L64" s="1002"/>
      <c r="M64" s="1002"/>
      <c r="N64" s="1002"/>
    </row>
    <row r="65" spans="1:17" s="223" customFormat="1" ht="12.6" customHeight="1">
      <c r="A65" s="220"/>
      <c r="B65" s="759"/>
      <c r="C65" s="646"/>
      <c r="D65" s="476"/>
      <c r="E65" s="476"/>
      <c r="F65" s="476"/>
      <c r="G65" s="646"/>
      <c r="H65" s="646"/>
      <c r="I65" s="646"/>
      <c r="J65" s="646"/>
      <c r="K65" s="221"/>
      <c r="L65" s="221"/>
      <c r="M65" s="221"/>
      <c r="N65" s="221"/>
      <c r="O65" s="221"/>
      <c r="P65" s="221"/>
      <c r="Q65" s="759"/>
    </row>
  </sheetData>
  <sheetProtection algorithmName="SHA-512" hashValue="l7EjnfvMfGjAqsLCHTqUtLdBwLC9FJEFqxNdCWz0mIuLVSdyNG66cB9NoVPPI39SKAWCikfL1oaZJWGdV2Zx6w==" saltValue="NOR8tsoj4y4XiMB18Ap9zw==" spinCount="100000" sheet="1" objects="1" scenarios="1" autoFilter="0"/>
  <mergeCells count="18">
    <mergeCell ref="B63:M63"/>
    <mergeCell ref="J7:L7"/>
    <mergeCell ref="O31:O36"/>
    <mergeCell ref="B52:M52"/>
    <mergeCell ref="B53:M53"/>
    <mergeCell ref="B54:M54"/>
    <mergeCell ref="B55:M55"/>
    <mergeCell ref="B56:M56"/>
    <mergeCell ref="B59:M59"/>
    <mergeCell ref="B60:M60"/>
    <mergeCell ref="B61:M61"/>
    <mergeCell ref="B62:M62"/>
    <mergeCell ref="J6:L6"/>
    <mergeCell ref="C1:L1"/>
    <mergeCell ref="M1:M3"/>
    <mergeCell ref="C2:L2"/>
    <mergeCell ref="C3:L3"/>
    <mergeCell ref="J5:L5"/>
  </mergeCells>
  <conditionalFormatting sqref="M1:N3">
    <cfRule type="cellIs" dxfId="36" priority="8" stopIfTrue="1" operator="equal">
      <formula>"na"</formula>
    </cfRule>
  </conditionalFormatting>
  <conditionalFormatting sqref="P1:P3">
    <cfRule type="cellIs" dxfId="35" priority="1" stopIfTrue="1" operator="equal">
      <formula>"na"</formula>
    </cfRule>
  </conditionalFormatting>
  <hyperlinks>
    <hyperlink ref="C1:J1" location="Index!A1" display="Index!A1" xr:uid="{FB69D68A-B25B-4052-B889-2958D974B09A}"/>
  </hyperlinks>
  <printOptions horizontalCentered="1"/>
  <pageMargins left="0.5" right="0.25" top="0.5" bottom="0.25" header="0.5" footer="0.25"/>
  <pageSetup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34CC-FA22-4F06-9CE2-C7D419C7A447}">
  <sheetPr codeName="Sheet39">
    <pageSetUpPr fitToPage="1"/>
  </sheetPr>
  <dimension ref="A1:S51"/>
  <sheetViews>
    <sheetView showGridLines="0" zoomScaleNormal="100" workbookViewId="0">
      <selection activeCell="S42" sqref="S42"/>
    </sheetView>
  </sheetViews>
  <sheetFormatPr defaultColWidth="12.85546875" defaultRowHeight="13.2"/>
  <cols>
    <col min="1" max="4" width="12.85546875" style="36"/>
    <col min="5" max="5" width="12.85546875" style="942"/>
    <col min="6" max="6" width="16.85546875" style="36" customWidth="1"/>
    <col min="7" max="7" width="2.85546875" style="942" customWidth="1"/>
    <col min="8" max="8" width="16.85546875" style="36" customWidth="1"/>
    <col min="9" max="9" width="2.85546875" style="36" customWidth="1"/>
    <col min="10" max="10" width="17.85546875" style="36" customWidth="1"/>
    <col min="11" max="11" width="2.85546875" style="36" customWidth="1"/>
    <col min="12" max="12" width="17.85546875" style="36" customWidth="1"/>
    <col min="13" max="13" width="2.85546875" style="36" customWidth="1"/>
    <col min="14" max="14" width="16.85546875" style="36" customWidth="1"/>
    <col min="15" max="15" width="2.85546875" style="36" customWidth="1"/>
    <col min="16" max="16" width="16.85546875" style="36" customWidth="1"/>
    <col min="17" max="17" width="5.28515625" style="36" customWidth="1"/>
    <col min="18" max="18" width="12.85546875" style="36"/>
    <col min="19" max="19" width="32.28515625" style="40" customWidth="1"/>
    <col min="20" max="16384" width="12.85546875" style="36"/>
  </cols>
  <sheetData>
    <row r="1" spans="1:16" ht="22.8">
      <c r="A1" s="1063" t="str">
        <f>+Index!$A$1</f>
        <v>Office of the State Controller</v>
      </c>
      <c r="B1" s="1063"/>
      <c r="C1" s="1063"/>
      <c r="D1" s="1063"/>
      <c r="E1" s="1063"/>
      <c r="F1" s="1063"/>
      <c r="G1" s="1063"/>
      <c r="H1" s="1063"/>
      <c r="I1" s="1063"/>
      <c r="J1" s="1063"/>
      <c r="K1" s="1112"/>
      <c r="L1" s="1001"/>
      <c r="P1" s="666" t="str">
        <f>IF(Index!$B$52="na","NA","")</f>
        <v/>
      </c>
    </row>
    <row r="2" spans="1:16" ht="16.2" customHeight="1">
      <c r="A2" s="1128" t="str">
        <f>+Index!$A$2</f>
        <v>2023 Year-End ACFR Package</v>
      </c>
      <c r="B2" s="1128"/>
      <c r="C2" s="1128"/>
      <c r="D2" s="1128"/>
      <c r="E2" s="1128"/>
      <c r="F2" s="1128"/>
      <c r="G2" s="1128"/>
      <c r="H2" s="1128"/>
      <c r="I2" s="1128"/>
      <c r="J2" s="1128"/>
      <c r="K2" s="1112"/>
      <c r="L2" s="1001"/>
    </row>
    <row r="3" spans="1:16" ht="14.4" customHeight="1">
      <c r="A3" s="1128" t="s">
        <v>736</v>
      </c>
      <c r="B3" s="1128"/>
      <c r="C3" s="1128"/>
      <c r="D3" s="1128"/>
      <c r="E3" s="1128"/>
      <c r="F3" s="1128"/>
      <c r="G3" s="1128"/>
      <c r="H3" s="1128"/>
      <c r="I3" s="1128"/>
      <c r="J3" s="1128"/>
      <c r="K3" s="1112"/>
      <c r="L3" s="1001"/>
    </row>
    <row r="4" spans="1:16" ht="15.6">
      <c r="A4" s="632"/>
      <c r="B4" s="220"/>
      <c r="C4" s="633"/>
      <c r="D4" s="633"/>
      <c r="E4" s="633"/>
      <c r="F4" s="633"/>
      <c r="G4" s="633"/>
      <c r="H4" s="633"/>
      <c r="I4" s="633"/>
      <c r="J4" s="633"/>
      <c r="K4" s="220"/>
      <c r="L4" s="220"/>
    </row>
    <row r="5" spans="1:16" ht="14.4">
      <c r="A5" s="220"/>
      <c r="B5" s="220"/>
      <c r="C5" s="220"/>
      <c r="D5" s="634"/>
      <c r="E5" s="220"/>
      <c r="F5" s="875"/>
      <c r="G5" s="635" t="s">
        <v>633</v>
      </c>
      <c r="H5" s="1125" t="str">
        <f>+Index!$D$10</f>
        <v>C0</v>
      </c>
      <c r="I5" s="1125"/>
      <c r="J5" s="1125"/>
      <c r="K5" s="220"/>
      <c r="L5" s="220"/>
    </row>
    <row r="6" spans="1:16" ht="15">
      <c r="A6" s="220"/>
      <c r="B6" s="220"/>
      <c r="C6" s="220"/>
      <c r="D6" s="220"/>
      <c r="E6" s="220"/>
      <c r="F6" s="875"/>
      <c r="G6" s="635" t="s">
        <v>480</v>
      </c>
      <c r="H6" s="1126" t="str">
        <f>+Index!$D$9</f>
        <v>Alamance Community College</v>
      </c>
      <c r="I6" s="1126"/>
      <c r="J6" s="1126"/>
      <c r="K6" s="220"/>
      <c r="L6" s="220"/>
    </row>
    <row r="7" spans="1:16" ht="16.2">
      <c r="A7" s="220"/>
      <c r="B7" s="220"/>
      <c r="C7" s="220"/>
      <c r="D7" s="636"/>
      <c r="E7" s="220"/>
      <c r="F7" s="875"/>
      <c r="G7" s="635" t="s">
        <v>481</v>
      </c>
      <c r="H7" s="1127" t="str">
        <f>CONCATENATE(Index!$D$11," ",Index!$D$12)</f>
        <v xml:space="preserve"> </v>
      </c>
      <c r="I7" s="1127"/>
      <c r="J7" s="1127"/>
      <c r="K7" s="220"/>
      <c r="L7" s="220"/>
    </row>
    <row r="8" spans="1:16" ht="13.8" thickBot="1">
      <c r="A8" s="637"/>
      <c r="B8" s="637"/>
      <c r="C8" s="637"/>
      <c r="D8" s="637"/>
      <c r="E8" s="637"/>
      <c r="F8" s="637"/>
      <c r="G8" s="637"/>
      <c r="H8" s="637"/>
      <c r="I8" s="637"/>
      <c r="J8" s="637"/>
      <c r="K8" s="637"/>
      <c r="L8" s="637"/>
      <c r="M8" s="52"/>
      <c r="N8" s="52"/>
      <c r="O8" s="52"/>
      <c r="P8" s="52"/>
    </row>
    <row r="9" spans="1:16" ht="7.95" customHeight="1"/>
    <row r="10" spans="1:16">
      <c r="A10" s="32" t="s">
        <v>737</v>
      </c>
      <c r="B10" s="32"/>
      <c r="C10" s="32"/>
      <c r="D10" s="32"/>
      <c r="E10" s="941"/>
      <c r="F10" s="32"/>
      <c r="G10" s="941"/>
      <c r="H10" s="32"/>
      <c r="I10" s="32"/>
      <c r="J10" s="32"/>
    </row>
    <row r="11" spans="1:16" ht="5.4" customHeight="1"/>
    <row r="12" spans="1:16" ht="26.4">
      <c r="F12" s="972" t="s">
        <v>738</v>
      </c>
      <c r="H12" s="972" t="s">
        <v>739</v>
      </c>
      <c r="I12" s="973"/>
      <c r="J12" s="972" t="s">
        <v>740</v>
      </c>
      <c r="K12" s="972"/>
      <c r="L12" s="972" t="s">
        <v>741</v>
      </c>
      <c r="M12" s="972"/>
      <c r="N12" s="972" t="s">
        <v>742</v>
      </c>
      <c r="O12" s="972"/>
      <c r="P12" s="972" t="s">
        <v>743</v>
      </c>
    </row>
    <row r="13" spans="1:16">
      <c r="F13" s="817"/>
      <c r="J13" s="51"/>
    </row>
    <row r="14" spans="1:16">
      <c r="A14" s="943"/>
      <c r="B14" s="943"/>
      <c r="C14" s="943"/>
      <c r="D14" s="943"/>
      <c r="E14" s="944"/>
      <c r="F14" s="817" t="s">
        <v>640</v>
      </c>
      <c r="G14" s="944"/>
      <c r="J14" s="817" t="s">
        <v>744</v>
      </c>
      <c r="K14" s="817"/>
      <c r="L14" s="817" t="s">
        <v>744</v>
      </c>
      <c r="M14" s="817"/>
      <c r="N14" s="817"/>
      <c r="O14" s="817"/>
      <c r="P14" s="817"/>
    </row>
    <row r="15" spans="1:16">
      <c r="A15" s="943"/>
      <c r="B15" s="943"/>
      <c r="C15" s="943"/>
      <c r="D15" s="943"/>
      <c r="E15" s="944"/>
      <c r="F15" s="817" t="s">
        <v>745</v>
      </c>
      <c r="G15" s="944"/>
      <c r="H15" s="817"/>
      <c r="J15" s="964" t="s">
        <v>746</v>
      </c>
      <c r="K15" s="976"/>
      <c r="L15" s="964" t="s">
        <v>746</v>
      </c>
      <c r="M15" s="817"/>
      <c r="N15" s="1129" t="s">
        <v>742</v>
      </c>
      <c r="O15" s="817"/>
      <c r="P15" s="1129" t="s">
        <v>743</v>
      </c>
    </row>
    <row r="16" spans="1:16" ht="26.4">
      <c r="A16" s="1131" t="s">
        <v>747</v>
      </c>
      <c r="B16" s="1131"/>
      <c r="C16" s="1131"/>
      <c r="D16" s="943"/>
      <c r="E16" s="944"/>
      <c r="F16" s="977" t="s">
        <v>748</v>
      </c>
      <c r="G16" s="944"/>
      <c r="H16" s="1005" t="s">
        <v>749</v>
      </c>
      <c r="J16" s="967" t="s">
        <v>750</v>
      </c>
      <c r="K16" s="976"/>
      <c r="L16" s="967" t="s">
        <v>751</v>
      </c>
      <c r="M16" s="817"/>
      <c r="N16" s="1130"/>
      <c r="O16" s="817"/>
      <c r="P16" s="1130"/>
    </row>
    <row r="17" spans="1:19">
      <c r="A17" s="817"/>
      <c r="B17" s="817"/>
      <c r="C17" s="817"/>
      <c r="D17" s="943"/>
      <c r="E17" s="944"/>
      <c r="F17" s="946"/>
      <c r="G17" s="944"/>
      <c r="H17" s="817"/>
      <c r="J17" s="947"/>
      <c r="K17" s="945"/>
      <c r="L17" s="964"/>
      <c r="M17" s="817"/>
      <c r="N17" s="964"/>
      <c r="O17" s="817"/>
      <c r="P17" s="964"/>
    </row>
    <row r="18" spans="1:19">
      <c r="A18" s="948" t="s">
        <v>752</v>
      </c>
      <c r="B18" s="948"/>
      <c r="C18" s="948"/>
      <c r="D18" s="948"/>
      <c r="E18" s="949"/>
      <c r="F18" s="978"/>
      <c r="G18" s="949"/>
      <c r="H18" s="978"/>
      <c r="I18" s="948"/>
      <c r="J18" s="979"/>
      <c r="K18" s="948"/>
      <c r="L18" s="948"/>
      <c r="M18" s="948"/>
      <c r="N18" s="948"/>
      <c r="O18" s="948"/>
      <c r="P18" s="948"/>
    </row>
    <row r="19" spans="1:19">
      <c r="A19" s="943"/>
      <c r="B19" s="943" t="s">
        <v>753</v>
      </c>
      <c r="C19" s="943"/>
      <c r="D19" s="943"/>
      <c r="E19" s="944" t="s">
        <v>754</v>
      </c>
      <c r="F19" s="1024"/>
      <c r="G19" s="1025" t="s">
        <v>754</v>
      </c>
      <c r="H19" s="1024"/>
      <c r="I19" s="1026"/>
      <c r="J19" s="1027"/>
      <c r="K19" s="1028"/>
      <c r="L19" s="1027"/>
      <c r="M19" s="1026"/>
      <c r="N19" s="1029"/>
      <c r="O19" s="1028"/>
      <c r="P19" s="1029"/>
      <c r="S19" s="975" t="s">
        <v>755</v>
      </c>
    </row>
    <row r="20" spans="1:19">
      <c r="A20" s="943"/>
      <c r="B20" s="943" t="s">
        <v>756</v>
      </c>
      <c r="C20" s="943"/>
      <c r="D20" s="943"/>
      <c r="E20" s="944"/>
      <c r="F20" s="1024"/>
      <c r="G20" s="1025"/>
      <c r="H20" s="1024"/>
      <c r="I20" s="1026"/>
      <c r="J20" s="1027"/>
      <c r="K20" s="1028"/>
      <c r="L20" s="1027"/>
      <c r="M20" s="1026"/>
      <c r="N20" s="1029"/>
      <c r="O20" s="1028"/>
      <c r="P20" s="1029"/>
      <c r="S20" s="975" t="s">
        <v>757</v>
      </c>
    </row>
    <row r="21" spans="1:19" ht="26.4">
      <c r="A21" s="943"/>
      <c r="B21" s="943" t="s">
        <v>758</v>
      </c>
      <c r="C21" s="943"/>
      <c r="D21" s="943"/>
      <c r="E21" s="944"/>
      <c r="F21" s="1024"/>
      <c r="G21" s="1025"/>
      <c r="H21" s="1024"/>
      <c r="I21" s="1026"/>
      <c r="J21" s="1027"/>
      <c r="K21" s="1028"/>
      <c r="L21" s="1027"/>
      <c r="M21" s="1026"/>
      <c r="N21" s="1029"/>
      <c r="O21" s="1028"/>
      <c r="P21" s="1029"/>
      <c r="S21" s="975" t="s">
        <v>759</v>
      </c>
    </row>
    <row r="22" spans="1:19" ht="28.2">
      <c r="A22" s="943"/>
      <c r="B22" s="943" t="s">
        <v>760</v>
      </c>
      <c r="C22" s="943"/>
      <c r="D22" s="943"/>
      <c r="E22" s="944"/>
      <c r="F22" s="1024"/>
      <c r="G22" s="1025"/>
      <c r="H22" s="1030"/>
      <c r="I22" s="1026"/>
      <c r="J22" s="1027"/>
      <c r="K22" s="1028"/>
      <c r="L22" s="1027"/>
      <c r="M22" s="1026"/>
      <c r="N22" s="1029"/>
      <c r="O22" s="1028"/>
      <c r="P22" s="1029"/>
      <c r="S22" s="975" t="s">
        <v>761</v>
      </c>
    </row>
    <row r="23" spans="1:19">
      <c r="A23" s="943"/>
      <c r="B23" s="943"/>
      <c r="C23" s="943"/>
      <c r="D23" s="943"/>
      <c r="E23" s="944"/>
      <c r="F23" s="952"/>
      <c r="G23" s="1025"/>
      <c r="H23" s="952"/>
      <c r="I23" s="1026"/>
      <c r="J23" s="1028"/>
      <c r="K23" s="1028"/>
      <c r="L23" s="1026"/>
      <c r="M23" s="1026"/>
      <c r="N23" s="1028"/>
      <c r="O23" s="1028"/>
      <c r="P23" s="1028"/>
    </row>
    <row r="24" spans="1:19" ht="13.8" thickBot="1">
      <c r="A24" s="943"/>
      <c r="B24" s="943"/>
      <c r="C24" s="948" t="s">
        <v>658</v>
      </c>
      <c r="D24" s="943"/>
      <c r="E24" s="944" t="s">
        <v>754</v>
      </c>
      <c r="F24" s="1031">
        <f>SUM(F19:F22)</f>
        <v>0</v>
      </c>
      <c r="G24" s="1025" t="s">
        <v>754</v>
      </c>
      <c r="H24" s="1031">
        <f>SUM(H19:H22)</f>
        <v>0</v>
      </c>
      <c r="I24" s="1026"/>
      <c r="J24" s="1026"/>
      <c r="K24" s="1026"/>
      <c r="L24" s="1026"/>
      <c r="M24" s="1026"/>
      <c r="N24" s="1026"/>
      <c r="O24" s="1026"/>
      <c r="P24" s="1026"/>
    </row>
    <row r="25" spans="1:19" ht="13.8" thickTop="1">
      <c r="A25" s="943"/>
      <c r="B25" s="943"/>
      <c r="C25" s="943"/>
      <c r="D25" s="943"/>
      <c r="E25" s="944"/>
      <c r="F25" s="953"/>
      <c r="G25" s="944"/>
      <c r="H25" s="953"/>
      <c r="I25" s="943"/>
      <c r="J25" s="943"/>
      <c r="K25" s="943"/>
      <c r="L25" s="943"/>
      <c r="M25" s="943"/>
      <c r="N25" s="943"/>
      <c r="O25" s="943"/>
      <c r="P25" s="943"/>
    </row>
    <row r="26" spans="1:19">
      <c r="A26" s="948" t="s">
        <v>762</v>
      </c>
      <c r="B26" s="948"/>
      <c r="C26" s="948"/>
      <c r="D26" s="948"/>
      <c r="E26" s="949"/>
      <c r="F26" s="954"/>
      <c r="G26" s="949"/>
      <c r="H26" s="954"/>
      <c r="I26" s="948"/>
      <c r="J26" s="948"/>
      <c r="K26" s="948"/>
      <c r="L26" s="943"/>
      <c r="M26" s="943"/>
      <c r="N26" s="943"/>
      <c r="O26" s="943"/>
      <c r="P26" s="943"/>
    </row>
    <row r="27" spans="1:19">
      <c r="A27" s="326"/>
      <c r="B27" s="326"/>
      <c r="C27" s="221"/>
      <c r="D27" s="221"/>
      <c r="E27" s="221"/>
      <c r="F27" s="221"/>
      <c r="G27" s="221"/>
      <c r="H27" s="221"/>
      <c r="I27" s="221"/>
      <c r="J27" s="943"/>
      <c r="K27" s="943"/>
      <c r="L27" s="943"/>
      <c r="M27" s="943"/>
      <c r="N27" s="943"/>
      <c r="O27" s="943"/>
      <c r="P27" s="943"/>
    </row>
    <row r="28" spans="1:19">
      <c r="A28" s="948" t="s">
        <v>763</v>
      </c>
      <c r="B28" s="943"/>
      <c r="C28" s="943"/>
      <c r="D28" s="943"/>
      <c r="E28" s="944"/>
      <c r="F28" s="790"/>
      <c r="G28" s="944"/>
      <c r="H28" s="943"/>
      <c r="I28" s="943"/>
      <c r="J28" s="943"/>
      <c r="K28" s="943"/>
      <c r="L28" s="943"/>
      <c r="M28" s="943"/>
      <c r="N28" s="943"/>
      <c r="O28" s="943"/>
      <c r="P28" s="943"/>
    </row>
    <row r="29" spans="1:19">
      <c r="A29" s="943"/>
      <c r="B29" s="943" t="s">
        <v>753</v>
      </c>
      <c r="C29" s="943"/>
      <c r="D29" s="943"/>
      <c r="E29" s="944" t="s">
        <v>754</v>
      </c>
      <c r="F29" s="1024"/>
      <c r="G29" s="1025" t="s">
        <v>754</v>
      </c>
      <c r="H29" s="1024"/>
      <c r="I29" s="1026"/>
      <c r="J29" s="1027"/>
      <c r="K29" s="1028"/>
      <c r="L29" s="1027"/>
      <c r="M29" s="1026"/>
      <c r="N29" s="1029"/>
      <c r="O29" s="1028"/>
      <c r="P29" s="1029"/>
      <c r="S29" s="975" t="s">
        <v>764</v>
      </c>
    </row>
    <row r="30" spans="1:19">
      <c r="A30" s="943"/>
      <c r="B30" s="943" t="s">
        <v>756</v>
      </c>
      <c r="C30" s="943"/>
      <c r="D30" s="943"/>
      <c r="E30" s="944"/>
      <c r="F30" s="1024"/>
      <c r="G30" s="1025"/>
      <c r="H30" s="1024"/>
      <c r="I30" s="1026"/>
      <c r="J30" s="1027"/>
      <c r="K30" s="1028"/>
      <c r="L30" s="1027"/>
      <c r="M30" s="1026"/>
      <c r="N30" s="1029"/>
      <c r="O30" s="1028"/>
      <c r="P30" s="1029"/>
      <c r="S30" s="975" t="s">
        <v>765</v>
      </c>
    </row>
    <row r="31" spans="1:19">
      <c r="A31" s="943"/>
      <c r="B31" s="943" t="s">
        <v>758</v>
      </c>
      <c r="C31" s="943"/>
      <c r="D31" s="943"/>
      <c r="E31" s="944"/>
      <c r="F31" s="1024"/>
      <c r="G31" s="1025"/>
      <c r="H31" s="1024"/>
      <c r="I31" s="1026"/>
      <c r="J31" s="1027"/>
      <c r="K31" s="1028"/>
      <c r="L31" s="1027"/>
      <c r="M31" s="1026"/>
      <c r="N31" s="1029"/>
      <c r="O31" s="1028"/>
      <c r="P31" s="1029"/>
      <c r="S31" s="975" t="s">
        <v>766</v>
      </c>
    </row>
    <row r="32" spans="1:19" ht="26.4">
      <c r="A32" s="943"/>
      <c r="B32" s="943" t="s">
        <v>760</v>
      </c>
      <c r="C32" s="943"/>
      <c r="D32" s="943"/>
      <c r="E32" s="944"/>
      <c r="F32" s="1024"/>
      <c r="G32" s="1025"/>
      <c r="H32" s="1024"/>
      <c r="I32" s="1026"/>
      <c r="J32" s="1027"/>
      <c r="K32" s="1028"/>
      <c r="L32" s="1027"/>
      <c r="M32" s="1026"/>
      <c r="N32" s="1029"/>
      <c r="O32" s="1028"/>
      <c r="P32" s="1029"/>
      <c r="S32" s="975" t="s">
        <v>767</v>
      </c>
    </row>
    <row r="33" spans="1:19">
      <c r="A33" s="943"/>
      <c r="B33" s="943"/>
      <c r="C33" s="943"/>
      <c r="D33" s="943"/>
      <c r="E33" s="944"/>
      <c r="F33" s="952"/>
      <c r="G33" s="1025"/>
      <c r="H33" s="952"/>
      <c r="I33" s="1026"/>
      <c r="J33" s="1028"/>
      <c r="K33" s="1028"/>
      <c r="L33" s="1026"/>
      <c r="M33" s="1026"/>
      <c r="N33" s="1028"/>
      <c r="O33" s="1028"/>
      <c r="P33" s="1028"/>
    </row>
    <row r="34" spans="1:19" ht="13.8" thickBot="1">
      <c r="A34" s="943"/>
      <c r="B34" s="943"/>
      <c r="C34" s="948" t="s">
        <v>658</v>
      </c>
      <c r="D34" s="943"/>
      <c r="E34" s="944" t="s">
        <v>754</v>
      </c>
      <c r="F34" s="1031">
        <f>SUM(F29:F32)</f>
        <v>0</v>
      </c>
      <c r="G34" s="1025" t="s">
        <v>754</v>
      </c>
      <c r="H34" s="1031">
        <f>SUM(H29:H32)</f>
        <v>0</v>
      </c>
      <c r="I34" s="1026"/>
      <c r="J34" s="1026"/>
      <c r="K34" s="1026"/>
      <c r="L34" s="1026"/>
      <c r="M34" s="1026"/>
      <c r="N34" s="1026"/>
      <c r="O34" s="1026"/>
      <c r="P34" s="1026"/>
    </row>
    <row r="35" spans="1:19" ht="13.8" thickTop="1">
      <c r="A35" s="943"/>
      <c r="B35" s="943"/>
      <c r="C35" s="943"/>
      <c r="D35" s="943"/>
      <c r="E35" s="944"/>
      <c r="F35" s="955"/>
      <c r="G35" s="944"/>
      <c r="H35" s="955"/>
      <c r="I35" s="943"/>
      <c r="J35" s="943"/>
      <c r="K35" s="943"/>
      <c r="L35" s="943"/>
      <c r="M35" s="943"/>
      <c r="N35" s="943"/>
      <c r="O35" s="943"/>
      <c r="P35" s="943"/>
    </row>
    <row r="36" spans="1:19">
      <c r="A36" s="948" t="s">
        <v>768</v>
      </c>
      <c r="B36" s="948"/>
      <c r="C36" s="948"/>
      <c r="D36" s="948"/>
      <c r="E36" s="949"/>
      <c r="F36" s="954"/>
      <c r="G36" s="949"/>
      <c r="H36" s="954"/>
      <c r="I36" s="948"/>
      <c r="J36" s="948"/>
      <c r="K36" s="948"/>
      <c r="L36" s="943"/>
      <c r="M36" s="943"/>
      <c r="N36" s="943"/>
      <c r="O36" s="943"/>
      <c r="P36" s="943"/>
    </row>
    <row r="37" spans="1:19" ht="12.6" customHeight="1">
      <c r="A37" s="943"/>
      <c r="B37" s="943"/>
      <c r="C37" s="943"/>
      <c r="D37" s="943"/>
      <c r="E37" s="944"/>
      <c r="F37" s="956"/>
      <c r="G37" s="944"/>
      <c r="H37" s="956"/>
      <c r="I37" s="943"/>
      <c r="J37" s="943"/>
      <c r="K37" s="943"/>
      <c r="L37" s="943"/>
      <c r="M37" s="943"/>
      <c r="N37" s="943"/>
      <c r="O37" s="943"/>
      <c r="P37" s="943"/>
    </row>
    <row r="38" spans="1:19" hidden="1">
      <c r="A38" s="957"/>
      <c r="B38" s="958"/>
      <c r="C38" s="958"/>
      <c r="D38" s="958"/>
      <c r="E38" s="944"/>
      <c r="F38" s="958"/>
      <c r="G38" s="944"/>
      <c r="H38" s="958"/>
      <c r="I38" s="958"/>
      <c r="J38" s="958"/>
      <c r="K38" s="958"/>
      <c r="L38" s="958"/>
      <c r="M38" s="958"/>
    </row>
    <row r="39" spans="1:19">
      <c r="A39" s="32" t="s">
        <v>769</v>
      </c>
      <c r="B39" s="32"/>
      <c r="C39" s="32"/>
      <c r="D39" s="32"/>
      <c r="E39" s="941"/>
      <c r="F39" s="32"/>
      <c r="G39" s="941"/>
      <c r="H39" s="32"/>
      <c r="I39" s="32"/>
      <c r="J39" s="32"/>
    </row>
    <row r="40" spans="1:19" ht="6.6" customHeight="1">
      <c r="A40" s="32"/>
      <c r="B40" s="32"/>
      <c r="C40" s="32"/>
      <c r="D40" s="32"/>
      <c r="E40" s="941"/>
      <c r="F40" s="32"/>
      <c r="G40" s="941"/>
      <c r="H40" s="32"/>
      <c r="I40" s="32"/>
      <c r="J40" s="32"/>
    </row>
    <row r="41" spans="1:19" ht="4.2" customHeight="1">
      <c r="F41" s="817"/>
    </row>
    <row r="42" spans="1:19">
      <c r="A42" s="943"/>
      <c r="B42" s="943"/>
      <c r="C42" s="943"/>
      <c r="D42" s="943"/>
      <c r="E42" s="944"/>
      <c r="F42" s="817"/>
      <c r="G42" s="944"/>
      <c r="J42" s="817" t="s">
        <v>770</v>
      </c>
      <c r="K42" s="817"/>
      <c r="L42" s="817" t="s">
        <v>770</v>
      </c>
      <c r="M42" s="817"/>
      <c r="N42" s="817"/>
      <c r="O42" s="817"/>
      <c r="P42" s="817"/>
    </row>
    <row r="43" spans="1:19">
      <c r="A43" s="943"/>
      <c r="B43" s="943"/>
      <c r="C43" s="943"/>
      <c r="D43" s="943"/>
      <c r="E43" s="944"/>
      <c r="F43" s="817" t="s">
        <v>771</v>
      </c>
      <c r="G43" s="944"/>
      <c r="H43" s="817"/>
      <c r="J43" s="964" t="s">
        <v>746</v>
      </c>
      <c r="K43" s="945"/>
      <c r="L43" s="964" t="s">
        <v>746</v>
      </c>
      <c r="M43" s="817"/>
      <c r="N43" s="1129" t="s">
        <v>772</v>
      </c>
      <c r="O43" s="817"/>
      <c r="P43" s="1129" t="s">
        <v>743</v>
      </c>
    </row>
    <row r="44" spans="1:19" ht="26.4">
      <c r="A44" s="1131" t="s">
        <v>747</v>
      </c>
      <c r="B44" s="1131"/>
      <c r="C44" s="1131"/>
      <c r="D44" s="943"/>
      <c r="E44" s="944"/>
      <c r="F44" s="977" t="s">
        <v>748</v>
      </c>
      <c r="G44" s="944"/>
      <c r="H44" s="1005" t="s">
        <v>749</v>
      </c>
      <c r="J44" s="967" t="s">
        <v>750</v>
      </c>
      <c r="K44" s="976"/>
      <c r="L44" s="967" t="s">
        <v>751</v>
      </c>
      <c r="M44" s="817"/>
      <c r="N44" s="1130"/>
      <c r="O44" s="817"/>
      <c r="P44" s="1130"/>
    </row>
    <row r="45" spans="1:19">
      <c r="B45" s="959"/>
    </row>
    <row r="46" spans="1:19">
      <c r="A46" s="948" t="s">
        <v>752</v>
      </c>
      <c r="B46" s="948"/>
      <c r="C46" s="948"/>
      <c r="D46" s="948"/>
      <c r="E46" s="949"/>
      <c r="F46" s="950"/>
      <c r="G46" s="949"/>
      <c r="H46" s="950"/>
      <c r="I46" s="948"/>
      <c r="J46" s="948"/>
      <c r="K46" s="948"/>
      <c r="L46" s="948"/>
      <c r="M46" s="948"/>
      <c r="N46" s="948"/>
      <c r="O46" s="948"/>
      <c r="P46" s="948"/>
    </row>
    <row r="47" spans="1:19">
      <c r="A47" s="943"/>
      <c r="B47" s="943" t="s">
        <v>1949</v>
      </c>
      <c r="C47" s="943"/>
      <c r="D47" s="943"/>
      <c r="E47" s="944" t="s">
        <v>754</v>
      </c>
      <c r="F47" s="1024"/>
      <c r="G47" s="1025" t="s">
        <v>754</v>
      </c>
      <c r="H47" s="1024"/>
      <c r="I47" s="1026"/>
      <c r="J47" s="1027"/>
      <c r="K47" s="1028"/>
      <c r="L47" s="1027"/>
      <c r="M47" s="1026"/>
      <c r="N47" s="1029"/>
      <c r="O47" s="1028"/>
      <c r="P47" s="1029"/>
      <c r="S47" s="1037" t="s">
        <v>1954</v>
      </c>
    </row>
    <row r="48" spans="1:19">
      <c r="B48" s="959"/>
      <c r="F48" s="1032"/>
      <c r="G48" s="1033"/>
      <c r="H48" s="1032"/>
      <c r="I48" s="1032"/>
      <c r="J48" s="1032"/>
      <c r="K48" s="1032"/>
      <c r="L48" s="1032"/>
      <c r="M48" s="1032"/>
      <c r="N48" s="1032"/>
      <c r="O48" s="1032"/>
      <c r="P48" s="1032"/>
    </row>
    <row r="49" spans="1:16" ht="13.8" thickBot="1">
      <c r="B49" s="959"/>
      <c r="C49" s="948" t="s">
        <v>658</v>
      </c>
      <c r="D49" s="943"/>
      <c r="E49" s="944" t="s">
        <v>754</v>
      </c>
      <c r="F49" s="1031">
        <f>SUM(F47:F47)</f>
        <v>0</v>
      </c>
      <c r="G49" s="1025" t="s">
        <v>754</v>
      </c>
      <c r="H49" s="1031">
        <f>SUM(H45:H47)</f>
        <v>0</v>
      </c>
      <c r="I49" s="1026"/>
      <c r="J49" s="1026"/>
      <c r="K49" s="1032"/>
      <c r="L49" s="1032"/>
      <c r="M49" s="1032"/>
      <c r="N49" s="1032"/>
      <c r="O49" s="1032"/>
      <c r="P49" s="1032"/>
    </row>
    <row r="50" spans="1:16" ht="13.8" thickTop="1">
      <c r="B50" s="959"/>
      <c r="C50" s="948"/>
      <c r="D50" s="943"/>
      <c r="E50" s="944"/>
      <c r="F50" s="951"/>
      <c r="G50" s="944"/>
      <c r="H50" s="951"/>
      <c r="I50" s="943"/>
      <c r="J50" s="943"/>
    </row>
    <row r="51" spans="1:16">
      <c r="A51" s="948" t="s">
        <v>773</v>
      </c>
      <c r="B51" s="948"/>
      <c r="C51" s="948"/>
      <c r="D51" s="948"/>
      <c r="E51" s="949"/>
      <c r="F51" s="954"/>
      <c r="G51" s="949"/>
      <c r="H51" s="954"/>
      <c r="I51" s="948"/>
      <c r="J51" s="948"/>
      <c r="K51" s="948"/>
      <c r="L51" s="943"/>
      <c r="M51" s="943"/>
      <c r="N51" s="943"/>
      <c r="O51" s="943"/>
      <c r="P51" s="943"/>
    </row>
  </sheetData>
  <sheetProtection algorithmName="SHA-512" hashValue="qE0OaIv2v6d1OEVL/LKDkvzRQRtoJLviAGMWgXVsSu2Q8bcMkhLqR9MHSaexVvlGhQ+rF8FPV0rqkTHM6JnjpA==" saltValue="KClkSm8EavlwCrKklHIe3Q==" spinCount="100000" sheet="1" objects="1" scenarios="1" autoFilter="0"/>
  <mergeCells count="13">
    <mergeCell ref="P15:P16"/>
    <mergeCell ref="A16:C16"/>
    <mergeCell ref="N43:N44"/>
    <mergeCell ref="P43:P44"/>
    <mergeCell ref="A44:C44"/>
    <mergeCell ref="H5:J5"/>
    <mergeCell ref="H6:J6"/>
    <mergeCell ref="H7:J7"/>
    <mergeCell ref="N15:N16"/>
    <mergeCell ref="A1:J1"/>
    <mergeCell ref="K1:K3"/>
    <mergeCell ref="A2:J2"/>
    <mergeCell ref="A3:J3"/>
  </mergeCells>
  <conditionalFormatting sqref="K1:L3">
    <cfRule type="cellIs" dxfId="34" priority="2" stopIfTrue="1" operator="equal">
      <formula>"na"</formula>
    </cfRule>
  </conditionalFormatting>
  <conditionalFormatting sqref="P1">
    <cfRule type="cellIs" dxfId="33" priority="1" stopIfTrue="1" operator="equal">
      <formula>"na"</formula>
    </cfRule>
  </conditionalFormatting>
  <dataValidations count="3">
    <dataValidation type="decimal" operator="lessThanOrEqual" allowBlank="1" showInputMessage="1" showErrorMessage="1" error="Please enter a negative value." sqref="H19:H22 F19:F22 F47 H47" xr:uid="{E03D717E-95A2-4080-9F2E-A39433D94C2E}">
      <formula1>0</formula1>
    </dataValidation>
    <dataValidation type="whole" operator="greaterThan" allowBlank="1" showInputMessage="1" showErrorMessage="1" error="Please enter a positive value." sqref="F29:F31 H29:H31" xr:uid="{C681F57C-37BF-4DBE-A878-D3304E049FF7}">
      <formula1>0</formula1>
    </dataValidation>
    <dataValidation type="whole" operator="greaterThan" allowBlank="1" showInputMessage="1" showErrorMessage="1" error="Please enter a positive value._x000a_" sqref="F32 H32" xr:uid="{B8EAC881-D4E3-432C-AE1B-E3F3096FC989}">
      <formula1>0</formula1>
    </dataValidation>
  </dataValidations>
  <hyperlinks>
    <hyperlink ref="A1:H1" location="Index!A1" display="Index!A1" xr:uid="{15089496-2051-4382-8066-250BA3AB17DB}"/>
  </hyperlinks>
  <printOptions horizontalCentered="1"/>
  <pageMargins left="0.5" right="0.25" top="0.5" bottom="0.25" header="0.5" footer="0.25"/>
  <pageSetup scale="8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297A-77FB-4AE2-9118-BD11A7E41B2D}">
  <sheetPr codeName="Sheet35">
    <pageSetUpPr fitToPage="1"/>
  </sheetPr>
  <dimension ref="A1:AC120"/>
  <sheetViews>
    <sheetView showGridLines="0" topLeftCell="B1" zoomScaleNormal="100" workbookViewId="0">
      <selection activeCell="K24" sqref="K24"/>
    </sheetView>
  </sheetViews>
  <sheetFormatPr defaultColWidth="10.7109375" defaultRowHeight="12.6"/>
  <cols>
    <col min="1" max="1" width="10.7109375" style="259" hidden="1" customWidth="1"/>
    <col min="2" max="3" width="3.85546875" style="259" customWidth="1"/>
    <col min="4" max="4" width="9" style="259" customWidth="1"/>
    <col min="5" max="5" width="1.140625" style="259" customWidth="1"/>
    <col min="6" max="6" width="10.140625" style="259" customWidth="1"/>
    <col min="7" max="7" width="22.7109375" style="259" customWidth="1"/>
    <col min="8" max="8" width="9" style="259" customWidth="1"/>
    <col min="9" max="9" width="10.140625" style="259" customWidth="1"/>
    <col min="10" max="10" width="8.42578125" style="259" customWidth="1"/>
    <col min="11" max="11" width="25.28515625" style="259" customWidth="1"/>
    <col min="12" max="12" width="7" style="259" customWidth="1"/>
    <col min="13" max="16384" width="10.7109375" style="259"/>
  </cols>
  <sheetData>
    <row r="1" spans="1:13" ht="15.75" customHeight="1">
      <c r="A1" s="259" t="e">
        <f t="shared" ref="A1:A9" si="0">AgyIdx</f>
        <v>#REF!</v>
      </c>
      <c r="B1" s="1063" t="str">
        <f>+Index!$A$1</f>
        <v>Office of the State Controller</v>
      </c>
      <c r="C1" s="1063"/>
      <c r="D1" s="1063"/>
      <c r="E1" s="1063"/>
      <c r="F1" s="1063"/>
      <c r="G1" s="1063"/>
      <c r="H1" s="1063"/>
      <c r="I1" s="1063"/>
      <c r="J1" s="1063"/>
      <c r="K1" s="1063"/>
      <c r="L1" s="1132" t="str">
        <f>IF(Index!$B$53="na","NA","")</f>
        <v/>
      </c>
    </row>
    <row r="2" spans="1:13" ht="15.75" customHeight="1">
      <c r="A2" s="259" t="e">
        <f t="shared" si="0"/>
        <v>#REF!</v>
      </c>
      <c r="B2" s="1133" t="str">
        <f>+Index!$A$2</f>
        <v>2023 Year-End ACFR Package</v>
      </c>
      <c r="C2" s="1133"/>
      <c r="D2" s="1133"/>
      <c r="E2" s="1133"/>
      <c r="F2" s="1133"/>
      <c r="G2" s="1133"/>
      <c r="H2" s="1133"/>
      <c r="I2" s="1133"/>
      <c r="J2" s="1133"/>
      <c r="K2" s="1133"/>
      <c r="L2" s="1132"/>
    </row>
    <row r="3" spans="1:13" ht="15.75" customHeight="1">
      <c r="A3" s="259" t="e">
        <f t="shared" si="0"/>
        <v>#REF!</v>
      </c>
      <c r="B3" s="1134" t="s">
        <v>774</v>
      </c>
      <c r="C3" s="1134"/>
      <c r="D3" s="1134"/>
      <c r="E3" s="1134"/>
      <c r="F3" s="1134"/>
      <c r="G3" s="1134"/>
      <c r="H3" s="1134"/>
      <c r="I3" s="1134"/>
      <c r="J3" s="1134"/>
      <c r="K3" s="1134"/>
      <c r="L3" s="1132"/>
    </row>
    <row r="4" spans="1:13" ht="6" customHeight="1">
      <c r="A4" s="259" t="e">
        <f t="shared" si="0"/>
        <v>#REF!</v>
      </c>
      <c r="B4" s="481"/>
      <c r="C4" s="481"/>
      <c r="D4" s="481"/>
      <c r="E4" s="481"/>
      <c r="F4" s="481"/>
      <c r="G4" s="481"/>
      <c r="H4" s="481"/>
      <c r="I4" s="481"/>
      <c r="J4" s="481"/>
      <c r="K4" s="484"/>
      <c r="L4" s="307"/>
    </row>
    <row r="5" spans="1:13" ht="13.2">
      <c r="A5" s="259" t="e">
        <f t="shared" si="0"/>
        <v>#REF!</v>
      </c>
      <c r="B5" s="270"/>
      <c r="C5" s="270"/>
      <c r="D5" s="270"/>
      <c r="E5" s="270"/>
      <c r="F5" s="483"/>
      <c r="G5" s="994"/>
      <c r="H5" s="480" t="s">
        <v>479</v>
      </c>
      <c r="I5" s="1136" t="str">
        <f>+Index!$D$10</f>
        <v>C0</v>
      </c>
      <c r="J5" s="1136"/>
      <c r="K5" s="1136"/>
      <c r="L5" s="877"/>
    </row>
    <row r="6" spans="1:13" ht="13.2">
      <c r="A6" s="259" t="e">
        <f t="shared" si="0"/>
        <v>#REF!</v>
      </c>
      <c r="B6" s="270"/>
      <c r="C6" s="270"/>
      <c r="D6" s="270"/>
      <c r="E6" s="270"/>
      <c r="F6" s="270"/>
      <c r="G6" s="998"/>
      <c r="H6" s="480" t="s">
        <v>480</v>
      </c>
      <c r="I6" s="1137" t="str">
        <f>+Index!$D$9</f>
        <v>Alamance Community College</v>
      </c>
      <c r="J6" s="1137"/>
      <c r="K6" s="1137"/>
      <c r="L6" s="878"/>
    </row>
    <row r="7" spans="1:13" ht="13.2">
      <c r="A7" s="259" t="e">
        <f t="shared" si="0"/>
        <v>#REF!</v>
      </c>
      <c r="B7" s="1102" t="s">
        <v>568</v>
      </c>
      <c r="C7" s="1135"/>
      <c r="D7" s="1135"/>
      <c r="E7" s="36"/>
      <c r="F7" s="482" t="s">
        <v>569</v>
      </c>
      <c r="G7" s="481"/>
      <c r="H7" s="480" t="s">
        <v>481</v>
      </c>
      <c r="I7" s="1138" t="str">
        <f>CONCATENATE(Index!$D$11," ",Index!$D$12)</f>
        <v xml:space="preserve"> </v>
      </c>
      <c r="J7" s="1138"/>
      <c r="K7" s="1138"/>
      <c r="L7" s="877"/>
    </row>
    <row r="8" spans="1:13" ht="9.9" customHeight="1" thickBot="1">
      <c r="A8" s="259" t="e">
        <f t="shared" si="0"/>
        <v>#REF!</v>
      </c>
      <c r="B8" s="479"/>
      <c r="C8" s="479"/>
      <c r="D8" s="479"/>
      <c r="E8" s="479"/>
      <c r="F8" s="479"/>
      <c r="G8" s="479"/>
      <c r="H8" s="479"/>
      <c r="I8" s="479"/>
      <c r="J8" s="479"/>
      <c r="K8" s="479"/>
    </row>
    <row r="9" spans="1:13" ht="6" customHeight="1">
      <c r="A9" s="259" t="e">
        <f t="shared" si="0"/>
        <v>#REF!</v>
      </c>
      <c r="B9" s="736"/>
      <c r="C9" s="736"/>
      <c r="D9" s="736"/>
      <c r="E9" s="736"/>
      <c r="F9" s="736"/>
      <c r="G9" s="736"/>
      <c r="H9" s="736"/>
      <c r="I9" s="736"/>
      <c r="J9" s="736"/>
      <c r="K9" s="736"/>
    </row>
    <row r="10" spans="1:13" ht="12" customHeight="1">
      <c r="B10" s="365" t="s">
        <v>775</v>
      </c>
      <c r="C10" s="365"/>
      <c r="D10" s="365"/>
      <c r="E10" s="365"/>
      <c r="F10" s="365"/>
      <c r="G10" s="365"/>
      <c r="H10" s="365"/>
      <c r="I10" s="365"/>
      <c r="J10" s="365"/>
      <c r="K10" s="365"/>
      <c r="L10" s="366"/>
      <c r="M10" s="367"/>
    </row>
    <row r="11" spans="1:13" ht="12" customHeight="1">
      <c r="B11" s="365" t="s">
        <v>776</v>
      </c>
      <c r="C11" s="365"/>
      <c r="D11" s="365"/>
      <c r="E11" s="365"/>
      <c r="F11" s="365"/>
      <c r="G11" s="365"/>
      <c r="H11" s="365"/>
      <c r="I11" s="365"/>
      <c r="J11" s="365"/>
      <c r="K11" s="365"/>
      <c r="L11" s="366"/>
      <c r="M11" s="367"/>
    </row>
    <row r="12" spans="1:13" ht="12" customHeight="1">
      <c r="B12" s="1148" t="s">
        <v>777</v>
      </c>
      <c r="C12" s="1148"/>
      <c r="D12" s="1148"/>
      <c r="E12" s="1148"/>
      <c r="F12" s="1148"/>
      <c r="G12" s="1148"/>
      <c r="H12" s="365" t="s">
        <v>778</v>
      </c>
      <c r="I12" s="365"/>
      <c r="J12" s="365"/>
      <c r="K12" s="365"/>
      <c r="L12" s="366"/>
      <c r="M12" s="367"/>
    </row>
    <row r="13" spans="1:13" ht="6" customHeight="1">
      <c r="B13" s="1007"/>
      <c r="C13" s="1007"/>
      <c r="D13" s="1007"/>
      <c r="E13" s="1007"/>
      <c r="F13" s="1007"/>
      <c r="G13" s="1007"/>
      <c r="H13" s="365"/>
      <c r="I13" s="365"/>
      <c r="J13" s="365"/>
      <c r="K13" s="365"/>
      <c r="L13" s="366"/>
      <c r="M13" s="367"/>
    </row>
    <row r="14" spans="1:13" ht="12" customHeight="1">
      <c r="B14" s="365" t="s">
        <v>779</v>
      </c>
      <c r="C14" s="368"/>
      <c r="D14" s="270"/>
      <c r="E14" s="270"/>
      <c r="F14" s="270"/>
      <c r="G14" s="270"/>
      <c r="H14" s="270"/>
      <c r="I14" s="270"/>
      <c r="J14" s="270"/>
      <c r="K14" s="270"/>
      <c r="M14" s="268"/>
    </row>
    <row r="15" spans="1:13" ht="12" customHeight="1">
      <c r="B15" s="365" t="s">
        <v>780</v>
      </c>
      <c r="C15" s="368"/>
      <c r="D15" s="270"/>
      <c r="E15" s="270"/>
      <c r="F15" s="270"/>
      <c r="G15" s="270"/>
      <c r="H15" s="270"/>
      <c r="I15" s="270"/>
      <c r="J15" s="270"/>
      <c r="K15" s="270"/>
      <c r="M15" s="268"/>
    </row>
    <row r="16" spans="1:13" s="268" customFormat="1" ht="12" customHeight="1">
      <c r="B16" s="365" t="s">
        <v>781</v>
      </c>
      <c r="C16" s="368"/>
      <c r="D16" s="270"/>
      <c r="E16" s="270"/>
      <c r="F16" s="270"/>
      <c r="G16" s="270"/>
      <c r="H16" s="270"/>
      <c r="I16" s="270"/>
      <c r="J16" s="270"/>
      <c r="K16" s="270"/>
      <c r="L16" s="259"/>
    </row>
    <row r="17" spans="2:28" s="268" customFormat="1" ht="12" customHeight="1">
      <c r="B17" s="365" t="s">
        <v>782</v>
      </c>
      <c r="C17" s="368"/>
      <c r="D17" s="270"/>
      <c r="E17" s="270"/>
      <c r="F17" s="270"/>
      <c r="G17" s="270"/>
      <c r="H17" s="270"/>
      <c r="I17" s="270"/>
      <c r="J17" s="270"/>
      <c r="K17" s="270"/>
      <c r="L17" s="259"/>
    </row>
    <row r="18" spans="2:28" s="268" customFormat="1" ht="12" customHeight="1">
      <c r="B18" s="365" t="s">
        <v>783</v>
      </c>
      <c r="C18" s="368"/>
      <c r="D18" s="270"/>
      <c r="E18" s="270"/>
      <c r="F18" s="270"/>
      <c r="G18" s="270"/>
      <c r="H18" s="270"/>
      <c r="I18" s="270"/>
      <c r="J18" s="270"/>
      <c r="K18" s="270"/>
      <c r="L18" s="259"/>
    </row>
    <row r="19" spans="2:28" s="268" customFormat="1" ht="12" customHeight="1">
      <c r="B19" s="365" t="s">
        <v>784</v>
      </c>
      <c r="C19" s="368"/>
      <c r="D19" s="270"/>
      <c r="E19" s="270"/>
      <c r="F19" s="270"/>
      <c r="G19" s="270"/>
      <c r="H19" s="270"/>
      <c r="I19" s="270"/>
      <c r="J19" s="270"/>
      <c r="K19" s="270"/>
      <c r="L19" s="259"/>
      <c r="S19" s="365"/>
      <c r="T19" s="737"/>
      <c r="U19" s="737"/>
      <c r="V19" s="36"/>
      <c r="W19" s="36"/>
      <c r="X19" s="36"/>
      <c r="Y19" s="36"/>
      <c r="Z19" s="36"/>
      <c r="AA19" s="36"/>
      <c r="AB19" s="259"/>
    </row>
    <row r="20" spans="2:28" s="268" customFormat="1" ht="6" customHeight="1">
      <c r="B20" s="270"/>
      <c r="C20" s="365"/>
      <c r="D20" s="737"/>
      <c r="E20" s="737"/>
      <c r="F20" s="36"/>
      <c r="G20" s="36"/>
      <c r="H20" s="36"/>
      <c r="I20" s="36"/>
      <c r="J20" s="36"/>
      <c r="K20" s="36"/>
      <c r="L20" s="259"/>
      <c r="M20" s="369"/>
      <c r="S20" s="365"/>
      <c r="T20" s="737"/>
      <c r="U20" s="737"/>
      <c r="V20" s="36"/>
      <c r="W20" s="36"/>
      <c r="X20" s="36"/>
      <c r="Y20" s="36"/>
      <c r="Z20" s="36"/>
      <c r="AA20" s="36"/>
      <c r="AB20" s="259"/>
    </row>
    <row r="21" spans="2:28" s="268" customFormat="1" ht="12" customHeight="1">
      <c r="B21" s="270" t="s">
        <v>785</v>
      </c>
      <c r="C21" s="365"/>
      <c r="D21" s="737"/>
      <c r="E21" s="737"/>
      <c r="F21" s="36"/>
      <c r="G21" s="36"/>
      <c r="H21" s="36"/>
      <c r="I21" s="36"/>
      <c r="J21" s="36"/>
      <c r="K21" s="36"/>
      <c r="L21" s="259"/>
      <c r="M21" s="369"/>
    </row>
    <row r="22" spans="2:28" s="268" customFormat="1" ht="6" customHeight="1">
      <c r="B22" s="270"/>
      <c r="C22" s="365"/>
      <c r="D22" s="737"/>
      <c r="E22" s="737"/>
      <c r="F22" s="36"/>
      <c r="G22" s="36"/>
      <c r="H22" s="36"/>
      <c r="I22" s="36"/>
      <c r="J22" s="36"/>
      <c r="K22" s="36"/>
      <c r="L22" s="259"/>
      <c r="M22" s="369"/>
      <c r="N22" s="348"/>
    </row>
    <row r="23" spans="2:28" s="268" customFormat="1" ht="12.75" customHeight="1">
      <c r="B23" s="368" t="s">
        <v>786</v>
      </c>
      <c r="C23" s="365"/>
      <c r="D23" s="737"/>
      <c r="E23" s="737"/>
      <c r="F23" s="36"/>
      <c r="G23" s="36"/>
      <c r="H23" s="36"/>
      <c r="I23" s="36"/>
      <c r="J23" s="36"/>
      <c r="K23" s="36"/>
      <c r="L23" s="259"/>
      <c r="M23" s="369"/>
      <c r="N23" s="348"/>
    </row>
    <row r="24" spans="2:28" s="268" customFormat="1" ht="12" customHeight="1">
      <c r="B24" s="270"/>
      <c r="C24" s="365" t="s">
        <v>575</v>
      </c>
      <c r="D24" s="611"/>
      <c r="F24" s="737" t="s">
        <v>787</v>
      </c>
      <c r="G24" s="36"/>
      <c r="H24" s="36"/>
      <c r="I24" s="36"/>
      <c r="J24" s="36"/>
      <c r="K24" s="36"/>
      <c r="L24" s="259"/>
      <c r="M24" s="369"/>
      <c r="N24" s="348"/>
    </row>
    <row r="25" spans="2:28" s="268" customFormat="1" ht="13.5" customHeight="1">
      <c r="B25" s="270"/>
      <c r="C25" s="365" t="s">
        <v>578</v>
      </c>
      <c r="D25" s="612"/>
      <c r="F25" s="737" t="s">
        <v>788</v>
      </c>
      <c r="G25" s="36"/>
      <c r="H25" s="36"/>
      <c r="I25" s="36"/>
      <c r="J25" s="36"/>
      <c r="K25" s="36"/>
      <c r="L25" s="259"/>
      <c r="M25" s="369"/>
      <c r="N25" s="348"/>
    </row>
    <row r="26" spans="2:28" s="268" customFormat="1" ht="12" customHeight="1">
      <c r="B26" s="270"/>
      <c r="C26" s="365" t="s">
        <v>581</v>
      </c>
      <c r="D26" s="612"/>
      <c r="F26" s="737" t="s">
        <v>789</v>
      </c>
      <c r="G26" s="36"/>
      <c r="H26" s="36"/>
      <c r="I26" s="36"/>
      <c r="J26" s="36"/>
      <c r="K26" s="36"/>
      <c r="L26" s="259"/>
      <c r="M26" s="369"/>
      <c r="N26" s="348"/>
    </row>
    <row r="27" spans="2:28" s="268" customFormat="1" ht="6" customHeight="1">
      <c r="B27" s="270"/>
      <c r="C27" s="365"/>
      <c r="D27" s="737"/>
      <c r="E27" s="737"/>
      <c r="F27" s="36"/>
      <c r="G27" s="36"/>
      <c r="H27" s="36"/>
      <c r="I27" s="36"/>
      <c r="J27" s="36"/>
      <c r="K27" s="36"/>
      <c r="L27" s="259"/>
      <c r="M27" s="369"/>
      <c r="N27" s="348"/>
    </row>
    <row r="28" spans="2:28" s="268" customFormat="1" ht="13.5" customHeight="1">
      <c r="B28" s="368" t="s">
        <v>790</v>
      </c>
      <c r="C28" s="365"/>
      <c r="D28" s="737"/>
      <c r="E28" s="737"/>
      <c r="F28" s="36"/>
      <c r="G28" s="36"/>
      <c r="H28" s="36"/>
      <c r="I28" s="36"/>
      <c r="J28" s="36"/>
      <c r="K28" s="36"/>
      <c r="L28" s="259"/>
      <c r="M28" s="369"/>
      <c r="N28" s="348"/>
    </row>
    <row r="29" spans="2:28" s="268" customFormat="1" ht="12" customHeight="1">
      <c r="B29" s="270"/>
      <c r="C29" s="365" t="s">
        <v>575</v>
      </c>
      <c r="D29" s="611"/>
      <c r="E29" s="737"/>
      <c r="F29" s="737" t="s">
        <v>791</v>
      </c>
      <c r="G29" s="36"/>
      <c r="H29" s="36"/>
      <c r="I29" s="36"/>
      <c r="J29" s="36"/>
      <c r="K29" s="36"/>
      <c r="L29" s="259"/>
      <c r="M29" s="369"/>
      <c r="N29" s="348"/>
    </row>
    <row r="30" spans="2:28" s="268" customFormat="1" ht="12" customHeight="1">
      <c r="B30" s="270"/>
      <c r="C30" s="365"/>
      <c r="E30" s="737"/>
      <c r="F30" s="737" t="s">
        <v>792</v>
      </c>
      <c r="G30" s="36"/>
      <c r="H30" s="36"/>
      <c r="I30" s="36"/>
      <c r="J30" s="36"/>
      <c r="K30" s="36"/>
      <c r="L30" s="259"/>
      <c r="M30" s="369"/>
      <c r="N30" s="348"/>
    </row>
    <row r="31" spans="2:28" s="268" customFormat="1" ht="12" customHeight="1">
      <c r="B31" s="270"/>
      <c r="C31" s="365" t="s">
        <v>578</v>
      </c>
      <c r="D31" s="611"/>
      <c r="E31" s="737"/>
      <c r="F31" s="737" t="s">
        <v>793</v>
      </c>
      <c r="G31" s="36"/>
      <c r="H31" s="36"/>
      <c r="I31" s="36"/>
      <c r="J31" s="36"/>
      <c r="K31" s="36"/>
      <c r="L31" s="259"/>
      <c r="M31" s="369"/>
      <c r="N31" s="348"/>
    </row>
    <row r="32" spans="2:28" s="268" customFormat="1" ht="12" customHeight="1">
      <c r="B32" s="270"/>
      <c r="C32" s="365" t="s">
        <v>581</v>
      </c>
      <c r="D32" s="612"/>
      <c r="E32" s="737"/>
      <c r="F32" s="737" t="s">
        <v>794</v>
      </c>
      <c r="G32" s="36"/>
      <c r="H32" s="36"/>
      <c r="I32" s="36"/>
      <c r="J32" s="36"/>
      <c r="K32" s="36"/>
      <c r="L32" s="259"/>
      <c r="M32" s="369"/>
      <c r="N32" s="348"/>
    </row>
    <row r="33" spans="2:14" s="268" customFormat="1" ht="12" customHeight="1">
      <c r="B33" s="270"/>
      <c r="C33" s="365" t="s">
        <v>795</v>
      </c>
      <c r="D33" s="612"/>
      <c r="E33" s="737"/>
      <c r="F33" s="737" t="s">
        <v>796</v>
      </c>
      <c r="G33" s="36"/>
      <c r="H33" s="36"/>
      <c r="I33" s="36"/>
      <c r="J33" s="36"/>
      <c r="K33" s="36"/>
      <c r="L33" s="259"/>
      <c r="M33" s="369"/>
      <c r="N33" s="348"/>
    </row>
    <row r="34" spans="2:14" s="268" customFormat="1" ht="12" customHeight="1">
      <c r="B34" s="270"/>
      <c r="C34" s="365"/>
      <c r="E34" s="737"/>
      <c r="F34" s="737"/>
      <c r="G34" s="36"/>
      <c r="H34" s="36"/>
      <c r="I34" s="36"/>
      <c r="J34" s="36"/>
      <c r="K34" s="36"/>
      <c r="L34" s="259"/>
      <c r="M34" s="369"/>
      <c r="N34" s="348"/>
    </row>
    <row r="35" spans="2:14" s="268" customFormat="1" ht="12" customHeight="1">
      <c r="B35" s="270" t="s">
        <v>797</v>
      </c>
      <c r="C35" s="259"/>
      <c r="D35" s="259"/>
      <c r="E35" s="259"/>
      <c r="F35" s="259"/>
      <c r="G35" s="259"/>
      <c r="H35" s="259"/>
      <c r="I35" s="259"/>
      <c r="J35" s="259"/>
      <c r="K35" s="259"/>
      <c r="L35" s="259"/>
      <c r="M35" s="738"/>
      <c r="N35" s="348"/>
    </row>
    <row r="36" spans="2:14" s="268" customFormat="1" ht="12.75" customHeight="1">
      <c r="B36" s="270" t="s">
        <v>798</v>
      </c>
      <c r="C36" s="259"/>
      <c r="D36" s="259"/>
      <c r="E36" s="259"/>
      <c r="F36" s="259"/>
      <c r="G36" s="259"/>
      <c r="H36" s="259"/>
      <c r="I36" s="259"/>
      <c r="J36" s="259"/>
      <c r="K36" s="259"/>
      <c r="L36" s="259"/>
      <c r="M36" s="259"/>
      <c r="N36" s="348"/>
    </row>
    <row r="37" spans="2:14" s="268" customFormat="1" ht="12" customHeight="1">
      <c r="B37" s="368" t="s">
        <v>799</v>
      </c>
      <c r="C37" s="368"/>
      <c r="D37" s="370"/>
      <c r="E37" s="370"/>
      <c r="F37" s="604"/>
      <c r="G37" s="270"/>
      <c r="H37" s="270"/>
      <c r="I37" s="270"/>
      <c r="J37" s="270"/>
      <c r="K37" s="270"/>
      <c r="L37" s="259"/>
      <c r="N37" s="348"/>
    </row>
    <row r="38" spans="2:14" s="268" customFormat="1" ht="12" customHeight="1">
      <c r="B38" s="739"/>
      <c r="C38" s="739"/>
      <c r="D38" s="740"/>
      <c r="E38" s="740"/>
      <c r="F38" s="741"/>
      <c r="G38" s="742"/>
      <c r="H38" s="742"/>
      <c r="I38" s="742"/>
      <c r="J38" s="742"/>
      <c r="K38" s="742"/>
      <c r="L38" s="743"/>
      <c r="N38" s="348"/>
    </row>
    <row r="39" spans="2:14" s="268" customFormat="1" ht="15" customHeight="1">
      <c r="B39" s="605" t="s">
        <v>800</v>
      </c>
      <c r="C39" s="368"/>
      <c r="D39" s="370"/>
      <c r="E39" s="370"/>
      <c r="F39" s="604"/>
      <c r="G39" s="270"/>
      <c r="H39" s="270"/>
      <c r="I39" s="270"/>
      <c r="J39" s="270"/>
      <c r="K39" s="270"/>
      <c r="L39" s="259"/>
      <c r="N39" s="348"/>
    </row>
    <row r="40" spans="2:14" s="268" customFormat="1" ht="6" customHeight="1">
      <c r="B40" s="605"/>
      <c r="C40" s="368"/>
      <c r="D40" s="370"/>
      <c r="E40" s="370"/>
      <c r="F40" s="604"/>
      <c r="G40" s="270"/>
      <c r="H40" s="270"/>
      <c r="I40" s="270"/>
      <c r="J40" s="270"/>
      <c r="K40" s="270"/>
      <c r="L40" s="259"/>
      <c r="N40" s="348"/>
    </row>
    <row r="41" spans="2:14" s="268" customFormat="1" ht="12.75" customHeight="1">
      <c r="B41" s="270" t="s">
        <v>801</v>
      </c>
      <c r="C41" s="368"/>
      <c r="D41" s="370"/>
      <c r="E41" s="370"/>
      <c r="F41" s="604"/>
      <c r="G41" s="270"/>
      <c r="H41" s="270"/>
      <c r="I41" s="270"/>
      <c r="J41" s="270"/>
      <c r="K41" s="270"/>
      <c r="L41" s="259"/>
      <c r="N41" s="348"/>
    </row>
    <row r="42" spans="2:14" s="268" customFormat="1" ht="12" customHeight="1">
      <c r="B42" s="368" t="s">
        <v>802</v>
      </c>
      <c r="C42" s="368"/>
      <c r="D42" s="370"/>
      <c r="E42" s="370"/>
      <c r="F42" s="604"/>
      <c r="G42" s="270"/>
      <c r="H42" s="270"/>
      <c r="I42" s="270"/>
      <c r="J42" s="270"/>
      <c r="K42" s="270"/>
      <c r="L42" s="259"/>
      <c r="N42" s="348"/>
    </row>
    <row r="43" spans="2:14" s="268" customFormat="1" ht="6" customHeight="1">
      <c r="B43" s="270"/>
      <c r="C43" s="368"/>
      <c r="D43" s="370"/>
      <c r="E43" s="370"/>
      <c r="F43" s="604"/>
      <c r="G43" s="270"/>
      <c r="H43" s="270"/>
      <c r="I43" s="270"/>
      <c r="J43" s="270"/>
      <c r="K43" s="270"/>
      <c r="L43" s="259"/>
      <c r="N43" s="348"/>
    </row>
    <row r="44" spans="2:14" s="268" customFormat="1" ht="15.75" customHeight="1">
      <c r="B44" s="606" t="s">
        <v>803</v>
      </c>
      <c r="C44" s="368"/>
      <c r="D44" s="370"/>
      <c r="E44" s="370"/>
      <c r="F44" s="604"/>
      <c r="G44" s="270"/>
      <c r="H44" s="270"/>
      <c r="I44" s="270"/>
      <c r="J44" s="270"/>
      <c r="K44" s="270"/>
      <c r="L44" s="259"/>
      <c r="N44" s="348"/>
    </row>
    <row r="45" spans="2:14" s="268" customFormat="1" ht="6" customHeight="1">
      <c r="B45" s="607"/>
      <c r="C45" s="368"/>
      <c r="D45" s="370"/>
      <c r="E45" s="370"/>
      <c r="F45" s="604"/>
      <c r="G45" s="270"/>
      <c r="H45" s="270"/>
      <c r="I45" s="270"/>
      <c r="J45" s="270"/>
      <c r="K45" s="270"/>
      <c r="L45" s="259"/>
      <c r="N45" s="348"/>
    </row>
    <row r="46" spans="2:14" s="268" customFormat="1" ht="15.6">
      <c r="B46" s="608" t="s">
        <v>804</v>
      </c>
      <c r="C46" s="608"/>
      <c r="D46" s="608"/>
      <c r="E46" s="608"/>
      <c r="F46" s="608"/>
      <c r="G46" s="608"/>
      <c r="H46" s="270"/>
      <c r="I46" s="270"/>
      <c r="J46" s="270"/>
      <c r="K46" s="270"/>
      <c r="L46" s="270"/>
      <c r="M46" s="270"/>
      <c r="N46" s="348"/>
    </row>
    <row r="47" spans="2:14" s="268" customFormat="1" ht="12" customHeight="1">
      <c r="B47" s="270" t="s">
        <v>805</v>
      </c>
      <c r="C47" s="270"/>
      <c r="D47" s="270"/>
      <c r="E47" s="270"/>
      <c r="F47" s="270"/>
      <c r="G47" s="270"/>
      <c r="H47" s="270"/>
      <c r="I47" s="270"/>
      <c r="J47" s="270"/>
      <c r="K47" s="270"/>
      <c r="L47" s="270"/>
      <c r="M47" s="270"/>
      <c r="N47" s="348"/>
    </row>
    <row r="48" spans="2:14" s="268" customFormat="1" ht="12" customHeight="1">
      <c r="B48" s="270" t="s">
        <v>806</v>
      </c>
      <c r="C48" s="270"/>
      <c r="D48" s="270"/>
      <c r="E48" s="270"/>
      <c r="F48" s="270"/>
      <c r="G48" s="270"/>
      <c r="H48" s="270"/>
      <c r="I48" s="270"/>
      <c r="J48" s="270"/>
      <c r="K48" s="270"/>
      <c r="L48" s="270"/>
      <c r="M48" s="270"/>
      <c r="N48" s="348"/>
    </row>
    <row r="49" spans="1:14" s="268" customFormat="1" ht="12" customHeight="1">
      <c r="B49" s="368" t="s">
        <v>807</v>
      </c>
      <c r="C49" s="270"/>
      <c r="D49" s="270"/>
      <c r="E49" s="270"/>
      <c r="F49" s="270"/>
      <c r="G49" s="270"/>
      <c r="H49" s="270"/>
      <c r="I49" s="1149"/>
      <c r="J49" s="1149"/>
      <c r="K49" s="270"/>
      <c r="L49" s="270"/>
      <c r="M49" s="270"/>
      <c r="N49" s="348"/>
    </row>
    <row r="50" spans="1:14" s="268" customFormat="1" ht="14.1" customHeight="1">
      <c r="B50" s="368" t="s">
        <v>808</v>
      </c>
      <c r="C50" s="270"/>
      <c r="D50" s="270"/>
      <c r="E50" s="270"/>
      <c r="F50" s="270"/>
      <c r="G50" s="270"/>
      <c r="H50" s="270"/>
      <c r="I50" s="1006"/>
      <c r="J50" s="1006"/>
      <c r="K50" s="270"/>
      <c r="L50" s="270"/>
      <c r="M50" s="270"/>
      <c r="N50" s="348"/>
    </row>
    <row r="51" spans="1:14" s="268" customFormat="1" ht="12" customHeight="1">
      <c r="B51" s="270"/>
      <c r="C51" s="270"/>
      <c r="D51" s="270"/>
      <c r="E51" s="270"/>
      <c r="F51" s="270"/>
      <c r="G51" s="270"/>
      <c r="H51" s="270"/>
      <c r="I51" s="270"/>
      <c r="J51" s="270"/>
      <c r="K51" s="270"/>
      <c r="L51" s="270"/>
      <c r="M51" s="270"/>
      <c r="N51" s="348"/>
    </row>
    <row r="52" spans="1:14" s="268" customFormat="1" ht="15.75" customHeight="1">
      <c r="B52" s="608" t="s">
        <v>809</v>
      </c>
      <c r="C52" s="368"/>
      <c r="D52" s="370"/>
      <c r="E52" s="370"/>
      <c r="F52" s="604"/>
      <c r="G52" s="270"/>
      <c r="H52" s="270"/>
      <c r="I52" s="270"/>
      <c r="J52" s="270"/>
      <c r="K52" s="270"/>
      <c r="L52" s="270"/>
      <c r="M52" s="270"/>
      <c r="N52" s="348"/>
    </row>
    <row r="53" spans="1:14" s="268" customFormat="1" ht="12" customHeight="1">
      <c r="B53" s="270" t="s">
        <v>810</v>
      </c>
      <c r="C53" s="368"/>
      <c r="D53" s="370"/>
      <c r="E53" s="370"/>
      <c r="F53" s="604"/>
      <c r="G53" s="270"/>
      <c r="H53" s="270"/>
      <c r="I53" s="270"/>
      <c r="J53" s="270"/>
      <c r="K53" s="270"/>
      <c r="L53" s="270"/>
      <c r="M53" s="270"/>
    </row>
    <row r="54" spans="1:14" s="268" customFormat="1" ht="12" customHeight="1">
      <c r="B54" s="270" t="s">
        <v>811</v>
      </c>
      <c r="C54" s="368"/>
      <c r="D54" s="370"/>
      <c r="E54" s="370"/>
      <c r="F54" s="604"/>
      <c r="G54" s="270"/>
      <c r="H54" s="270"/>
      <c r="I54" s="270"/>
      <c r="J54" s="270"/>
      <c r="K54" s="270"/>
      <c r="L54" s="270"/>
      <c r="M54" s="270"/>
    </row>
    <row r="55" spans="1:14" s="268" customFormat="1" ht="12" customHeight="1">
      <c r="B55" s="368" t="s">
        <v>812</v>
      </c>
      <c r="C55" s="368"/>
      <c r="D55" s="270"/>
      <c r="E55" s="270"/>
      <c r="F55" s="270"/>
      <c r="G55" s="270"/>
      <c r="H55" s="270"/>
      <c r="I55" s="1149"/>
      <c r="J55" s="1149"/>
      <c r="K55" s="270"/>
      <c r="L55" s="270"/>
      <c r="M55" s="270"/>
    </row>
    <row r="56" spans="1:14" s="268" customFormat="1" ht="12" customHeight="1">
      <c r="B56" s="270"/>
      <c r="C56" s="368"/>
      <c r="D56" s="270"/>
      <c r="E56" s="270"/>
      <c r="F56" s="270"/>
      <c r="G56" s="270"/>
      <c r="H56" s="270"/>
      <c r="I56" s="1006"/>
      <c r="J56" s="1006"/>
      <c r="K56" s="270"/>
      <c r="L56" s="270"/>
      <c r="M56" s="270"/>
    </row>
    <row r="57" spans="1:14" s="268" customFormat="1" ht="15.6">
      <c r="B57" s="608" t="s">
        <v>813</v>
      </c>
      <c r="C57" s="368"/>
      <c r="D57" s="270"/>
      <c r="E57" s="270"/>
      <c r="F57" s="270"/>
      <c r="G57" s="270"/>
      <c r="H57" s="270"/>
      <c r="I57" s="1006"/>
      <c r="J57" s="1006"/>
      <c r="K57" s="270"/>
      <c r="L57" s="270"/>
      <c r="M57" s="270"/>
    </row>
    <row r="58" spans="1:14" s="268" customFormat="1" ht="12.6" customHeight="1">
      <c r="A58" s="368" t="s">
        <v>814</v>
      </c>
      <c r="B58" s="368" t="s">
        <v>815</v>
      </c>
      <c r="C58" s="368"/>
      <c r="D58" s="270"/>
      <c r="E58" s="270"/>
      <c r="F58" s="270"/>
      <c r="G58" s="270"/>
      <c r="H58" s="270"/>
      <c r="I58" s="1147"/>
      <c r="J58" s="1147"/>
      <c r="K58" s="270"/>
      <c r="L58" s="270"/>
      <c r="M58" s="270"/>
    </row>
    <row r="59" spans="1:14" s="268" customFormat="1" ht="12.6" customHeight="1">
      <c r="A59" s="368" t="s">
        <v>816</v>
      </c>
      <c r="B59" s="368" t="s">
        <v>817</v>
      </c>
      <c r="C59" s="368"/>
      <c r="D59" s="270"/>
      <c r="E59" s="270"/>
      <c r="F59" s="270"/>
      <c r="G59" s="270"/>
      <c r="H59" s="270"/>
      <c r="I59" s="1149"/>
      <c r="J59" s="1149"/>
      <c r="K59" s="270"/>
      <c r="L59" s="270"/>
      <c r="M59" s="270"/>
    </row>
    <row r="60" spans="1:14" s="268" customFormat="1" ht="12" customHeight="1">
      <c r="B60" s="270"/>
      <c r="C60" s="368"/>
      <c r="D60" s="270"/>
      <c r="E60" s="270"/>
      <c r="F60" s="270"/>
      <c r="G60" s="270"/>
      <c r="H60" s="270"/>
      <c r="I60" s="609"/>
      <c r="J60" s="609"/>
      <c r="K60" s="270"/>
      <c r="L60" s="270"/>
      <c r="M60" s="270"/>
    </row>
    <row r="61" spans="1:14" s="268" customFormat="1" ht="12" customHeight="1">
      <c r="B61" s="368" t="s">
        <v>818</v>
      </c>
      <c r="C61" s="368"/>
      <c r="D61" s="270"/>
      <c r="E61" s="270"/>
      <c r="F61" s="270"/>
      <c r="G61" s="270"/>
      <c r="H61" s="270"/>
      <c r="I61" s="609"/>
      <c r="J61" s="609"/>
      <c r="K61" s="270"/>
      <c r="L61" s="270"/>
      <c r="M61" s="270"/>
    </row>
    <row r="62" spans="1:14" s="268" customFormat="1" ht="6" customHeight="1">
      <c r="B62" s="270"/>
      <c r="C62" s="368"/>
      <c r="D62" s="270"/>
      <c r="E62" s="270"/>
      <c r="F62" s="270"/>
      <c r="G62" s="270"/>
      <c r="H62" s="270"/>
      <c r="I62" s="609"/>
      <c r="J62" s="609"/>
      <c r="K62" s="270"/>
      <c r="L62" s="270"/>
      <c r="M62" s="270"/>
    </row>
    <row r="63" spans="1:14" s="268" customFormat="1" ht="15.75" customHeight="1">
      <c r="B63" s="606" t="s">
        <v>819</v>
      </c>
      <c r="C63" s="368"/>
      <c r="D63" s="270"/>
      <c r="E63" s="270"/>
      <c r="F63" s="270"/>
      <c r="G63" s="270"/>
      <c r="H63" s="270"/>
      <c r="I63" s="609"/>
      <c r="J63" s="609"/>
      <c r="K63" s="270"/>
      <c r="L63" s="270"/>
      <c r="M63" s="270"/>
    </row>
    <row r="64" spans="1:14" s="268" customFormat="1" ht="6" customHeight="1">
      <c r="B64" s="606"/>
      <c r="C64" s="368"/>
      <c r="D64" s="270"/>
      <c r="E64" s="270"/>
      <c r="F64" s="270"/>
      <c r="G64" s="270"/>
      <c r="H64" s="270"/>
      <c r="I64" s="609"/>
      <c r="J64" s="609"/>
      <c r="K64" s="270"/>
      <c r="L64" s="270"/>
      <c r="M64" s="270"/>
    </row>
    <row r="65" spans="2:29" s="268" customFormat="1" ht="12" customHeight="1">
      <c r="B65" s="608" t="s">
        <v>820</v>
      </c>
      <c r="C65" s="368"/>
      <c r="D65" s="270"/>
      <c r="E65" s="270"/>
      <c r="F65" s="270"/>
      <c r="G65" s="270"/>
      <c r="H65" s="270"/>
      <c r="I65" s="609"/>
      <c r="J65" s="609"/>
      <c r="K65" s="270"/>
      <c r="L65" s="270"/>
      <c r="M65" s="270"/>
    </row>
    <row r="66" spans="2:29" s="270" customFormat="1" ht="12" customHeight="1">
      <c r="B66" s="270" t="s">
        <v>821</v>
      </c>
      <c r="C66" s="368"/>
      <c r="I66" s="609"/>
      <c r="J66" s="609"/>
    </row>
    <row r="67" spans="2:29" s="270" customFormat="1" ht="12" customHeight="1">
      <c r="B67" s="270" t="s">
        <v>822</v>
      </c>
      <c r="I67" s="609"/>
      <c r="J67" s="609"/>
    </row>
    <row r="68" spans="2:29" s="270" customFormat="1" ht="12" customHeight="1">
      <c r="B68" s="270" t="s">
        <v>823</v>
      </c>
      <c r="I68" s="609"/>
      <c r="J68" s="609"/>
    </row>
    <row r="69" spans="2:29" s="270" customFormat="1" ht="12" customHeight="1">
      <c r="B69" s="270" t="s">
        <v>824</v>
      </c>
      <c r="I69" s="609"/>
      <c r="J69" s="609"/>
    </row>
    <row r="70" spans="2:29" s="270" customFormat="1" ht="12" customHeight="1">
      <c r="B70" s="368" t="s">
        <v>825</v>
      </c>
      <c r="I70" s="1006"/>
      <c r="J70" s="1006"/>
    </row>
    <row r="71" spans="2:29" s="270" customFormat="1" ht="6" customHeight="1">
      <c r="I71" s="609"/>
      <c r="J71" s="609"/>
    </row>
    <row r="72" spans="2:29" s="270" customFormat="1" ht="12" customHeight="1">
      <c r="B72" s="608" t="s">
        <v>826</v>
      </c>
      <c r="I72" s="609"/>
      <c r="J72" s="609"/>
    </row>
    <row r="73" spans="2:29" s="270" customFormat="1" ht="12" customHeight="1">
      <c r="B73" s="270" t="s">
        <v>827</v>
      </c>
      <c r="I73" s="609"/>
      <c r="J73" s="609"/>
    </row>
    <row r="74" spans="2:29" s="270" customFormat="1" ht="12" customHeight="1">
      <c r="B74" s="270" t="s">
        <v>828</v>
      </c>
      <c r="I74" s="609"/>
      <c r="J74" s="609"/>
    </row>
    <row r="75" spans="2:29" s="270" customFormat="1" ht="12" customHeight="1">
      <c r="B75" s="368" t="s">
        <v>829</v>
      </c>
      <c r="I75" s="1147"/>
      <c r="J75" s="1147"/>
    </row>
    <row r="76" spans="2:29" s="270" customFormat="1" ht="12" customHeight="1">
      <c r="B76" s="368" t="s">
        <v>817</v>
      </c>
      <c r="I76" s="1149"/>
      <c r="J76" s="1149"/>
    </row>
    <row r="77" spans="2:29" s="270" customFormat="1" ht="13.5" customHeight="1" thickBot="1">
      <c r="B77" s="608"/>
      <c r="C77" s="368"/>
      <c r="I77" s="1006"/>
      <c r="J77" s="1006"/>
    </row>
    <row r="78" spans="2:29" ht="12" customHeight="1">
      <c r="B78" s="371" t="s">
        <v>830</v>
      </c>
      <c r="C78" s="368"/>
      <c r="D78" s="270"/>
      <c r="E78" s="270"/>
      <c r="F78" s="270"/>
      <c r="G78" s="270"/>
      <c r="H78" s="270"/>
      <c r="I78" s="270"/>
      <c r="J78" s="270"/>
      <c r="K78" s="270"/>
      <c r="S78" s="1085"/>
      <c r="T78" s="1139"/>
      <c r="U78" s="1139"/>
      <c r="V78" s="1139"/>
      <c r="W78" s="1139"/>
      <c r="X78" s="1139"/>
      <c r="Y78" s="1139"/>
      <c r="Z78" s="1139"/>
      <c r="AA78" s="1139"/>
      <c r="AB78" s="1139"/>
      <c r="AC78" s="1140"/>
    </row>
    <row r="79" spans="2:29" ht="12" customHeight="1">
      <c r="B79" s="365" t="s">
        <v>831</v>
      </c>
      <c r="C79" s="318"/>
      <c r="D79" s="318"/>
      <c r="E79" s="318"/>
      <c r="F79" s="318"/>
      <c r="G79" s="318"/>
      <c r="H79" s="318"/>
      <c r="I79" s="318"/>
      <c r="J79" s="318"/>
      <c r="K79" s="270"/>
      <c r="L79" s="318"/>
      <c r="M79" s="200"/>
      <c r="S79" s="1141"/>
      <c r="T79" s="1142"/>
      <c r="U79" s="1142"/>
      <c r="V79" s="1142"/>
      <c r="W79" s="1142"/>
      <c r="X79" s="1142"/>
      <c r="Y79" s="1142"/>
      <c r="Z79" s="1142"/>
      <c r="AA79" s="1142"/>
      <c r="AB79" s="1142"/>
      <c r="AC79" s="1143"/>
    </row>
    <row r="80" spans="2:29" ht="12" customHeight="1">
      <c r="B80" s="365"/>
      <c r="C80" s="318" t="s">
        <v>575</v>
      </c>
      <c r="D80" s="318" t="s">
        <v>832</v>
      </c>
      <c r="E80" s="318"/>
      <c r="F80" s="318"/>
      <c r="G80" s="318"/>
      <c r="H80" s="318"/>
      <c r="I80" s="318"/>
      <c r="J80" s="318"/>
      <c r="K80" s="270"/>
      <c r="L80" s="318"/>
      <c r="M80" s="318"/>
      <c r="S80" s="1141"/>
      <c r="T80" s="1142"/>
      <c r="U80" s="1142"/>
      <c r="V80" s="1142"/>
      <c r="W80" s="1142"/>
      <c r="X80" s="1142"/>
      <c r="Y80" s="1142"/>
      <c r="Z80" s="1142"/>
      <c r="AA80" s="1142"/>
      <c r="AB80" s="1142"/>
      <c r="AC80" s="1143"/>
    </row>
    <row r="81" spans="2:29" ht="15.75" customHeight="1">
      <c r="B81" s="270"/>
      <c r="C81" s="270" t="s">
        <v>578</v>
      </c>
      <c r="D81" s="270" t="s">
        <v>833</v>
      </c>
      <c r="E81" s="270"/>
      <c r="F81" s="270"/>
      <c r="G81" s="270"/>
      <c r="H81" s="270"/>
      <c r="I81" s="270"/>
      <c r="J81" s="270"/>
      <c r="K81" s="270"/>
      <c r="S81" s="1141"/>
      <c r="T81" s="1142"/>
      <c r="U81" s="1142"/>
      <c r="V81" s="1142"/>
      <c r="W81" s="1142"/>
      <c r="X81" s="1142"/>
      <c r="Y81" s="1142"/>
      <c r="Z81" s="1142"/>
      <c r="AA81" s="1142"/>
      <c r="AB81" s="1142"/>
      <c r="AC81" s="1143"/>
    </row>
    <row r="82" spans="2:29" ht="12" customHeight="1">
      <c r="B82" s="270"/>
      <c r="C82" s="270" t="s">
        <v>581</v>
      </c>
      <c r="D82" s="270" t="s">
        <v>834</v>
      </c>
      <c r="E82" s="270"/>
      <c r="F82" s="270"/>
      <c r="G82" s="270"/>
      <c r="H82" s="270"/>
      <c r="I82" s="270"/>
      <c r="J82" s="270"/>
      <c r="K82" s="270"/>
      <c r="S82" s="1141"/>
      <c r="T82" s="1142"/>
      <c r="U82" s="1142"/>
      <c r="V82" s="1142"/>
      <c r="W82" s="1142"/>
      <c r="X82" s="1142"/>
      <c r="Y82" s="1142"/>
      <c r="Z82" s="1142"/>
      <c r="AA82" s="1142"/>
      <c r="AB82" s="1142"/>
      <c r="AC82" s="1143"/>
    </row>
    <row r="83" spans="2:29" ht="12" customHeight="1">
      <c r="B83" s="270"/>
      <c r="C83" s="270" t="s">
        <v>795</v>
      </c>
      <c r="D83" s="270" t="s">
        <v>835</v>
      </c>
      <c r="E83" s="270"/>
      <c r="F83" s="270"/>
      <c r="G83" s="270"/>
      <c r="H83" s="270"/>
      <c r="I83" s="270"/>
      <c r="J83" s="270"/>
      <c r="K83" s="270"/>
      <c r="S83" s="1141"/>
      <c r="T83" s="1142"/>
      <c r="U83" s="1142"/>
      <c r="V83" s="1142"/>
      <c r="W83" s="1142"/>
      <c r="X83" s="1142"/>
      <c r="Y83" s="1142"/>
      <c r="Z83" s="1142"/>
      <c r="AA83" s="1142"/>
      <c r="AB83" s="1142"/>
      <c r="AC83" s="1143"/>
    </row>
    <row r="84" spans="2:29" ht="12" customHeight="1">
      <c r="B84" s="270"/>
      <c r="C84" s="270" t="s">
        <v>836</v>
      </c>
      <c r="D84" s="270" t="s">
        <v>837</v>
      </c>
      <c r="E84" s="270"/>
      <c r="F84" s="270"/>
      <c r="G84" s="270"/>
      <c r="H84" s="270"/>
      <c r="I84" s="270"/>
      <c r="J84" s="270"/>
      <c r="K84" s="270"/>
      <c r="S84" s="1141"/>
      <c r="T84" s="1142"/>
      <c r="U84" s="1142"/>
      <c r="V84" s="1142"/>
      <c r="W84" s="1142"/>
      <c r="X84" s="1142"/>
      <c r="Y84" s="1142"/>
      <c r="Z84" s="1142"/>
      <c r="AA84" s="1142"/>
      <c r="AB84" s="1142"/>
      <c r="AC84" s="1143"/>
    </row>
    <row r="85" spans="2:29" ht="12" customHeight="1">
      <c r="B85" s="270"/>
      <c r="C85" s="270"/>
      <c r="D85" s="270" t="s">
        <v>838</v>
      </c>
      <c r="E85" s="270"/>
      <c r="F85" s="270"/>
      <c r="G85" s="270"/>
      <c r="H85" s="270"/>
      <c r="I85" s="270"/>
      <c r="J85" s="270"/>
      <c r="K85" s="270"/>
      <c r="S85" s="1141"/>
      <c r="T85" s="1142"/>
      <c r="U85" s="1142"/>
      <c r="V85" s="1142"/>
      <c r="W85" s="1142"/>
      <c r="X85" s="1142"/>
      <c r="Y85" s="1142"/>
      <c r="Z85" s="1142"/>
      <c r="AA85" s="1142"/>
      <c r="AB85" s="1142"/>
      <c r="AC85" s="1143"/>
    </row>
    <row r="86" spans="2:29" ht="12" customHeight="1">
      <c r="B86" s="270" t="s">
        <v>839</v>
      </c>
      <c r="C86" s="270"/>
      <c r="D86" s="270"/>
      <c r="E86" s="270"/>
      <c r="F86" s="270"/>
      <c r="G86" s="270"/>
      <c r="H86" s="270"/>
      <c r="I86" s="270"/>
      <c r="J86" s="270"/>
      <c r="K86" s="270"/>
      <c r="L86" s="270"/>
      <c r="S86" s="1141"/>
      <c r="T86" s="1142"/>
      <c r="U86" s="1142"/>
      <c r="V86" s="1142"/>
      <c r="W86" s="1142"/>
      <c r="X86" s="1142"/>
      <c r="Y86" s="1142"/>
      <c r="Z86" s="1142"/>
      <c r="AA86" s="1142"/>
      <c r="AB86" s="1142"/>
      <c r="AC86" s="1143"/>
    </row>
    <row r="87" spans="2:29" ht="12" customHeight="1">
      <c r="B87" s="270" t="s">
        <v>840</v>
      </c>
      <c r="C87" s="270"/>
      <c r="D87" s="270"/>
      <c r="E87" s="270"/>
      <c r="F87" s="270"/>
      <c r="G87" s="270"/>
      <c r="H87" s="270"/>
      <c r="I87" s="270"/>
      <c r="J87" s="270"/>
      <c r="K87" s="270"/>
      <c r="L87" s="270"/>
      <c r="S87" s="1141"/>
      <c r="T87" s="1142"/>
      <c r="U87" s="1142"/>
      <c r="V87" s="1142"/>
      <c r="W87" s="1142"/>
      <c r="X87" s="1142"/>
      <c r="Y87" s="1142"/>
      <c r="Z87" s="1142"/>
      <c r="AA87" s="1142"/>
      <c r="AB87" s="1142"/>
      <c r="AC87" s="1143"/>
    </row>
    <row r="88" spans="2:29" ht="12" customHeight="1">
      <c r="S88" s="1141"/>
      <c r="T88" s="1142"/>
      <c r="U88" s="1142"/>
      <c r="V88" s="1142"/>
      <c r="W88" s="1142"/>
      <c r="X88" s="1142"/>
      <c r="Y88" s="1142"/>
      <c r="Z88" s="1142"/>
      <c r="AA88" s="1142"/>
      <c r="AB88" s="1142"/>
      <c r="AC88" s="1143"/>
    </row>
    <row r="89" spans="2:29" ht="12" customHeight="1">
      <c r="S89" s="1141"/>
      <c r="T89" s="1142"/>
      <c r="U89" s="1142"/>
      <c r="V89" s="1142"/>
      <c r="W89" s="1142"/>
      <c r="X89" s="1142"/>
      <c r="Y89" s="1142"/>
      <c r="Z89" s="1142"/>
      <c r="AA89" s="1142"/>
      <c r="AB89" s="1142"/>
      <c r="AC89" s="1143"/>
    </row>
    <row r="90" spans="2:29" ht="12" customHeight="1" thickBot="1">
      <c r="S90" s="1144"/>
      <c r="T90" s="1145"/>
      <c r="U90" s="1145"/>
      <c r="V90" s="1145"/>
      <c r="W90" s="1145"/>
      <c r="X90" s="1145"/>
      <c r="Y90" s="1145"/>
      <c r="Z90" s="1145"/>
      <c r="AA90" s="1145"/>
      <c r="AB90" s="1145"/>
      <c r="AC90" s="1146"/>
    </row>
    <row r="91" spans="2:29" ht="12" customHeight="1"/>
    <row r="92" spans="2:29" ht="12" customHeight="1"/>
    <row r="97" spans="1:13" ht="14.1" customHeight="1">
      <c r="B97" s="476"/>
      <c r="C97" s="318"/>
      <c r="D97" s="318"/>
      <c r="E97" s="318"/>
      <c r="F97" s="318"/>
      <c r="G97" s="318"/>
      <c r="H97" s="318"/>
      <c r="I97" s="318"/>
      <c r="J97" s="318"/>
      <c r="K97" s="318"/>
      <c r="L97" s="318"/>
      <c r="M97" s="318"/>
    </row>
    <row r="98" spans="1:13" ht="5.0999999999999996" customHeight="1">
      <c r="B98" s="476"/>
      <c r="C98" s="476"/>
      <c r="D98" s="326"/>
      <c r="E98" s="326"/>
      <c r="F98" s="326"/>
      <c r="G98" s="326"/>
      <c r="H98" s="326"/>
      <c r="I98" s="326"/>
      <c r="J98" s="326"/>
      <c r="K98" s="326"/>
    </row>
    <row r="99" spans="1:13" ht="12" customHeight="1">
      <c r="B99" s="476"/>
      <c r="C99" s="476"/>
      <c r="D99" s="326"/>
      <c r="E99" s="326"/>
      <c r="F99" s="326"/>
      <c r="G99" s="326"/>
      <c r="H99" s="326"/>
      <c r="I99" s="326"/>
      <c r="J99" s="326"/>
      <c r="K99" s="326"/>
    </row>
    <row r="100" spans="1:13">
      <c r="B100" s="476"/>
      <c r="C100" s="476"/>
      <c r="D100" s="326"/>
      <c r="E100" s="326"/>
      <c r="F100" s="326"/>
      <c r="G100" s="326"/>
      <c r="H100" s="326"/>
      <c r="I100" s="326"/>
      <c r="J100" s="326"/>
      <c r="K100" s="326"/>
    </row>
    <row r="101" spans="1:13">
      <c r="B101" s="476"/>
      <c r="C101" s="476"/>
      <c r="D101" s="326"/>
      <c r="E101" s="326"/>
      <c r="F101" s="326"/>
      <c r="G101" s="326"/>
      <c r="H101" s="326"/>
      <c r="I101" s="326"/>
      <c r="J101" s="326"/>
      <c r="K101" s="326"/>
    </row>
    <row r="102" spans="1:13" ht="16.5" customHeight="1">
      <c r="B102" s="476"/>
      <c r="C102" s="476"/>
      <c r="D102" s="326"/>
      <c r="E102" s="326"/>
      <c r="F102" s="326"/>
      <c r="G102" s="326"/>
      <c r="H102" s="326"/>
      <c r="I102" s="326"/>
      <c r="J102" s="326"/>
      <c r="K102" s="326"/>
    </row>
    <row r="103" spans="1:13" ht="5.0999999999999996" customHeight="1">
      <c r="B103" s="476"/>
      <c r="C103" s="476"/>
      <c r="D103" s="326"/>
      <c r="E103" s="326"/>
      <c r="F103" s="326"/>
      <c r="G103" s="326"/>
      <c r="H103" s="326"/>
      <c r="I103" s="326"/>
      <c r="J103" s="326"/>
      <c r="K103" s="326"/>
    </row>
    <row r="104" spans="1:13">
      <c r="B104" s="476"/>
      <c r="C104" s="476"/>
      <c r="D104" s="326"/>
      <c r="E104" s="326"/>
      <c r="F104" s="326"/>
      <c r="G104" s="326"/>
      <c r="H104" s="326"/>
      <c r="I104" s="326"/>
      <c r="J104" s="326"/>
      <c r="K104" s="326"/>
    </row>
    <row r="105" spans="1:13">
      <c r="B105" s="476"/>
      <c r="C105" s="476"/>
      <c r="D105" s="326"/>
      <c r="E105" s="326"/>
      <c r="F105" s="326"/>
      <c r="G105" s="326"/>
      <c r="H105" s="326"/>
      <c r="I105" s="326"/>
      <c r="J105" s="326"/>
      <c r="K105" s="326"/>
    </row>
    <row r="106" spans="1:13">
      <c r="B106" s="476"/>
      <c r="C106" s="476"/>
      <c r="D106" s="326"/>
      <c r="E106" s="326"/>
      <c r="F106" s="326"/>
      <c r="G106" s="326"/>
      <c r="H106" s="326"/>
      <c r="I106" s="326"/>
      <c r="J106" s="326"/>
      <c r="K106" s="326"/>
    </row>
    <row r="107" spans="1:13" ht="16.5" customHeight="1">
      <c r="B107" s="476"/>
      <c r="C107" s="476"/>
      <c r="D107" s="326"/>
      <c r="E107" s="326"/>
      <c r="F107" s="326"/>
      <c r="G107" s="326"/>
      <c r="H107" s="326"/>
      <c r="I107" s="326"/>
      <c r="J107" s="326"/>
      <c r="K107" s="326"/>
    </row>
    <row r="108" spans="1:13" ht="11.1" customHeight="1">
      <c r="B108" s="476"/>
      <c r="C108" s="476"/>
      <c r="D108" s="326"/>
      <c r="E108" s="326"/>
      <c r="F108" s="326"/>
      <c r="G108" s="326"/>
      <c r="H108" s="326"/>
      <c r="I108" s="326"/>
      <c r="J108" s="326"/>
      <c r="K108" s="326"/>
    </row>
    <row r="109" spans="1:13">
      <c r="A109" s="259" t="e">
        <f>AgyIdx</f>
        <v>#REF!</v>
      </c>
      <c r="B109" s="476"/>
      <c r="C109" s="476"/>
      <c r="D109" s="326"/>
      <c r="E109" s="326"/>
      <c r="F109" s="326"/>
      <c r="G109" s="326"/>
      <c r="H109" s="326"/>
      <c r="I109" s="326"/>
      <c r="J109" s="326"/>
      <c r="K109" s="326"/>
    </row>
    <row r="110" spans="1:13" ht="15">
      <c r="A110" s="298" t="str">
        <f ca="1">MID(CELL("filename",A1),FIND("]",CELL("filename",A1))+1,256)</f>
        <v>323</v>
      </c>
      <c r="B110" s="476"/>
      <c r="C110" s="476"/>
      <c r="D110" s="326"/>
      <c r="E110" s="326"/>
      <c r="F110" s="326"/>
      <c r="G110" s="326"/>
      <c r="H110" s="326"/>
      <c r="I110" s="326"/>
      <c r="J110" s="326"/>
      <c r="K110" s="326"/>
    </row>
    <row r="111" spans="1:13" ht="15">
      <c r="A111" s="298" t="s">
        <v>657</v>
      </c>
      <c r="B111" s="476"/>
      <c r="C111" s="476"/>
      <c r="D111" s="326"/>
      <c r="E111" s="326"/>
      <c r="F111" s="326"/>
      <c r="G111" s="326"/>
      <c r="H111" s="326"/>
      <c r="I111" s="326"/>
      <c r="J111" s="326"/>
      <c r="K111" s="326"/>
    </row>
    <row r="112" spans="1:13" ht="15">
      <c r="A112" s="298" t="s">
        <v>841</v>
      </c>
      <c r="B112" s="476"/>
      <c r="C112" s="476"/>
      <c r="D112" s="326"/>
      <c r="E112" s="326"/>
      <c r="F112" s="326"/>
      <c r="G112" s="326"/>
      <c r="H112" s="326"/>
      <c r="I112" s="326"/>
      <c r="J112" s="326"/>
      <c r="K112" s="326"/>
    </row>
    <row r="113" spans="1:11" ht="15">
      <c r="A113" s="298" t="s">
        <v>842</v>
      </c>
      <c r="B113" s="298"/>
      <c r="C113" s="476"/>
      <c r="D113" s="326"/>
      <c r="E113" s="326"/>
      <c r="F113" s="326"/>
      <c r="G113" s="326"/>
      <c r="H113" s="326"/>
      <c r="I113" s="326"/>
      <c r="J113" s="326"/>
      <c r="K113" s="326"/>
    </row>
    <row r="114" spans="1:11" ht="15">
      <c r="A114" s="298" t="s">
        <v>843</v>
      </c>
      <c r="B114" s="298"/>
      <c r="C114" s="298"/>
    </row>
    <row r="115" spans="1:11" ht="15">
      <c r="A115" s="298" t="s">
        <v>844</v>
      </c>
      <c r="B115" s="298"/>
      <c r="C115" s="298"/>
    </row>
    <row r="116" spans="1:11" ht="15">
      <c r="A116" s="298" t="s">
        <v>845</v>
      </c>
      <c r="B116" s="298"/>
      <c r="C116" s="298"/>
    </row>
    <row r="117" spans="1:11" ht="15">
      <c r="A117" s="298" t="s">
        <v>846</v>
      </c>
      <c r="B117" s="298"/>
      <c r="C117" s="298"/>
    </row>
    <row r="118" spans="1:11" ht="15">
      <c r="A118" s="298" t="s">
        <v>847</v>
      </c>
      <c r="B118" s="298"/>
      <c r="C118" s="298"/>
    </row>
    <row r="119" spans="1:11" ht="15">
      <c r="A119" s="298" t="s">
        <v>848</v>
      </c>
      <c r="B119" s="298"/>
      <c r="C119" s="298"/>
    </row>
    <row r="120" spans="1:11" ht="15">
      <c r="A120" s="298" t="s">
        <v>849</v>
      </c>
      <c r="C120" s="298"/>
    </row>
  </sheetData>
  <sheetProtection algorithmName="SHA-512" hashValue="NAqvYH25q8L9NK29sjiliboHeVxs04tRdljsGETpbcNgArUMhLAXllOgXB7yUPwtawhVjYXR/M3Ldn0eMdPjHg==" saltValue="FZABONQa5nW2K5IEW7oPqQ==" spinCount="100000" sheet="1" objects="1" scenarios="1" autoFilter="0"/>
  <mergeCells count="16">
    <mergeCell ref="S78:AC90"/>
    <mergeCell ref="I75:J75"/>
    <mergeCell ref="B12:G12"/>
    <mergeCell ref="I49:J49"/>
    <mergeCell ref="I55:J55"/>
    <mergeCell ref="I58:J58"/>
    <mergeCell ref="I59:J59"/>
    <mergeCell ref="I76:J76"/>
    <mergeCell ref="B1:K1"/>
    <mergeCell ref="L1:L3"/>
    <mergeCell ref="B2:K2"/>
    <mergeCell ref="B3:K3"/>
    <mergeCell ref="B7:D7"/>
    <mergeCell ref="I5:K5"/>
    <mergeCell ref="I6:K6"/>
    <mergeCell ref="I7:K7"/>
  </mergeCells>
  <conditionalFormatting sqref="L1:L3">
    <cfRule type="cellIs" dxfId="32" priority="1" stopIfTrue="1" operator="equal">
      <formula>"na"</formula>
    </cfRule>
  </conditionalFormatting>
  <hyperlinks>
    <hyperlink ref="B1:K1" location="Index!A1" display="Index!A1" xr:uid="{EDD5D388-600F-4DAD-BF1A-63850CB11692}"/>
    <hyperlink ref="B12:G12" r:id="rId1" display="Financial Reporting Update for GASB 83" xr:uid="{1B132201-6A82-4D18-ADA6-497B8029B46E}"/>
  </hyperlinks>
  <printOptions horizontalCentered="1"/>
  <pageMargins left="0.5" right="0.25" top="0.5" bottom="0.25" header="0.5" footer="0.25"/>
  <pageSetup scale="72" orientation="portrait" r:id="rId2"/>
  <headerFooter alignWithMargins="0"/>
  <rowBreaks count="1" manualBreakCount="1">
    <brk id="56" min="1" max="11"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K101"/>
  <sheetViews>
    <sheetView showGridLines="0" zoomScaleNormal="100" workbookViewId="0">
      <selection activeCell="K24" sqref="K24"/>
    </sheetView>
  </sheetViews>
  <sheetFormatPr defaultColWidth="10.7109375" defaultRowHeight="13.2"/>
  <cols>
    <col min="1" max="1" width="22" style="128" customWidth="1"/>
    <col min="2" max="2" width="13.42578125" style="128" customWidth="1"/>
    <col min="3" max="4" width="10.7109375" style="128" customWidth="1"/>
    <col min="5" max="5" width="3.7109375" style="128" customWidth="1"/>
    <col min="6" max="9" width="10.140625" style="128" customWidth="1"/>
    <col min="10" max="10" width="12.42578125" style="128" customWidth="1"/>
    <col min="11" max="11" width="7.85546875" style="128" customWidth="1"/>
    <col min="12" max="16384" width="10.7109375" style="128"/>
  </cols>
  <sheetData>
    <row r="1" spans="1:11" s="127" customFormat="1" ht="15.6">
      <c r="A1" s="1113" t="str">
        <f>+Index!$A$1</f>
        <v>Office of the State Controller</v>
      </c>
      <c r="B1" s="1113"/>
      <c r="C1" s="1113"/>
      <c r="D1" s="1113"/>
      <c r="E1" s="1113"/>
      <c r="F1" s="1113"/>
      <c r="G1" s="1113"/>
      <c r="H1" s="1113"/>
      <c r="I1" s="1113"/>
      <c r="J1" s="1113"/>
      <c r="K1" s="1112"/>
    </row>
    <row r="2" spans="1:11" s="127" customFormat="1" ht="15.6">
      <c r="A2" s="1150" t="str">
        <f>+Index!$A$2</f>
        <v>2023 Year-End ACFR Package</v>
      </c>
      <c r="B2" s="1150"/>
      <c r="C2" s="1150"/>
      <c r="D2" s="1150"/>
      <c r="E2" s="1150"/>
      <c r="F2" s="1150"/>
      <c r="G2" s="1150"/>
      <c r="H2" s="1150"/>
      <c r="I2" s="1150"/>
      <c r="J2" s="1150"/>
      <c r="K2" s="1112"/>
    </row>
    <row r="3" spans="1:11" s="127" customFormat="1" ht="15.6">
      <c r="A3" s="1150" t="s">
        <v>850</v>
      </c>
      <c r="B3" s="1150"/>
      <c r="C3" s="1150"/>
      <c r="D3" s="1150"/>
      <c r="E3" s="1150"/>
      <c r="F3" s="1150"/>
      <c r="G3" s="1150"/>
      <c r="H3" s="1150"/>
      <c r="I3" s="1150"/>
      <c r="J3" s="1150"/>
      <c r="K3" s="1112"/>
    </row>
    <row r="4" spans="1:11" ht="18" customHeight="1">
      <c r="G4" s="129" t="s">
        <v>146</v>
      </c>
    </row>
    <row r="5" spans="1:11" ht="15.6">
      <c r="A5" s="769"/>
      <c r="B5" s="130"/>
      <c r="C5" s="156"/>
      <c r="D5" s="131"/>
      <c r="F5" s="768" t="s">
        <v>479</v>
      </c>
      <c r="G5" s="1080" t="str">
        <f>+Index!$D$10</f>
        <v>C0</v>
      </c>
      <c r="H5" s="1080"/>
      <c r="I5" s="1080"/>
      <c r="J5" s="1080"/>
    </row>
    <row r="6" spans="1:11" ht="15">
      <c r="A6" s="391" t="s">
        <v>851</v>
      </c>
      <c r="B6" s="879" t="s">
        <v>569</v>
      </c>
      <c r="C6" s="132"/>
      <c r="D6" s="133"/>
      <c r="F6" s="768" t="s">
        <v>480</v>
      </c>
      <c r="G6" s="1076" t="str">
        <f>+Index!$D$9</f>
        <v>Alamance Community College</v>
      </c>
      <c r="H6" s="1076"/>
      <c r="I6" s="1076"/>
      <c r="J6" s="1076"/>
    </row>
    <row r="7" spans="1:11">
      <c r="F7" s="768" t="s">
        <v>481</v>
      </c>
      <c r="G7" s="1094" t="str">
        <f>CONCATENATE(Index!$D$11," ",Index!$D$12)</f>
        <v xml:space="preserve"> </v>
      </c>
      <c r="H7" s="1094"/>
      <c r="I7" s="1094"/>
      <c r="J7" s="1094"/>
    </row>
    <row r="8" spans="1:11" ht="16.2" thickBot="1">
      <c r="A8" s="134"/>
      <c r="B8" s="134"/>
      <c r="C8" s="134"/>
      <c r="D8" s="134"/>
      <c r="E8" s="134"/>
      <c r="F8" s="134"/>
      <c r="G8" s="134"/>
      <c r="H8" s="134"/>
      <c r="I8" s="134"/>
      <c r="J8" s="134"/>
    </row>
    <row r="9" spans="1:11" ht="12" customHeight="1">
      <c r="A9" s="135" t="s">
        <v>852</v>
      </c>
    </row>
    <row r="10" spans="1:11" ht="13.5" customHeight="1">
      <c r="A10" s="135" t="s">
        <v>853</v>
      </c>
    </row>
    <row r="11" spans="1:11">
      <c r="A11" s="135" t="s">
        <v>854</v>
      </c>
    </row>
    <row r="13" spans="1:11">
      <c r="A13" s="128" t="s">
        <v>855</v>
      </c>
    </row>
    <row r="14" spans="1:11">
      <c r="A14" s="128" t="s">
        <v>856</v>
      </c>
    </row>
    <row r="15" spans="1:11">
      <c r="A15" s="36" t="s">
        <v>857</v>
      </c>
    </row>
    <row r="16" spans="1:11">
      <c r="A16" s="610" t="s">
        <v>858</v>
      </c>
    </row>
    <row r="17" spans="1:10" ht="13.8" thickBot="1">
      <c r="A17" s="136"/>
      <c r="B17" s="136"/>
      <c r="C17" s="136"/>
      <c r="D17" s="136"/>
      <c r="E17" s="136"/>
      <c r="F17" s="136"/>
      <c r="G17" s="136"/>
      <c r="H17" s="136"/>
      <c r="I17" s="136"/>
      <c r="J17" s="136"/>
    </row>
    <row r="18" spans="1:10">
      <c r="A18" s="137" t="s">
        <v>859</v>
      </c>
      <c r="B18" s="137"/>
      <c r="C18" s="137"/>
      <c r="D18" s="137"/>
      <c r="E18" s="137"/>
      <c r="F18" s="137"/>
      <c r="G18" s="137"/>
      <c r="H18" s="137"/>
      <c r="I18" s="137"/>
    </row>
    <row r="19" spans="1:10">
      <c r="A19" s="128" t="s">
        <v>860</v>
      </c>
    </row>
    <row r="20" spans="1:10">
      <c r="A20" s="128" t="s">
        <v>861</v>
      </c>
    </row>
    <row r="22" spans="1:10">
      <c r="A22" s="128" t="s">
        <v>862</v>
      </c>
    </row>
    <row r="23" spans="1:10">
      <c r="A23" s="128" t="s">
        <v>863</v>
      </c>
    </row>
    <row r="25" spans="1:10">
      <c r="A25" s="135" t="s">
        <v>864</v>
      </c>
    </row>
    <row r="26" spans="1:10">
      <c r="A26" s="128" t="s">
        <v>865</v>
      </c>
    </row>
    <row r="27" spans="1:10">
      <c r="F27" s="138" t="s">
        <v>501</v>
      </c>
      <c r="G27" s="272"/>
      <c r="H27" s="138" t="s">
        <v>502</v>
      </c>
      <c r="I27" s="275"/>
    </row>
    <row r="28" spans="1:10">
      <c r="A28" s="1071" t="str">
        <f>IF(ISTEXT(G27), "Response for Yes needed", " ")</f>
        <v xml:space="preserve"> </v>
      </c>
      <c r="B28" s="1070"/>
      <c r="C28" s="1070"/>
      <c r="F28" s="135"/>
      <c r="H28" s="1069" t="str">
        <f>IF(AND(ISBLANK(G27),ISBLANK(I27))=TRUE,"Answer Missing"," ")</f>
        <v>Answer Missing</v>
      </c>
      <c r="I28" s="1070"/>
    </row>
    <row r="29" spans="1:10">
      <c r="A29" s="128" t="s">
        <v>866</v>
      </c>
      <c r="F29" s="135"/>
      <c r="H29" s="135"/>
    </row>
    <row r="30" spans="1:10">
      <c r="A30" s="128" t="s">
        <v>867</v>
      </c>
    </row>
    <row r="31" spans="1:10">
      <c r="B31" s="128" t="s">
        <v>868</v>
      </c>
      <c r="D31" s="273"/>
      <c r="E31" s="273"/>
      <c r="F31" s="273"/>
      <c r="G31" s="273"/>
      <c r="H31" s="273"/>
      <c r="I31" s="273"/>
      <c r="J31" s="273"/>
    </row>
    <row r="32" spans="1:10">
      <c r="B32" s="128" t="s">
        <v>869</v>
      </c>
      <c r="D32" s="274"/>
      <c r="E32" s="274"/>
      <c r="F32" s="274"/>
      <c r="G32" s="274"/>
      <c r="H32" s="274"/>
      <c r="I32" s="274"/>
      <c r="J32" s="274"/>
    </row>
    <row r="33" spans="1:10" ht="16.2" thickBot="1">
      <c r="A33" s="134"/>
      <c r="B33" s="134"/>
      <c r="C33" s="134"/>
      <c r="D33" s="134"/>
      <c r="E33" s="134"/>
      <c r="F33" s="134"/>
      <c r="G33" s="134"/>
      <c r="H33" s="134"/>
      <c r="I33" s="134"/>
      <c r="J33" s="134"/>
    </row>
    <row r="34" spans="1:10">
      <c r="A34" s="137" t="s">
        <v>870</v>
      </c>
      <c r="B34" s="137"/>
      <c r="C34" s="137"/>
      <c r="D34" s="137"/>
      <c r="E34" s="137"/>
      <c r="F34" s="137"/>
      <c r="G34" s="137"/>
      <c r="H34" s="137"/>
      <c r="I34" s="137"/>
    </row>
    <row r="35" spans="1:10">
      <c r="A35" s="128" t="s">
        <v>871</v>
      </c>
    </row>
    <row r="36" spans="1:10">
      <c r="F36" s="138" t="s">
        <v>501</v>
      </c>
      <c r="G36" s="272"/>
      <c r="H36" s="138" t="s">
        <v>502</v>
      </c>
      <c r="I36" s="275"/>
    </row>
    <row r="37" spans="1:10">
      <c r="A37" s="1071" t="str">
        <f>IF(ISTEXT(G36), "Response for Yes needed", " ")</f>
        <v xml:space="preserve"> </v>
      </c>
      <c r="B37" s="1070"/>
      <c r="C37" s="1070"/>
      <c r="F37" s="135"/>
      <c r="H37" s="1069" t="str">
        <f>IF(AND(ISBLANK(G36),ISBLANK(I36))=TRUE,"Answer Missing"," ")</f>
        <v>Answer Missing</v>
      </c>
      <c r="I37" s="1070"/>
    </row>
    <row r="38" spans="1:10">
      <c r="A38" s="128" t="s">
        <v>872</v>
      </c>
      <c r="F38" s="135"/>
      <c r="H38" s="135"/>
    </row>
    <row r="39" spans="1:10">
      <c r="A39" s="128" t="s">
        <v>873</v>
      </c>
      <c r="F39" s="135"/>
      <c r="H39" s="135"/>
    </row>
    <row r="40" spans="1:10" ht="15.6">
      <c r="A40" s="880" t="s">
        <v>874</v>
      </c>
      <c r="B40" s="130"/>
      <c r="C40" s="130"/>
      <c r="D40" s="130"/>
      <c r="E40" s="130"/>
      <c r="F40" s="130"/>
      <c r="G40" s="130"/>
      <c r="H40" s="130"/>
      <c r="I40" s="130"/>
      <c r="J40" s="130"/>
    </row>
    <row r="41" spans="1:10">
      <c r="A41" s="768" t="s">
        <v>875</v>
      </c>
      <c r="B41" s="1151"/>
      <c r="C41" s="1151"/>
      <c r="D41" s="1151"/>
      <c r="E41" s="1151"/>
      <c r="F41" s="1151"/>
      <c r="G41" s="1151"/>
      <c r="H41" s="769" t="s">
        <v>876</v>
      </c>
      <c r="I41" s="1152"/>
      <c r="J41" s="1152"/>
    </row>
    <row r="42" spans="1:10">
      <c r="A42" s="770"/>
      <c r="B42" s="771"/>
      <c r="C42" s="771"/>
      <c r="D42" s="771"/>
      <c r="E42" s="771"/>
      <c r="F42" s="771"/>
      <c r="G42" s="771"/>
      <c r="H42" s="771"/>
      <c r="I42" s="771"/>
      <c r="J42" s="772"/>
    </row>
    <row r="43" spans="1:10">
      <c r="A43" s="137" t="s">
        <v>877</v>
      </c>
      <c r="B43" s="137"/>
      <c r="C43" s="137"/>
      <c r="D43" s="137"/>
      <c r="E43" s="137"/>
      <c r="F43" s="137"/>
      <c r="G43" s="137"/>
      <c r="H43" s="137"/>
      <c r="I43" s="137"/>
    </row>
    <row r="44" spans="1:10">
      <c r="A44" s="128" t="s">
        <v>878</v>
      </c>
      <c r="F44" s="135"/>
      <c r="H44" s="135"/>
    </row>
    <row r="45" spans="1:10">
      <c r="A45" s="128" t="s">
        <v>879</v>
      </c>
      <c r="F45" s="135"/>
      <c r="H45" s="135"/>
    </row>
    <row r="46" spans="1:10" ht="12.75" customHeight="1">
      <c r="F46" s="135"/>
      <c r="H46" s="135"/>
    </row>
    <row r="47" spans="1:10" ht="12.75" customHeight="1">
      <c r="A47" s="135"/>
      <c r="B47" s="135"/>
      <c r="C47" s="135"/>
      <c r="D47" s="135"/>
      <c r="E47" s="135"/>
      <c r="F47" s="135"/>
      <c r="G47" s="135"/>
      <c r="H47" s="135"/>
      <c r="I47" s="135"/>
      <c r="J47" s="135"/>
    </row>
    <row r="48" spans="1:10" ht="12.75" customHeight="1">
      <c r="A48" s="139" t="s">
        <v>880</v>
      </c>
      <c r="B48" s="139"/>
      <c r="C48" s="135"/>
      <c r="D48" s="135"/>
      <c r="E48" s="135"/>
      <c r="F48" s="135"/>
      <c r="G48" s="135"/>
      <c r="H48" s="135"/>
      <c r="I48" s="135"/>
      <c r="J48" s="135"/>
    </row>
    <row r="49" spans="1:10" ht="12.75" customHeight="1">
      <c r="A49" s="128" t="s">
        <v>881</v>
      </c>
    </row>
    <row r="50" spans="1:10" ht="15" customHeight="1">
      <c r="A50" s="128" t="s">
        <v>882</v>
      </c>
      <c r="J50" s="275"/>
    </row>
    <row r="51" spans="1:10" ht="15" customHeight="1">
      <c r="A51" s="128" t="s">
        <v>883</v>
      </c>
      <c r="J51" s="276"/>
    </row>
    <row r="52" spans="1:10">
      <c r="A52" s="128" t="s">
        <v>884</v>
      </c>
    </row>
    <row r="53" spans="1:10">
      <c r="I53" s="1069" t="str">
        <f>IF(AND(ISBLANK(J50),ISBLANK(J51))=TRUE,"Answer Missing"," ")</f>
        <v>Answer Missing</v>
      </c>
      <c r="J53" s="1070"/>
    </row>
    <row r="63" spans="1:10" ht="15.9" customHeight="1"/>
    <row r="64" spans="1:10" ht="6" customHeight="1"/>
    <row r="66" ht="9.9" customHeight="1"/>
    <row r="69" ht="6" customHeight="1"/>
    <row r="70" ht="12.75" customHeight="1"/>
    <row r="74" ht="9.9" customHeight="1"/>
    <row r="75" ht="12.75" customHeight="1"/>
    <row r="77" ht="15.9" customHeight="1"/>
    <row r="78" ht="6" customHeight="1"/>
    <row r="80" ht="6" customHeight="1"/>
    <row r="81" ht="9.9" customHeight="1"/>
    <row r="82" ht="9.9" customHeight="1"/>
    <row r="83" ht="9.9" customHeight="1"/>
    <row r="84" ht="9.9" customHeight="1"/>
    <row r="85" ht="9.9" customHeight="1"/>
    <row r="86" ht="9.9" customHeight="1"/>
    <row r="87" ht="9.9" customHeight="1"/>
    <row r="88" ht="9.9" customHeight="1"/>
    <row r="89" ht="9.9" customHeight="1"/>
    <row r="90" ht="6" customHeight="1"/>
    <row r="91" ht="9.9" customHeight="1"/>
    <row r="92" ht="9.9" customHeight="1"/>
    <row r="93" ht="9.9" customHeight="1"/>
    <row r="94" ht="9.9" customHeight="1"/>
    <row r="95" ht="9.9" customHeight="1"/>
    <row r="96" ht="6" customHeight="1"/>
    <row r="97" ht="9.9" customHeight="1"/>
    <row r="98" ht="6" customHeight="1"/>
    <row r="101" ht="9.9" customHeight="1"/>
  </sheetData>
  <sheetProtection algorithmName="SHA-512" hashValue="jZ1WaBcSuPtEALthvnRF4nYmZmVq5CI2HuUQ2cY9na6lil+Geh24zbm7XYnUgJeeaJ+BOu3CKxdDJPRMbLbegw==" saltValue="ZZX6xbNGICrsk2wx1FFeKA==" spinCount="100000" sheet="1" objects="1" scenarios="1" autoFilter="0"/>
  <mergeCells count="15">
    <mergeCell ref="H37:I37"/>
    <mergeCell ref="A37:C37"/>
    <mergeCell ref="I53:J53"/>
    <mergeCell ref="A28:C28"/>
    <mergeCell ref="G6:J6"/>
    <mergeCell ref="G7:J7"/>
    <mergeCell ref="H28:I28"/>
    <mergeCell ref="B41:E41"/>
    <mergeCell ref="F41:G41"/>
    <mergeCell ref="I41:J41"/>
    <mergeCell ref="G5:J5"/>
    <mergeCell ref="K1:K3"/>
    <mergeCell ref="A1:J1"/>
    <mergeCell ref="A2:J2"/>
    <mergeCell ref="A3:J3"/>
  </mergeCells>
  <phoneticPr fontId="43" type="noConversion"/>
  <conditionalFormatting sqref="A28">
    <cfRule type="containsText" dxfId="31" priority="3" stopIfTrue="1" operator="containsText" text="Response for Yes needed">
      <formula>NOT(ISERROR(SEARCH("Response for Yes needed",A28)))</formula>
    </cfRule>
    <cfRule type="containsText" dxfId="30" priority="4" stopIfTrue="1" operator="containsText" text="Response for Yes needed">
      <formula>NOT(ISERROR(SEARCH("Response for Yes needed",A28)))</formula>
    </cfRule>
  </conditionalFormatting>
  <conditionalFormatting sqref="A37">
    <cfRule type="containsText" dxfId="29" priority="2" stopIfTrue="1" operator="containsText" text="Response for Yes needed">
      <formula>NOT(ISERROR(SEARCH("Response for Yes needed",A37)))</formula>
    </cfRule>
  </conditionalFormatting>
  <conditionalFormatting sqref="A37:C37">
    <cfRule type="containsText" dxfId="28" priority="1" stopIfTrue="1" operator="containsText" text="Response for Yes needed">
      <formula>NOT(ISERROR(SEARCH("Response for Yes needed",A37)))</formula>
    </cfRule>
  </conditionalFormatting>
  <conditionalFormatting sqref="H28">
    <cfRule type="containsText" dxfId="27" priority="9" stopIfTrue="1" operator="containsText" text="Answer Missing">
      <formula>NOT(ISERROR(SEARCH("Answer Missing",H28)))</formula>
    </cfRule>
  </conditionalFormatting>
  <conditionalFormatting sqref="H37:I37">
    <cfRule type="containsText" dxfId="26" priority="8" stopIfTrue="1" operator="containsText" text="Answer Missing">
      <formula>NOT(ISERROR(SEARCH("Answer Missing",H37)))</formula>
    </cfRule>
  </conditionalFormatting>
  <conditionalFormatting sqref="I53">
    <cfRule type="containsText" dxfId="25" priority="5" stopIfTrue="1" operator="containsText" text="Answer Missing">
      <formula>NOT(ISERROR(SEARCH("Answer Missing",I53)))</formula>
    </cfRule>
  </conditionalFormatting>
  <conditionalFormatting sqref="K1:K3">
    <cfRule type="cellIs" dxfId="24" priority="10" stopIfTrue="1" operator="equal">
      <formula>"na"</formula>
    </cfRule>
  </conditionalFormatting>
  <hyperlinks>
    <hyperlink ref="A1:J1" location="Index!A1" display="Index!A1" xr:uid="{00000000-0004-0000-0D00-000000000000}"/>
  </hyperlinks>
  <printOptions horizontalCentered="1"/>
  <pageMargins left="0.5" right="0.25" top="0.5" bottom="0.25" header="0.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V141"/>
  <sheetViews>
    <sheetView showGridLines="0" zoomScaleNormal="100" workbookViewId="0">
      <selection activeCell="K24" sqref="K24"/>
    </sheetView>
  </sheetViews>
  <sheetFormatPr defaultColWidth="19.42578125" defaultRowHeight="13.2"/>
  <cols>
    <col min="1" max="1" width="21.85546875" style="224" customWidth="1"/>
    <col min="2" max="2" width="18.28515625" style="224" customWidth="1"/>
    <col min="3" max="3" width="4" style="224" customWidth="1"/>
    <col min="4" max="4" width="2" style="224" customWidth="1"/>
    <col min="5" max="5" width="48.42578125" style="224" customWidth="1"/>
    <col min="6" max="6" width="3.7109375" style="224" customWidth="1"/>
    <col min="7" max="7" width="34.7109375" style="224" customWidth="1"/>
    <col min="8" max="8" width="2.140625" style="224" customWidth="1"/>
    <col min="9" max="9" width="18.42578125" style="224" customWidth="1"/>
    <col min="10" max="10" width="13" style="224" customWidth="1"/>
    <col min="11" max="11" width="2" style="224" customWidth="1"/>
    <col min="12" max="12" width="13" style="224" customWidth="1"/>
    <col min="13" max="13" width="2" style="224" customWidth="1"/>
    <col min="14" max="14" width="11.42578125" style="224" customWidth="1"/>
    <col min="15" max="15" width="2" style="224" customWidth="1"/>
    <col min="16" max="16" width="10.85546875" style="224" customWidth="1"/>
    <col min="17" max="19" width="2" style="224" customWidth="1"/>
    <col min="20" max="16384" width="19.42578125" style="224"/>
  </cols>
  <sheetData>
    <row r="1" spans="1:22" s="240" customFormat="1" ht="15" customHeight="1">
      <c r="A1" s="1165" t="str">
        <f>+Index!$A$1</f>
        <v>Office of the State Controller</v>
      </c>
      <c r="B1" s="1165"/>
      <c r="C1" s="1165"/>
      <c r="D1" s="1165"/>
      <c r="E1" s="1165"/>
      <c r="F1" s="1165"/>
      <c r="G1" s="1165"/>
      <c r="H1" s="1165"/>
      <c r="I1" s="1075" t="str">
        <f>IF(Index!$B$55="na","NA","")</f>
        <v/>
      </c>
      <c r="J1" s="238"/>
      <c r="K1" s="238"/>
      <c r="L1" s="238"/>
      <c r="M1" s="238"/>
      <c r="N1" s="239"/>
      <c r="O1" s="239"/>
      <c r="P1" s="239"/>
      <c r="Q1" s="239"/>
      <c r="R1" s="239"/>
      <c r="S1" s="239"/>
      <c r="T1" s="239"/>
      <c r="U1" s="239"/>
      <c r="V1" s="239"/>
    </row>
    <row r="2" spans="1:22" s="240" customFormat="1" ht="15" customHeight="1">
      <c r="A2" s="1166" t="str">
        <f>+Index!$A$2</f>
        <v>2023 Year-End ACFR Package</v>
      </c>
      <c r="B2" s="1166"/>
      <c r="C2" s="1166"/>
      <c r="D2" s="1166"/>
      <c r="E2" s="1166"/>
      <c r="F2" s="1166"/>
      <c r="G2" s="1166"/>
      <c r="H2" s="1166"/>
      <c r="I2" s="1075"/>
      <c r="J2" s="238"/>
      <c r="K2" s="238"/>
      <c r="L2" s="238"/>
      <c r="M2" s="238"/>
      <c r="N2" s="239"/>
      <c r="O2" s="239"/>
      <c r="P2" s="239"/>
      <c r="Q2" s="239"/>
      <c r="R2" s="239"/>
      <c r="S2" s="239"/>
      <c r="T2" s="239"/>
      <c r="U2" s="239"/>
      <c r="V2" s="239"/>
    </row>
    <row r="3" spans="1:22" s="240" customFormat="1" ht="15" customHeight="1">
      <c r="A3" s="1166" t="s">
        <v>885</v>
      </c>
      <c r="B3" s="1166"/>
      <c r="C3" s="1166"/>
      <c r="D3" s="1166"/>
      <c r="E3" s="1166"/>
      <c r="F3" s="1166"/>
      <c r="G3" s="1166"/>
      <c r="H3" s="1166"/>
      <c r="I3" s="1075"/>
      <c r="J3" s="238"/>
      <c r="K3" s="238"/>
      <c r="L3" s="238"/>
      <c r="M3" s="238"/>
      <c r="N3" s="239"/>
      <c r="O3" s="239"/>
      <c r="P3" s="239"/>
      <c r="Q3" s="239"/>
      <c r="R3" s="239"/>
      <c r="S3" s="239"/>
      <c r="T3" s="239"/>
      <c r="U3" s="239"/>
      <c r="V3" s="239"/>
    </row>
    <row r="4" spans="1:22" s="240" customFormat="1" ht="15" customHeight="1">
      <c r="A4" s="1008"/>
      <c r="B4" s="1008"/>
      <c r="C4" s="1008"/>
      <c r="D4" s="1008"/>
      <c r="E4" s="1008"/>
      <c r="F4" s="1008"/>
      <c r="G4" s="1008"/>
      <c r="H4" s="241"/>
      <c r="I4" s="241"/>
      <c r="J4" s="238"/>
      <c r="K4" s="238"/>
      <c r="L4" s="238"/>
      <c r="M4" s="238"/>
      <c r="N4" s="239"/>
      <c r="O4" s="239"/>
      <c r="P4" s="239"/>
      <c r="Q4" s="239"/>
      <c r="R4" s="239"/>
      <c r="S4" s="239"/>
      <c r="T4" s="239"/>
      <c r="U4" s="239"/>
      <c r="V4" s="239"/>
    </row>
    <row r="5" spans="1:22" s="245" customFormat="1" ht="15" customHeight="1">
      <c r="A5" s="881"/>
      <c r="B5" s="882"/>
      <c r="C5" s="882"/>
      <c r="D5" s="508"/>
      <c r="E5" s="883" t="s">
        <v>479</v>
      </c>
      <c r="F5" s="883"/>
      <c r="G5" s="1162" t="str">
        <f>+Index!$D$10</f>
        <v>C0</v>
      </c>
      <c r="H5" s="1162"/>
      <c r="I5" s="242"/>
      <c r="J5" s="243"/>
      <c r="K5" s="243"/>
      <c r="L5" s="228"/>
      <c r="M5" s="244"/>
      <c r="N5" s="239"/>
      <c r="O5" s="239"/>
      <c r="P5" s="239"/>
      <c r="Q5" s="239"/>
      <c r="R5" s="239"/>
      <c r="S5" s="239"/>
      <c r="T5" s="239"/>
      <c r="U5" s="239"/>
      <c r="V5" s="239"/>
    </row>
    <row r="6" spans="1:22" s="245" customFormat="1" ht="15" customHeight="1">
      <c r="A6" s="391" t="s">
        <v>851</v>
      </c>
      <c r="B6" s="884" t="s">
        <v>569</v>
      </c>
      <c r="C6" s="882"/>
      <c r="D6" s="397"/>
      <c r="E6" s="883" t="s">
        <v>480</v>
      </c>
      <c r="F6" s="883"/>
      <c r="G6" s="1163" t="str">
        <f>+Index!$D$9</f>
        <v>Alamance Community College</v>
      </c>
      <c r="H6" s="1163"/>
      <c r="I6" s="243"/>
      <c r="J6" s="243"/>
      <c r="K6" s="243"/>
      <c r="L6" s="228"/>
      <c r="N6" s="239"/>
      <c r="O6" s="239"/>
      <c r="P6" s="239"/>
      <c r="Q6" s="239"/>
      <c r="R6" s="239"/>
      <c r="S6" s="239"/>
      <c r="T6" s="239"/>
      <c r="U6" s="239"/>
      <c r="V6" s="239"/>
    </row>
    <row r="7" spans="1:22" s="245" customFormat="1" ht="15" customHeight="1">
      <c r="A7" s="397"/>
      <c r="B7" s="397"/>
      <c r="C7" s="397"/>
      <c r="D7" s="397"/>
      <c r="E7" s="883" t="s">
        <v>481</v>
      </c>
      <c r="F7" s="883"/>
      <c r="G7" s="1164" t="str">
        <f>CONCATENATE(Index!$D$11," ",Index!$D$12)</f>
        <v xml:space="preserve"> </v>
      </c>
      <c r="H7" s="1164"/>
      <c r="I7" s="243"/>
      <c r="J7" s="243"/>
      <c r="K7" s="243"/>
      <c r="L7" s="228"/>
      <c r="N7" s="239"/>
      <c r="O7" s="239"/>
      <c r="P7" s="239"/>
      <c r="Q7" s="239"/>
      <c r="R7" s="239"/>
      <c r="S7" s="239"/>
      <c r="T7" s="239"/>
      <c r="U7" s="239"/>
      <c r="V7" s="239"/>
    </row>
    <row r="8" spans="1:22" s="245" customFormat="1" ht="15" customHeight="1" thickBot="1">
      <c r="A8" s="509"/>
      <c r="B8" s="509"/>
      <c r="C8" s="509"/>
      <c r="D8" s="509"/>
      <c r="E8" s="885"/>
      <c r="F8" s="885"/>
      <c r="G8" s="509"/>
      <c r="H8" s="510"/>
      <c r="I8" s="243"/>
      <c r="J8" s="243"/>
      <c r="K8" s="243"/>
      <c r="L8" s="228"/>
      <c r="N8" s="239"/>
      <c r="O8" s="239"/>
      <c r="P8" s="239"/>
      <c r="Q8" s="239"/>
      <c r="R8" s="239"/>
      <c r="S8" s="239"/>
      <c r="T8" s="239"/>
      <c r="U8" s="239"/>
      <c r="V8" s="239"/>
    </row>
    <row r="9" spans="1:22" s="245" customFormat="1" ht="15" customHeight="1" thickBot="1">
      <c r="A9" s="397"/>
      <c r="B9" s="397"/>
      <c r="C9" s="397"/>
      <c r="D9" s="397"/>
      <c r="E9" s="397"/>
      <c r="F9" s="397"/>
      <c r="G9" s="397"/>
      <c r="I9" s="228"/>
      <c r="J9" s="228"/>
      <c r="K9" s="228"/>
      <c r="L9" s="228"/>
      <c r="N9" s="239"/>
      <c r="O9" s="239"/>
      <c r="P9" s="239"/>
      <c r="Q9" s="239"/>
      <c r="R9" s="239"/>
      <c r="S9" s="239"/>
      <c r="T9" s="239"/>
      <c r="U9" s="239"/>
      <c r="V9" s="239"/>
    </row>
    <row r="10" spans="1:22" s="245" customFormat="1" ht="12.75" customHeight="1" thickTop="1">
      <c r="A10" s="403" t="s">
        <v>886</v>
      </c>
      <c r="B10" s="404"/>
      <c r="C10" s="404"/>
      <c r="D10" s="404"/>
      <c r="E10" s="404"/>
      <c r="F10" s="405"/>
      <c r="G10" s="406"/>
      <c r="H10" s="401"/>
      <c r="I10" s="228"/>
      <c r="J10" s="228"/>
      <c r="K10" s="228"/>
      <c r="L10" s="228"/>
      <c r="N10" s="239"/>
      <c r="O10" s="239"/>
      <c r="P10" s="239"/>
      <c r="Q10" s="239"/>
      <c r="R10" s="239"/>
      <c r="S10" s="239"/>
      <c r="T10" s="239"/>
      <c r="U10" s="239"/>
      <c r="V10" s="239"/>
    </row>
    <row r="11" spans="1:22" s="245" customFormat="1" ht="12.75" customHeight="1">
      <c r="A11" s="407" t="s">
        <v>887</v>
      </c>
      <c r="B11" s="408"/>
      <c r="C11" s="408"/>
      <c r="D11" s="408"/>
      <c r="E11" s="408"/>
      <c r="F11" s="409"/>
      <c r="G11" s="410"/>
      <c r="H11" s="401"/>
      <c r="I11" s="228"/>
      <c r="J11" s="228"/>
      <c r="K11" s="228"/>
      <c r="L11" s="228"/>
      <c r="N11" s="239"/>
      <c r="O11" s="239"/>
      <c r="P11" s="239"/>
      <c r="Q11" s="239"/>
      <c r="R11" s="239"/>
      <c r="S11" s="239"/>
      <c r="T11" s="239"/>
      <c r="U11" s="239"/>
      <c r="V11" s="239"/>
    </row>
    <row r="12" spans="1:22" s="245" customFormat="1" ht="12.75" customHeight="1">
      <c r="A12" s="407" t="s">
        <v>888</v>
      </c>
      <c r="B12" s="408"/>
      <c r="C12" s="408"/>
      <c r="D12" s="408"/>
      <c r="E12" s="408"/>
      <c r="F12" s="409"/>
      <c r="G12" s="410"/>
      <c r="H12" s="401"/>
      <c r="I12" s="228"/>
      <c r="J12" s="228"/>
      <c r="K12" s="228"/>
      <c r="L12" s="228"/>
      <c r="N12" s="239"/>
      <c r="O12" s="239"/>
      <c r="P12" s="239"/>
      <c r="Q12" s="239"/>
      <c r="R12" s="239"/>
      <c r="S12" s="239"/>
      <c r="T12" s="239"/>
      <c r="U12" s="239"/>
      <c r="V12" s="239"/>
    </row>
    <row r="13" spans="1:22" s="245" customFormat="1" ht="12.75" customHeight="1">
      <c r="A13" s="407" t="s">
        <v>889</v>
      </c>
      <c r="B13" s="408"/>
      <c r="C13" s="408"/>
      <c r="D13" s="408"/>
      <c r="E13" s="408"/>
      <c r="F13" s="409"/>
      <c r="G13" s="410"/>
      <c r="H13" s="401"/>
      <c r="I13" s="228"/>
      <c r="J13" s="228"/>
      <c r="K13" s="228"/>
      <c r="L13" s="228"/>
      <c r="N13" s="239"/>
      <c r="O13" s="239"/>
      <c r="P13" s="239"/>
      <c r="Q13" s="239"/>
      <c r="R13" s="239"/>
      <c r="S13" s="239"/>
      <c r="T13" s="239"/>
      <c r="U13" s="239"/>
      <c r="V13" s="239"/>
    </row>
    <row r="14" spans="1:22" s="245" customFormat="1" ht="12.75" customHeight="1">
      <c r="A14" s="407" t="s">
        <v>890</v>
      </c>
      <c r="B14" s="408"/>
      <c r="C14" s="408"/>
      <c r="D14" s="408"/>
      <c r="E14" s="408"/>
      <c r="F14" s="409"/>
      <c r="G14" s="410"/>
      <c r="H14" s="401"/>
      <c r="N14" s="239"/>
      <c r="O14" s="239"/>
      <c r="P14" s="239"/>
      <c r="Q14" s="239"/>
      <c r="R14" s="239"/>
      <c r="S14" s="239"/>
      <c r="T14" s="239"/>
      <c r="U14" s="239"/>
      <c r="V14" s="239"/>
    </row>
    <row r="15" spans="1:22" s="246" customFormat="1" ht="12.75" customHeight="1">
      <c r="A15" s="407"/>
      <c r="B15" s="408"/>
      <c r="C15" s="408"/>
      <c r="D15" s="408"/>
      <c r="E15" s="408"/>
      <c r="F15" s="409"/>
      <c r="G15" s="410"/>
      <c r="H15" s="401"/>
      <c r="N15" s="247"/>
      <c r="O15" s="247"/>
      <c r="P15" s="247"/>
      <c r="Q15" s="247"/>
      <c r="R15" s="247"/>
      <c r="S15" s="247"/>
      <c r="T15" s="247"/>
      <c r="U15" s="247"/>
      <c r="V15" s="247"/>
    </row>
    <row r="16" spans="1:22" s="246" customFormat="1" ht="12.75" customHeight="1">
      <c r="A16" s="407" t="s">
        <v>891</v>
      </c>
      <c r="B16" s="408"/>
      <c r="C16" s="408"/>
      <c r="D16" s="408"/>
      <c r="E16" s="408"/>
      <c r="F16" s="409"/>
      <c r="G16" s="410"/>
      <c r="H16" s="401"/>
      <c r="N16" s="247"/>
      <c r="O16" s="247"/>
      <c r="P16" s="247"/>
      <c r="Q16" s="247"/>
      <c r="R16" s="247"/>
      <c r="S16" s="247"/>
      <c r="T16" s="247"/>
      <c r="U16" s="247"/>
      <c r="V16" s="247"/>
    </row>
    <row r="17" spans="1:22" s="246" customFormat="1" ht="14.1" customHeight="1" thickBot="1">
      <c r="A17" s="411" t="s">
        <v>892</v>
      </c>
      <c r="B17" s="412"/>
      <c r="C17" s="412"/>
      <c r="D17" s="412"/>
      <c r="E17" s="412"/>
      <c r="F17" s="412"/>
      <c r="G17" s="413"/>
      <c r="H17" s="407"/>
      <c r="N17" s="247"/>
      <c r="O17" s="247"/>
      <c r="P17" s="247"/>
      <c r="Q17" s="247"/>
      <c r="R17" s="247"/>
      <c r="S17" s="247"/>
      <c r="T17" s="247"/>
      <c r="U17" s="247"/>
      <c r="V17" s="247"/>
    </row>
    <row r="18" spans="1:22" s="246" customFormat="1" ht="14.4" thickTop="1">
      <c r="A18" s="391"/>
      <c r="B18" s="391"/>
      <c r="C18" s="391"/>
      <c r="D18" s="391"/>
      <c r="E18" s="391"/>
      <c r="F18" s="391"/>
      <c r="G18" s="391"/>
      <c r="H18" s="391"/>
      <c r="N18" s="247"/>
      <c r="O18" s="247"/>
      <c r="P18" s="247"/>
      <c r="Q18" s="247"/>
      <c r="R18" s="247"/>
      <c r="S18" s="247"/>
      <c r="T18" s="247"/>
      <c r="U18" s="247"/>
      <c r="V18" s="247"/>
    </row>
    <row r="19" spans="1:22" s="246" customFormat="1" ht="15.6">
      <c r="A19" s="735" t="s">
        <v>893</v>
      </c>
      <c r="B19" s="391"/>
      <c r="C19" s="391"/>
      <c r="D19" s="391"/>
      <c r="E19" s="391"/>
      <c r="F19" s="391"/>
      <c r="G19" s="391"/>
      <c r="H19" s="391"/>
      <c r="N19" s="247"/>
      <c r="O19" s="247"/>
      <c r="P19" s="247"/>
      <c r="Q19" s="247"/>
      <c r="R19" s="247"/>
      <c r="S19" s="247"/>
      <c r="T19" s="247"/>
      <c r="U19" s="247"/>
      <c r="V19" s="247"/>
    </row>
    <row r="20" spans="1:22" s="245" customFormat="1">
      <c r="A20" s="391" t="s">
        <v>894</v>
      </c>
      <c r="B20" s="391"/>
      <c r="C20" s="391"/>
      <c r="D20" s="391"/>
      <c r="E20" s="391"/>
      <c r="F20" s="391"/>
      <c r="G20" s="391"/>
      <c r="H20" s="391"/>
      <c r="I20" s="248"/>
      <c r="N20" s="239"/>
      <c r="O20" s="239"/>
      <c r="P20" s="239"/>
      <c r="Q20" s="239"/>
      <c r="R20" s="239"/>
      <c r="S20" s="239"/>
      <c r="T20" s="239"/>
      <c r="U20" s="239"/>
      <c r="V20" s="239"/>
    </row>
    <row r="21" spans="1:22" s="245" customFormat="1">
      <c r="A21" s="391" t="s">
        <v>895</v>
      </c>
      <c r="B21" s="391"/>
      <c r="C21" s="391"/>
      <c r="D21" s="391"/>
      <c r="E21" s="391"/>
      <c r="F21" s="391"/>
      <c r="G21" s="391"/>
      <c r="H21" s="391"/>
      <c r="I21" s="248"/>
      <c r="N21" s="239"/>
      <c r="O21" s="239"/>
      <c r="P21" s="239"/>
      <c r="Q21" s="239"/>
      <c r="R21" s="239"/>
      <c r="S21" s="239"/>
      <c r="T21" s="239"/>
      <c r="U21" s="239"/>
      <c r="V21" s="239"/>
    </row>
    <row r="22" spans="1:22" s="245" customFormat="1">
      <c r="A22" s="391" t="s">
        <v>896</v>
      </c>
      <c r="B22" s="391"/>
      <c r="C22" s="391"/>
      <c r="D22" s="391"/>
      <c r="E22" s="391"/>
      <c r="F22" s="391"/>
      <c r="G22" s="391"/>
      <c r="H22" s="391"/>
      <c r="I22" s="248"/>
      <c r="N22" s="239"/>
      <c r="O22" s="239"/>
      <c r="P22" s="239"/>
      <c r="Q22" s="239"/>
      <c r="R22" s="239"/>
      <c r="S22" s="239"/>
      <c r="T22" s="239"/>
      <c r="U22" s="239"/>
      <c r="V22" s="239"/>
    </row>
    <row r="23" spans="1:22" s="245" customFormat="1">
      <c r="A23" s="391"/>
      <c r="B23" s="391"/>
      <c r="C23" s="391"/>
      <c r="D23" s="391"/>
      <c r="E23" s="391"/>
      <c r="F23" s="391"/>
      <c r="G23" s="391"/>
      <c r="H23" s="391"/>
      <c r="I23" s="248"/>
      <c r="N23" s="239"/>
      <c r="O23" s="239"/>
      <c r="P23" s="239"/>
      <c r="Q23" s="239"/>
      <c r="R23" s="239"/>
      <c r="S23" s="239"/>
      <c r="T23" s="239"/>
      <c r="U23" s="239"/>
      <c r="V23" s="239"/>
    </row>
    <row r="24" spans="1:22" s="245" customFormat="1">
      <c r="A24" s="391" t="s">
        <v>897</v>
      </c>
      <c r="B24" s="391"/>
      <c r="C24" s="391"/>
      <c r="D24" s="391"/>
      <c r="E24" s="391"/>
      <c r="F24" s="391"/>
      <c r="G24" s="391"/>
      <c r="H24" s="391"/>
      <c r="N24" s="239"/>
      <c r="O24" s="239"/>
      <c r="P24" s="239"/>
      <c r="Q24" s="239"/>
      <c r="R24" s="239"/>
      <c r="S24" s="239"/>
      <c r="T24" s="239"/>
      <c r="U24" s="239"/>
      <c r="V24" s="239"/>
    </row>
    <row r="25" spans="1:22" s="245" customFormat="1">
      <c r="A25" s="391"/>
      <c r="B25" s="391"/>
      <c r="C25" s="391"/>
      <c r="D25" s="391"/>
      <c r="E25" s="391"/>
      <c r="F25" s="391"/>
      <c r="G25" s="391"/>
      <c r="H25" s="391"/>
      <c r="N25" s="239"/>
      <c r="O25" s="239"/>
      <c r="P25" s="239"/>
      <c r="Q25" s="239"/>
      <c r="R25" s="239"/>
      <c r="S25" s="239"/>
      <c r="T25" s="239"/>
      <c r="U25" s="239"/>
      <c r="V25" s="239"/>
    </row>
    <row r="26" spans="1:22" s="249" customFormat="1" ht="13.8">
      <c r="A26" s="392"/>
      <c r="B26" s="392"/>
      <c r="C26" s="392"/>
      <c r="D26" s="392" t="s">
        <v>898</v>
      </c>
      <c r="E26" s="392"/>
      <c r="F26" s="392"/>
      <c r="G26" s="392"/>
      <c r="H26" s="392"/>
      <c r="I26" s="239"/>
      <c r="J26" s="239"/>
      <c r="K26" s="239"/>
      <c r="L26" s="239"/>
      <c r="M26" s="239"/>
      <c r="N26" s="239"/>
      <c r="O26" s="239"/>
      <c r="P26" s="239"/>
      <c r="Q26" s="239"/>
      <c r="R26" s="239"/>
      <c r="S26" s="239"/>
      <c r="T26" s="239"/>
      <c r="U26" s="239"/>
      <c r="V26" s="239"/>
    </row>
    <row r="27" spans="1:22" s="245" customFormat="1" ht="15" customHeight="1">
      <c r="A27" s="392"/>
      <c r="B27" s="392"/>
      <c r="C27" s="392"/>
      <c r="D27" s="392" t="s">
        <v>899</v>
      </c>
      <c r="E27" s="392"/>
      <c r="F27" s="392"/>
      <c r="G27" s="392"/>
      <c r="H27" s="392"/>
      <c r="I27" s="239"/>
      <c r="J27" s="239"/>
      <c r="K27" s="239"/>
      <c r="L27" s="239"/>
      <c r="M27" s="239"/>
      <c r="N27" s="239"/>
      <c r="O27" s="239"/>
      <c r="P27" s="239"/>
      <c r="Q27" s="239"/>
      <c r="R27" s="239"/>
      <c r="S27" s="239"/>
      <c r="T27" s="239"/>
      <c r="U27" s="239"/>
      <c r="V27" s="239"/>
    </row>
    <row r="28" spans="1:22" s="245" customFormat="1" ht="15" customHeight="1">
      <c r="A28" s="392"/>
      <c r="B28" s="392"/>
      <c r="C28" s="392"/>
      <c r="D28" s="392" t="s">
        <v>900</v>
      </c>
      <c r="E28" s="392"/>
      <c r="F28" s="392"/>
      <c r="G28" s="392"/>
      <c r="H28" s="392"/>
      <c r="I28" s="239"/>
      <c r="J28" s="239"/>
      <c r="K28" s="239"/>
      <c r="L28" s="239"/>
      <c r="M28" s="239"/>
      <c r="N28" s="239"/>
      <c r="O28" s="239"/>
      <c r="P28" s="239"/>
      <c r="Q28" s="239"/>
      <c r="R28" s="239"/>
      <c r="S28" s="239"/>
      <c r="T28" s="239"/>
      <c r="U28" s="239"/>
      <c r="V28" s="239"/>
    </row>
    <row r="29" spans="1:22" s="245" customFormat="1" ht="15" customHeight="1">
      <c r="A29" s="392"/>
      <c r="B29" s="392"/>
      <c r="C29" s="392"/>
      <c r="D29" s="392" t="s">
        <v>901</v>
      </c>
      <c r="E29" s="392"/>
      <c r="F29" s="392"/>
      <c r="G29" s="392"/>
      <c r="H29" s="392"/>
      <c r="I29" s="239"/>
      <c r="J29" s="239"/>
      <c r="K29" s="239"/>
      <c r="L29" s="239"/>
      <c r="M29" s="239"/>
      <c r="N29" s="239"/>
      <c r="O29" s="239"/>
      <c r="P29" s="239"/>
      <c r="Q29" s="239"/>
      <c r="R29" s="239"/>
      <c r="S29" s="239"/>
      <c r="T29" s="239"/>
      <c r="U29" s="239"/>
      <c r="V29" s="239"/>
    </row>
    <row r="30" spans="1:22" s="245" customFormat="1" ht="15" customHeight="1" thickBot="1">
      <c r="A30" s="391"/>
      <c r="B30" s="391"/>
      <c r="C30" s="391"/>
      <c r="D30" s="393" t="s">
        <v>902</v>
      </c>
      <c r="E30" s="393"/>
      <c r="F30" s="393"/>
      <c r="G30" s="391"/>
      <c r="H30" s="391"/>
      <c r="I30" s="239"/>
      <c r="J30" s="239"/>
      <c r="K30" s="239"/>
      <c r="L30" s="239"/>
      <c r="M30" s="239"/>
      <c r="N30" s="239"/>
      <c r="O30" s="239"/>
      <c r="P30" s="239"/>
      <c r="Q30" s="239"/>
      <c r="R30" s="239"/>
      <c r="S30" s="239"/>
      <c r="T30" s="239"/>
      <c r="U30" s="239"/>
      <c r="V30" s="239"/>
    </row>
    <row r="31" spans="1:22" s="245" customFormat="1" ht="15" customHeight="1" thickTop="1">
      <c r="A31" s="391"/>
      <c r="B31" s="391"/>
      <c r="C31" s="391"/>
      <c r="D31" s="391"/>
      <c r="E31" s="391"/>
      <c r="F31" s="394"/>
      <c r="G31" s="394"/>
      <c r="H31" s="394"/>
      <c r="I31" s="239"/>
      <c r="J31" s="239"/>
      <c r="K31" s="239"/>
      <c r="L31" s="239"/>
      <c r="M31" s="239"/>
      <c r="N31" s="239"/>
      <c r="O31" s="239"/>
      <c r="P31" s="239"/>
      <c r="Q31" s="239"/>
      <c r="R31" s="239"/>
      <c r="S31" s="239"/>
      <c r="T31" s="239"/>
      <c r="U31" s="239"/>
      <c r="V31" s="239"/>
    </row>
    <row r="32" spans="1:22" s="245" customFormat="1" ht="15" customHeight="1">
      <c r="A32" s="391"/>
      <c r="B32" s="391"/>
      <c r="C32" s="391"/>
      <c r="D32" s="391"/>
      <c r="E32" s="391"/>
      <c r="F32" s="394"/>
      <c r="G32" s="394"/>
      <c r="H32" s="394"/>
      <c r="I32" s="239"/>
      <c r="J32" s="239"/>
      <c r="K32" s="239"/>
      <c r="L32" s="239"/>
      <c r="M32" s="239"/>
      <c r="N32" s="239"/>
      <c r="O32" s="239"/>
      <c r="P32" s="239"/>
      <c r="Q32" s="239"/>
      <c r="R32" s="239"/>
      <c r="S32" s="239"/>
      <c r="T32" s="239"/>
      <c r="U32" s="239"/>
      <c r="V32" s="239"/>
    </row>
    <row r="33" spans="1:22" s="245" customFormat="1" ht="15" customHeight="1">
      <c r="A33" s="391"/>
      <c r="B33" s="391"/>
      <c r="C33" s="391"/>
      <c r="D33" s="391"/>
      <c r="E33" s="391"/>
      <c r="F33" s="391"/>
      <c r="G33" s="395"/>
      <c r="H33" s="391"/>
      <c r="I33" s="239"/>
      <c r="J33" s="239"/>
      <c r="K33" s="239"/>
      <c r="L33" s="239"/>
      <c r="M33" s="239"/>
      <c r="N33" s="239"/>
      <c r="O33" s="239"/>
      <c r="P33" s="239"/>
      <c r="Q33" s="239"/>
      <c r="R33" s="239"/>
      <c r="S33" s="239"/>
      <c r="T33" s="239"/>
      <c r="U33" s="239"/>
      <c r="V33" s="239"/>
    </row>
    <row r="34" spans="1:22" s="245" customFormat="1" ht="57" customHeight="1">
      <c r="A34" s="391"/>
      <c r="B34" s="391"/>
      <c r="C34" s="391"/>
      <c r="D34" s="391"/>
      <c r="E34" s="391"/>
      <c r="F34" s="391"/>
      <c r="G34" s="402" t="s">
        <v>903</v>
      </c>
      <c r="H34" s="391"/>
      <c r="I34" s="239"/>
      <c r="J34" s="239"/>
      <c r="K34" s="239"/>
      <c r="L34" s="239"/>
      <c r="M34" s="239"/>
      <c r="N34" s="239"/>
      <c r="O34" s="239"/>
      <c r="P34" s="239"/>
      <c r="Q34" s="239"/>
      <c r="R34" s="239"/>
      <c r="S34" s="239"/>
      <c r="T34" s="239"/>
      <c r="U34" s="239"/>
      <c r="V34" s="239"/>
    </row>
    <row r="35" spans="1:22" s="245" customFormat="1" ht="15" customHeight="1">
      <c r="A35" s="391"/>
      <c r="B35" s="1153" t="s">
        <v>904</v>
      </c>
      <c r="C35" s="1082"/>
      <c r="D35" s="1082"/>
      <c r="E35" s="1082"/>
      <c r="F35" s="391"/>
      <c r="G35" s="390"/>
      <c r="I35" s="239"/>
      <c r="J35" s="239"/>
      <c r="K35" s="239"/>
      <c r="L35" s="239"/>
      <c r="M35" s="239"/>
      <c r="N35" s="239"/>
      <c r="O35" s="239"/>
      <c r="P35" s="239"/>
      <c r="Q35" s="239"/>
      <c r="R35" s="239"/>
      <c r="S35" s="239"/>
      <c r="T35" s="239"/>
      <c r="U35" s="239"/>
      <c r="V35" s="239"/>
    </row>
    <row r="36" spans="1:22" s="245" customFormat="1" ht="15" customHeight="1" thickBot="1">
      <c r="A36" s="391"/>
      <c r="B36" s="1154" t="s">
        <v>905</v>
      </c>
      <c r="C36" s="1155"/>
      <c r="D36" s="1155"/>
      <c r="E36" s="1155"/>
      <c r="F36" s="391"/>
      <c r="G36" s="399"/>
      <c r="I36" s="239"/>
      <c r="J36" s="239"/>
      <c r="K36" s="239"/>
      <c r="L36" s="239"/>
      <c r="M36" s="239"/>
      <c r="N36" s="239"/>
      <c r="O36" s="239"/>
      <c r="P36" s="239"/>
      <c r="Q36" s="239"/>
      <c r="R36" s="239"/>
      <c r="S36" s="239"/>
      <c r="T36" s="239"/>
      <c r="U36" s="239"/>
      <c r="V36" s="239"/>
    </row>
    <row r="37" spans="1:22" s="245" customFormat="1" ht="15" customHeight="1" thickBot="1">
      <c r="A37" s="391"/>
      <c r="B37" s="1156" t="s">
        <v>906</v>
      </c>
      <c r="C37" s="1157"/>
      <c r="D37" s="1157"/>
      <c r="E37" s="1157"/>
      <c r="F37" s="391"/>
      <c r="G37" s="400">
        <f>SUM(G35:G36)</f>
        <v>0</v>
      </c>
      <c r="I37" s="239"/>
      <c r="J37" s="239"/>
      <c r="K37" s="239"/>
      <c r="L37" s="239"/>
      <c r="M37" s="239"/>
      <c r="N37" s="239"/>
      <c r="O37" s="239"/>
      <c r="P37" s="239"/>
      <c r="Q37" s="239"/>
      <c r="R37" s="239"/>
      <c r="S37" s="239"/>
      <c r="T37" s="239"/>
      <c r="U37" s="239"/>
      <c r="V37" s="239"/>
    </row>
    <row r="38" spans="1:22" s="245" customFormat="1" ht="15" customHeight="1" thickTop="1">
      <c r="A38" s="391"/>
      <c r="B38" s="391"/>
      <c r="C38" s="391"/>
      <c r="D38" s="391"/>
      <c r="E38" s="391"/>
      <c r="F38" s="391"/>
      <c r="G38" s="391"/>
      <c r="H38" s="391"/>
      <c r="I38" s="239"/>
      <c r="J38" s="239"/>
      <c r="K38" s="239"/>
      <c r="L38" s="239"/>
      <c r="M38" s="239"/>
      <c r="N38" s="239"/>
      <c r="O38" s="239"/>
      <c r="P38" s="239"/>
      <c r="Q38" s="239"/>
      <c r="R38" s="239"/>
      <c r="S38" s="239"/>
      <c r="T38" s="239"/>
      <c r="U38" s="239"/>
      <c r="V38" s="239"/>
    </row>
    <row r="39" spans="1:22" s="245" customFormat="1" ht="15" customHeight="1">
      <c r="A39" s="391"/>
      <c r="B39" s="391"/>
      <c r="C39" s="391"/>
      <c r="D39" s="391"/>
      <c r="E39" s="391"/>
      <c r="F39" s="391"/>
      <c r="G39" s="391"/>
      <c r="H39" s="391"/>
      <c r="I39" s="239"/>
      <c r="J39" s="239"/>
      <c r="K39" s="239"/>
      <c r="L39" s="239"/>
      <c r="M39" s="239"/>
      <c r="N39" s="239"/>
      <c r="O39" s="239"/>
      <c r="P39" s="239"/>
      <c r="Q39" s="239"/>
      <c r="R39" s="239"/>
      <c r="S39" s="239"/>
      <c r="T39" s="239"/>
      <c r="U39" s="239"/>
      <c r="V39" s="239"/>
    </row>
    <row r="40" spans="1:22" s="245" customFormat="1" ht="15" customHeight="1">
      <c r="A40" s="397"/>
      <c r="B40" s="397"/>
      <c r="C40" s="397"/>
      <c r="D40" s="396"/>
      <c r="E40" s="396"/>
      <c r="F40" s="397"/>
      <c r="G40" s="396"/>
      <c r="H40" s="396"/>
      <c r="I40" s="239"/>
      <c r="J40" s="239"/>
      <c r="K40" s="239"/>
      <c r="L40" s="239"/>
      <c r="M40" s="239"/>
      <c r="N40" s="239"/>
      <c r="O40" s="239"/>
      <c r="P40" s="239"/>
      <c r="Q40" s="239"/>
      <c r="R40" s="239"/>
      <c r="S40" s="239"/>
      <c r="T40" s="239"/>
      <c r="U40" s="239"/>
      <c r="V40" s="239"/>
    </row>
    <row r="41" spans="1:22" s="245" customFormat="1" ht="15" customHeight="1">
      <c r="A41" s="398" t="s">
        <v>907</v>
      </c>
      <c r="B41" s="397"/>
      <c r="C41" s="397"/>
      <c r="D41" s="396"/>
      <c r="E41" s="396"/>
      <c r="F41" s="397"/>
      <c r="G41" s="396"/>
      <c r="H41" s="396"/>
      <c r="I41" s="239"/>
      <c r="J41" s="239"/>
      <c r="K41" s="239"/>
      <c r="L41" s="239"/>
      <c r="M41" s="239"/>
      <c r="N41" s="239"/>
      <c r="O41" s="239"/>
      <c r="P41" s="239"/>
      <c r="Q41" s="239"/>
      <c r="R41" s="239"/>
      <c r="S41" s="239"/>
      <c r="T41" s="239"/>
      <c r="U41" s="239"/>
      <c r="V41" s="239"/>
    </row>
    <row r="42" spans="1:22" s="245" customFormat="1" ht="15" customHeight="1">
      <c r="A42" s="397"/>
      <c r="B42" s="397"/>
      <c r="C42" s="397"/>
      <c r="D42" s="396"/>
      <c r="E42" s="396"/>
      <c r="F42" s="397"/>
      <c r="G42" s="396"/>
      <c r="H42" s="396"/>
      <c r="I42" s="239"/>
      <c r="J42" s="239"/>
      <c r="K42" s="239"/>
      <c r="L42" s="239"/>
      <c r="M42" s="239"/>
      <c r="N42" s="239"/>
      <c r="O42" s="239"/>
      <c r="P42" s="239"/>
      <c r="Q42" s="239"/>
      <c r="R42" s="239"/>
      <c r="S42" s="239"/>
      <c r="T42" s="239"/>
      <c r="U42" s="239"/>
      <c r="V42" s="239"/>
    </row>
    <row r="43" spans="1:22" s="245" customFormat="1" ht="25.5" customHeight="1">
      <c r="A43" s="397"/>
      <c r="B43" s="391"/>
      <c r="C43" s="391"/>
      <c r="D43" s="391"/>
      <c r="E43" s="391"/>
      <c r="F43" s="391"/>
      <c r="G43" s="402" t="s">
        <v>908</v>
      </c>
      <c r="H43" s="396"/>
      <c r="I43" s="239"/>
      <c r="J43" s="239"/>
      <c r="K43" s="239"/>
      <c r="L43" s="239"/>
      <c r="M43" s="239"/>
      <c r="N43" s="239"/>
      <c r="O43" s="239"/>
      <c r="P43" s="239"/>
      <c r="Q43" s="239"/>
      <c r="R43" s="239"/>
      <c r="S43" s="239"/>
      <c r="T43" s="239"/>
      <c r="U43" s="239"/>
      <c r="V43" s="239"/>
    </row>
    <row r="44" spans="1:22" s="245" customFormat="1" ht="15" customHeight="1">
      <c r="A44" s="397"/>
      <c r="B44" s="1160"/>
      <c r="C44" s="1161"/>
      <c r="D44" s="1161"/>
      <c r="E44" s="1161"/>
      <c r="F44" s="391"/>
      <c r="G44" s="390"/>
      <c r="H44" s="396"/>
      <c r="I44" s="239"/>
      <c r="J44" s="239"/>
      <c r="K44" s="239"/>
      <c r="L44" s="239"/>
      <c r="M44" s="239"/>
      <c r="N44" s="239"/>
      <c r="O44" s="239"/>
      <c r="P44" s="239"/>
      <c r="Q44" s="239"/>
      <c r="R44" s="239"/>
      <c r="S44" s="239"/>
      <c r="T44" s="239"/>
      <c r="U44" s="239"/>
      <c r="V44" s="239"/>
    </row>
    <row r="45" spans="1:22" s="245" customFormat="1" ht="15" customHeight="1" thickBot="1">
      <c r="A45" s="397"/>
      <c r="B45" s="1160"/>
      <c r="C45" s="1161"/>
      <c r="D45" s="1161"/>
      <c r="E45" s="1161"/>
      <c r="F45" s="391"/>
      <c r="G45" s="399"/>
      <c r="H45" s="396"/>
      <c r="I45" s="239"/>
      <c r="J45" s="239"/>
      <c r="K45" s="239"/>
      <c r="L45" s="239"/>
      <c r="M45" s="239"/>
      <c r="N45" s="239"/>
      <c r="O45" s="239"/>
      <c r="P45" s="239"/>
      <c r="Q45" s="239"/>
      <c r="R45" s="239"/>
      <c r="S45" s="239"/>
      <c r="T45" s="239"/>
      <c r="U45" s="239"/>
      <c r="V45" s="239"/>
    </row>
    <row r="46" spans="1:22" s="245" customFormat="1" ht="15" customHeight="1" thickBot="1">
      <c r="A46" s="397"/>
      <c r="B46" s="1158" t="s">
        <v>909</v>
      </c>
      <c r="C46" s="1159"/>
      <c r="D46" s="1159"/>
      <c r="E46" s="1159"/>
      <c r="F46" s="391"/>
      <c r="G46" s="400">
        <f>SUM(G44:G45)</f>
        <v>0</v>
      </c>
      <c r="H46" s="396"/>
      <c r="I46" s="239"/>
      <c r="J46" s="239"/>
      <c r="K46" s="239"/>
      <c r="L46" s="239"/>
      <c r="M46" s="239"/>
      <c r="N46" s="239"/>
      <c r="O46" s="239"/>
      <c r="P46" s="239"/>
      <c r="Q46" s="239"/>
      <c r="R46" s="239"/>
      <c r="S46" s="239"/>
      <c r="T46" s="239"/>
      <c r="U46" s="239"/>
      <c r="V46" s="239"/>
    </row>
    <row r="47" spans="1:22" s="245" customFormat="1" ht="15" customHeight="1" thickTop="1">
      <c r="A47" s="397"/>
      <c r="B47" s="391"/>
      <c r="C47" s="391"/>
      <c r="D47" s="391"/>
      <c r="E47" s="391"/>
      <c r="F47" s="391"/>
      <c r="G47" s="391"/>
      <c r="H47" s="396"/>
      <c r="I47" s="239"/>
      <c r="J47" s="239"/>
      <c r="K47" s="239"/>
      <c r="L47" s="239"/>
      <c r="M47" s="239"/>
      <c r="N47" s="239"/>
      <c r="O47" s="239"/>
      <c r="P47" s="239"/>
      <c r="Q47" s="239"/>
      <c r="R47" s="239"/>
      <c r="S47" s="239"/>
      <c r="T47" s="239"/>
      <c r="U47" s="239"/>
      <c r="V47" s="239"/>
    </row>
    <row r="48" spans="1:22" ht="15" customHeight="1">
      <c r="A48" s="391" t="s">
        <v>910</v>
      </c>
      <c r="B48" s="397"/>
      <c r="C48" s="397"/>
      <c r="D48" s="396"/>
      <c r="E48" s="396"/>
      <c r="F48" s="397"/>
      <c r="G48" s="396"/>
      <c r="H48" s="396"/>
      <c r="I48" s="239"/>
      <c r="J48" s="239"/>
      <c r="K48" s="239"/>
      <c r="L48" s="239"/>
      <c r="M48" s="239"/>
      <c r="N48" s="239"/>
      <c r="O48" s="239"/>
      <c r="P48" s="239"/>
      <c r="Q48" s="239"/>
      <c r="R48" s="239"/>
      <c r="S48" s="239"/>
      <c r="T48" s="239"/>
      <c r="U48" s="239"/>
      <c r="V48" s="239"/>
    </row>
    <row r="49" spans="1:22" ht="15" customHeight="1">
      <c r="A49" s="391" t="s">
        <v>911</v>
      </c>
      <c r="B49" s="397"/>
      <c r="C49" s="397"/>
      <c r="D49" s="396"/>
      <c r="E49" s="396"/>
      <c r="F49" s="397"/>
      <c r="G49" s="396"/>
      <c r="H49" s="396"/>
      <c r="I49" s="239"/>
      <c r="J49" s="239"/>
      <c r="K49" s="239"/>
      <c r="L49" s="239"/>
      <c r="M49" s="239"/>
      <c r="N49" s="239"/>
      <c r="O49" s="239"/>
      <c r="P49" s="239"/>
      <c r="Q49" s="239"/>
      <c r="R49" s="239"/>
      <c r="S49" s="239"/>
      <c r="T49" s="239"/>
      <c r="U49" s="239"/>
      <c r="V49" s="239"/>
    </row>
    <row r="50" spans="1:22" s="245" customFormat="1" ht="15" customHeight="1">
      <c r="A50" s="391"/>
      <c r="B50" s="397"/>
      <c r="C50" s="397"/>
      <c r="D50" s="396"/>
      <c r="E50" s="396"/>
      <c r="F50" s="397"/>
      <c r="G50" s="396"/>
      <c r="H50" s="396"/>
      <c r="I50" s="239"/>
      <c r="J50" s="239"/>
      <c r="K50" s="239"/>
      <c r="L50" s="239"/>
      <c r="M50" s="239"/>
      <c r="N50" s="239"/>
      <c r="O50" s="239"/>
      <c r="P50" s="239"/>
      <c r="Q50" s="239"/>
      <c r="R50" s="239"/>
      <c r="S50" s="239"/>
      <c r="T50" s="239"/>
      <c r="U50" s="239"/>
      <c r="V50" s="239"/>
    </row>
    <row r="51" spans="1:22" s="245" customFormat="1" ht="15" customHeight="1">
      <c r="B51" s="239"/>
      <c r="C51" s="239"/>
      <c r="D51" s="239"/>
      <c r="G51" s="239"/>
      <c r="H51" s="239"/>
      <c r="I51" s="239"/>
      <c r="J51" s="239"/>
      <c r="K51" s="239"/>
      <c r="L51" s="239"/>
      <c r="M51" s="239"/>
      <c r="N51" s="239"/>
      <c r="O51" s="239"/>
      <c r="P51" s="239"/>
      <c r="Q51" s="239"/>
      <c r="R51" s="239"/>
      <c r="S51" s="239"/>
      <c r="T51" s="239"/>
      <c r="U51" s="239"/>
      <c r="V51" s="239"/>
    </row>
    <row r="52" spans="1:22" s="245" customFormat="1" ht="15" customHeight="1">
      <c r="B52" s="239"/>
      <c r="C52" s="239"/>
      <c r="D52" s="239"/>
      <c r="G52" s="239"/>
      <c r="H52" s="239"/>
      <c r="I52" s="239"/>
      <c r="J52" s="239"/>
      <c r="K52" s="239"/>
      <c r="L52" s="239"/>
      <c r="M52" s="239"/>
      <c r="N52" s="239"/>
      <c r="O52" s="239"/>
      <c r="P52" s="239"/>
      <c r="Q52" s="239"/>
      <c r="R52" s="239"/>
      <c r="S52" s="239"/>
      <c r="T52" s="239"/>
      <c r="U52" s="239"/>
      <c r="V52" s="239"/>
    </row>
    <row r="53" spans="1:22" s="245" customFormat="1" ht="15" customHeight="1">
      <c r="B53" s="239"/>
      <c r="C53" s="239"/>
      <c r="D53" s="239"/>
      <c r="G53" s="239"/>
      <c r="H53" s="239"/>
      <c r="I53" s="239"/>
      <c r="J53" s="239"/>
      <c r="K53" s="239"/>
      <c r="L53" s="239"/>
      <c r="M53" s="239"/>
      <c r="N53" s="239"/>
      <c r="O53" s="239"/>
      <c r="P53" s="239"/>
      <c r="Q53" s="239"/>
      <c r="R53" s="239"/>
      <c r="S53" s="239"/>
      <c r="T53" s="239"/>
      <c r="U53" s="239"/>
      <c r="V53" s="239"/>
    </row>
    <row r="54" spans="1:22" s="245" customFormat="1" ht="15" customHeight="1">
      <c r="B54" s="239"/>
      <c r="C54" s="239"/>
      <c r="G54" s="239"/>
      <c r="H54" s="239"/>
      <c r="I54" s="239"/>
      <c r="J54" s="239"/>
      <c r="K54" s="239"/>
      <c r="L54" s="239"/>
      <c r="M54" s="239"/>
      <c r="N54" s="239"/>
      <c r="O54" s="239"/>
      <c r="P54" s="239"/>
      <c r="Q54" s="239"/>
      <c r="R54" s="239"/>
      <c r="S54" s="239"/>
      <c r="T54" s="239"/>
      <c r="U54" s="239"/>
      <c r="V54" s="239"/>
    </row>
    <row r="55" spans="1:22" s="245" customFormat="1" ht="15" customHeight="1">
      <c r="E55" s="239"/>
      <c r="F55" s="239"/>
      <c r="G55" s="239"/>
      <c r="H55" s="239"/>
      <c r="I55" s="239"/>
      <c r="J55" s="239"/>
      <c r="K55" s="239"/>
      <c r="L55" s="239"/>
      <c r="M55" s="239"/>
      <c r="N55" s="239"/>
      <c r="O55" s="239"/>
      <c r="P55" s="239"/>
      <c r="Q55" s="239"/>
      <c r="R55" s="239"/>
      <c r="S55" s="239"/>
      <c r="T55" s="239"/>
      <c r="U55" s="239"/>
      <c r="V55" s="239"/>
    </row>
    <row r="56" spans="1:22" s="245" customFormat="1" ht="11.4">
      <c r="E56" s="239"/>
      <c r="F56" s="239"/>
      <c r="G56" s="239"/>
      <c r="H56" s="239"/>
      <c r="I56" s="239"/>
      <c r="J56" s="239"/>
      <c r="K56" s="239"/>
      <c r="L56" s="239"/>
      <c r="M56" s="239"/>
      <c r="N56" s="239"/>
      <c r="O56" s="239"/>
      <c r="P56" s="239"/>
      <c r="Q56" s="239"/>
      <c r="R56" s="239"/>
      <c r="S56" s="239"/>
      <c r="T56" s="239"/>
      <c r="U56" s="239"/>
      <c r="V56" s="239"/>
    </row>
    <row r="57" spans="1:22">
      <c r="E57" s="239"/>
      <c r="F57" s="239"/>
      <c r="G57" s="239"/>
      <c r="H57" s="239"/>
      <c r="I57" s="239"/>
      <c r="J57" s="239"/>
      <c r="K57" s="239"/>
      <c r="L57" s="239"/>
      <c r="M57" s="239"/>
      <c r="N57" s="239"/>
      <c r="O57" s="239"/>
      <c r="P57" s="239"/>
      <c r="Q57" s="239"/>
      <c r="R57" s="239"/>
      <c r="S57" s="239"/>
      <c r="T57" s="239"/>
      <c r="U57" s="239"/>
      <c r="V57" s="239"/>
    </row>
    <row r="58" spans="1:22">
      <c r="E58" s="239"/>
      <c r="F58" s="239"/>
      <c r="G58" s="239"/>
      <c r="H58" s="239"/>
      <c r="I58" s="239"/>
      <c r="J58" s="239"/>
      <c r="K58" s="239"/>
      <c r="L58" s="239"/>
      <c r="M58" s="239"/>
      <c r="N58" s="239"/>
      <c r="O58" s="239"/>
      <c r="P58" s="239"/>
      <c r="Q58" s="239"/>
      <c r="R58" s="239"/>
      <c r="S58" s="239"/>
      <c r="T58" s="239"/>
      <c r="U58" s="239"/>
      <c r="V58" s="239"/>
    </row>
    <row r="59" spans="1:22">
      <c r="N59" s="239"/>
      <c r="O59" s="239"/>
      <c r="P59" s="239"/>
      <c r="Q59" s="239"/>
      <c r="R59" s="239"/>
      <c r="S59" s="239"/>
      <c r="T59" s="239"/>
      <c r="U59" s="239"/>
      <c r="V59" s="239"/>
    </row>
    <row r="60" spans="1:22">
      <c r="N60" s="239"/>
      <c r="O60" s="239"/>
      <c r="P60" s="239"/>
      <c r="Q60" s="239"/>
      <c r="R60" s="239"/>
      <c r="S60" s="239"/>
      <c r="T60" s="239"/>
      <c r="U60" s="239"/>
      <c r="V60" s="239"/>
    </row>
    <row r="61" spans="1:22">
      <c r="N61" s="239"/>
      <c r="O61" s="239"/>
      <c r="P61" s="239"/>
      <c r="Q61" s="239"/>
      <c r="R61" s="239"/>
      <c r="S61" s="239"/>
      <c r="T61" s="239"/>
      <c r="U61" s="239"/>
      <c r="V61" s="239"/>
    </row>
    <row r="62" spans="1:22">
      <c r="N62" s="239"/>
      <c r="O62" s="239"/>
      <c r="P62" s="239"/>
      <c r="Q62" s="239"/>
      <c r="R62" s="239"/>
      <c r="S62" s="239"/>
      <c r="T62" s="239"/>
      <c r="U62" s="239"/>
      <c r="V62" s="239"/>
    </row>
    <row r="63" spans="1:22">
      <c r="N63" s="239"/>
      <c r="O63" s="239"/>
      <c r="P63" s="239"/>
      <c r="Q63" s="239"/>
      <c r="R63" s="239"/>
      <c r="S63" s="239"/>
      <c r="T63" s="239"/>
      <c r="U63" s="239"/>
      <c r="V63" s="239"/>
    </row>
    <row r="64" spans="1:22">
      <c r="N64" s="239"/>
      <c r="O64" s="239"/>
      <c r="P64" s="239"/>
      <c r="Q64" s="239"/>
      <c r="R64" s="239"/>
      <c r="S64" s="239"/>
      <c r="T64" s="239"/>
      <c r="U64" s="239"/>
      <c r="V64" s="239"/>
    </row>
    <row r="65" spans="14:22">
      <c r="N65" s="239"/>
      <c r="O65" s="239"/>
      <c r="P65" s="239"/>
      <c r="Q65" s="239"/>
      <c r="R65" s="239"/>
      <c r="S65" s="239"/>
      <c r="T65" s="239"/>
      <c r="U65" s="239"/>
      <c r="V65" s="239"/>
    </row>
    <row r="66" spans="14:22">
      <c r="N66" s="239"/>
      <c r="O66" s="239"/>
      <c r="P66" s="239"/>
      <c r="Q66" s="239"/>
      <c r="R66" s="239"/>
      <c r="S66" s="239"/>
      <c r="T66" s="239"/>
      <c r="U66" s="239"/>
      <c r="V66" s="239"/>
    </row>
    <row r="67" spans="14:22">
      <c r="N67" s="239"/>
      <c r="O67" s="239"/>
      <c r="P67" s="239"/>
      <c r="Q67" s="239"/>
      <c r="R67" s="239"/>
      <c r="S67" s="239"/>
      <c r="T67" s="239"/>
      <c r="U67" s="239"/>
      <c r="V67" s="239"/>
    </row>
    <row r="68" spans="14:22">
      <c r="N68" s="239"/>
      <c r="O68" s="239"/>
      <c r="P68" s="239"/>
      <c r="Q68" s="239"/>
      <c r="R68" s="239"/>
      <c r="S68" s="239"/>
      <c r="T68" s="239"/>
      <c r="U68" s="239"/>
      <c r="V68" s="239"/>
    </row>
    <row r="69" spans="14:22">
      <c r="N69" s="239"/>
      <c r="O69" s="239"/>
      <c r="P69" s="239"/>
      <c r="Q69" s="239"/>
      <c r="R69" s="239"/>
      <c r="S69" s="239"/>
      <c r="T69" s="239"/>
      <c r="U69" s="239"/>
      <c r="V69" s="239"/>
    </row>
    <row r="70" spans="14:22">
      <c r="N70" s="239"/>
      <c r="O70" s="239"/>
      <c r="P70" s="239"/>
      <c r="Q70" s="239"/>
      <c r="R70" s="239"/>
      <c r="S70" s="239"/>
      <c r="T70" s="239"/>
      <c r="U70" s="239"/>
      <c r="V70" s="239"/>
    </row>
    <row r="71" spans="14:22">
      <c r="N71" s="239"/>
      <c r="O71" s="239"/>
      <c r="P71" s="239"/>
      <c r="Q71" s="239"/>
      <c r="R71" s="239"/>
      <c r="S71" s="239"/>
      <c r="T71" s="239"/>
      <c r="U71" s="239"/>
      <c r="V71" s="239"/>
    </row>
    <row r="72" spans="14:22">
      <c r="N72" s="239"/>
      <c r="O72" s="239"/>
      <c r="P72" s="239"/>
      <c r="Q72" s="239"/>
      <c r="R72" s="239"/>
      <c r="S72" s="239"/>
      <c r="T72" s="239"/>
      <c r="U72" s="239"/>
      <c r="V72" s="239"/>
    </row>
    <row r="73" spans="14:22">
      <c r="N73" s="239"/>
      <c r="O73" s="239"/>
      <c r="P73" s="239"/>
      <c r="Q73" s="239"/>
      <c r="R73" s="239"/>
      <c r="S73" s="239"/>
      <c r="T73" s="239"/>
      <c r="U73" s="239"/>
      <c r="V73" s="239"/>
    </row>
    <row r="74" spans="14:22">
      <c r="N74" s="239"/>
      <c r="O74" s="239"/>
      <c r="P74" s="239"/>
      <c r="Q74" s="239"/>
      <c r="R74" s="239"/>
      <c r="S74" s="239"/>
      <c r="T74" s="239"/>
      <c r="U74" s="239"/>
      <c r="V74" s="239"/>
    </row>
    <row r="75" spans="14:22">
      <c r="N75" s="239"/>
      <c r="O75" s="239"/>
      <c r="P75" s="239"/>
      <c r="Q75" s="239"/>
      <c r="R75" s="239"/>
      <c r="S75" s="239"/>
      <c r="T75" s="239"/>
      <c r="U75" s="239"/>
      <c r="V75" s="239"/>
    </row>
    <row r="76" spans="14:22">
      <c r="N76" s="239"/>
      <c r="O76" s="239"/>
      <c r="P76" s="239"/>
      <c r="Q76" s="239"/>
      <c r="R76" s="239"/>
      <c r="S76" s="239"/>
      <c r="T76" s="239"/>
      <c r="U76" s="239"/>
      <c r="V76" s="239"/>
    </row>
    <row r="77" spans="14:22">
      <c r="N77" s="239"/>
      <c r="O77" s="239"/>
      <c r="P77" s="239"/>
      <c r="Q77" s="239"/>
      <c r="R77" s="239"/>
      <c r="S77" s="239"/>
      <c r="T77" s="239"/>
      <c r="U77" s="239"/>
      <c r="V77" s="239"/>
    </row>
    <row r="78" spans="14:22">
      <c r="N78" s="239"/>
      <c r="O78" s="239"/>
      <c r="P78" s="239"/>
      <c r="Q78" s="239"/>
      <c r="R78" s="239"/>
      <c r="S78" s="239"/>
      <c r="T78" s="239"/>
      <c r="U78" s="239"/>
      <c r="V78" s="239"/>
    </row>
    <row r="79" spans="14:22">
      <c r="N79" s="239"/>
      <c r="O79" s="239"/>
      <c r="P79" s="239"/>
      <c r="Q79" s="239"/>
      <c r="R79" s="239"/>
      <c r="S79" s="239"/>
      <c r="T79" s="239"/>
      <c r="U79" s="239"/>
      <c r="V79" s="239"/>
    </row>
    <row r="80" spans="14:22">
      <c r="N80" s="239"/>
      <c r="O80" s="239"/>
      <c r="P80" s="239"/>
      <c r="Q80" s="239"/>
      <c r="R80" s="239"/>
      <c r="S80" s="239"/>
      <c r="T80" s="239"/>
      <c r="U80" s="239"/>
      <c r="V80" s="239"/>
    </row>
    <row r="81" spans="14:22">
      <c r="N81" s="239"/>
      <c r="O81" s="239"/>
      <c r="P81" s="239"/>
      <c r="Q81" s="239"/>
      <c r="R81" s="239"/>
      <c r="S81" s="239"/>
      <c r="T81" s="239"/>
      <c r="U81" s="239"/>
      <c r="V81" s="239"/>
    </row>
    <row r="82" spans="14:22">
      <c r="N82" s="239"/>
      <c r="O82" s="239"/>
      <c r="P82" s="239"/>
      <c r="Q82" s="239"/>
      <c r="R82" s="239"/>
      <c r="S82" s="239"/>
      <c r="T82" s="239"/>
      <c r="U82" s="239"/>
      <c r="V82" s="239"/>
    </row>
    <row r="83" spans="14:22">
      <c r="N83" s="239"/>
      <c r="O83" s="239"/>
      <c r="P83" s="239"/>
      <c r="Q83" s="239"/>
      <c r="R83" s="239"/>
      <c r="S83" s="239"/>
      <c r="T83" s="239"/>
      <c r="U83" s="239"/>
      <c r="V83" s="239"/>
    </row>
    <row r="84" spans="14:22">
      <c r="N84" s="239"/>
      <c r="O84" s="239"/>
      <c r="P84" s="239"/>
      <c r="Q84" s="239"/>
      <c r="R84" s="239"/>
      <c r="S84" s="239"/>
      <c r="T84" s="239"/>
      <c r="U84" s="239"/>
      <c r="V84" s="239"/>
    </row>
    <row r="85" spans="14:22">
      <c r="N85" s="239"/>
      <c r="O85" s="239"/>
      <c r="P85" s="239"/>
      <c r="Q85" s="239"/>
      <c r="R85" s="239"/>
      <c r="S85" s="239"/>
      <c r="T85" s="239"/>
      <c r="U85" s="239"/>
      <c r="V85" s="239"/>
    </row>
    <row r="86" spans="14:22">
      <c r="N86" s="239"/>
      <c r="O86" s="239"/>
      <c r="P86" s="239"/>
      <c r="Q86" s="239"/>
      <c r="R86" s="239"/>
      <c r="S86" s="239"/>
      <c r="T86" s="239"/>
      <c r="U86" s="239"/>
      <c r="V86" s="239"/>
    </row>
    <row r="87" spans="14:22">
      <c r="N87" s="239"/>
      <c r="O87" s="239"/>
      <c r="P87" s="239"/>
      <c r="Q87" s="239"/>
      <c r="R87" s="239"/>
      <c r="S87" s="239"/>
      <c r="T87" s="239"/>
      <c r="U87" s="239"/>
      <c r="V87" s="239"/>
    </row>
    <row r="88" spans="14:22">
      <c r="N88" s="239"/>
      <c r="O88" s="239"/>
      <c r="P88" s="239"/>
      <c r="Q88" s="239"/>
      <c r="R88" s="239"/>
      <c r="S88" s="239"/>
      <c r="T88" s="239"/>
      <c r="U88" s="239"/>
      <c r="V88" s="239"/>
    </row>
    <row r="89" spans="14:22">
      <c r="N89" s="239"/>
      <c r="O89" s="239"/>
      <c r="P89" s="239"/>
      <c r="Q89" s="239"/>
      <c r="R89" s="239"/>
      <c r="S89" s="239"/>
      <c r="T89" s="239"/>
      <c r="U89" s="239"/>
      <c r="V89" s="239"/>
    </row>
    <row r="90" spans="14:22">
      <c r="N90" s="239"/>
      <c r="O90" s="239"/>
      <c r="P90" s="239"/>
      <c r="Q90" s="239"/>
      <c r="R90" s="239"/>
      <c r="S90" s="239"/>
      <c r="T90" s="239"/>
      <c r="U90" s="239"/>
      <c r="V90" s="239"/>
    </row>
    <row r="91" spans="14:22">
      <c r="N91" s="239"/>
      <c r="O91" s="239"/>
      <c r="P91" s="239"/>
      <c r="Q91" s="239"/>
      <c r="R91" s="239"/>
      <c r="S91" s="239"/>
      <c r="T91" s="239"/>
      <c r="U91" s="239"/>
      <c r="V91" s="239"/>
    </row>
    <row r="92" spans="14:22">
      <c r="N92" s="239"/>
      <c r="O92" s="239"/>
      <c r="P92" s="239"/>
      <c r="Q92" s="239"/>
      <c r="R92" s="239"/>
      <c r="S92" s="239"/>
      <c r="T92" s="239"/>
      <c r="U92" s="239"/>
      <c r="V92" s="239"/>
    </row>
    <row r="93" spans="14:22">
      <c r="N93" s="239"/>
      <c r="O93" s="239"/>
      <c r="P93" s="239"/>
      <c r="Q93" s="239"/>
      <c r="R93" s="239"/>
      <c r="S93" s="239"/>
      <c r="T93" s="239"/>
      <c r="U93" s="239"/>
      <c r="V93" s="239"/>
    </row>
    <row r="94" spans="14:22">
      <c r="N94" s="239"/>
      <c r="O94" s="239"/>
      <c r="P94" s="239"/>
      <c r="Q94" s="239"/>
      <c r="R94" s="239"/>
      <c r="S94" s="239"/>
      <c r="T94" s="239"/>
      <c r="U94" s="239"/>
      <c r="V94" s="239"/>
    </row>
    <row r="95" spans="14:22">
      <c r="N95" s="239"/>
      <c r="O95" s="239"/>
      <c r="P95" s="239"/>
      <c r="Q95" s="239"/>
      <c r="R95" s="239"/>
      <c r="S95" s="239"/>
      <c r="T95" s="239"/>
      <c r="U95" s="239"/>
      <c r="V95" s="239"/>
    </row>
    <row r="96" spans="14:22">
      <c r="N96" s="239"/>
      <c r="O96" s="239"/>
      <c r="P96" s="239"/>
      <c r="Q96" s="239"/>
      <c r="R96" s="239"/>
      <c r="S96" s="239"/>
      <c r="T96" s="239"/>
      <c r="U96" s="239"/>
      <c r="V96" s="239"/>
    </row>
    <row r="97" spans="14:22">
      <c r="N97" s="239"/>
      <c r="O97" s="239"/>
      <c r="P97" s="239"/>
      <c r="Q97" s="239"/>
      <c r="R97" s="239"/>
      <c r="S97" s="239"/>
      <c r="T97" s="239"/>
      <c r="U97" s="239"/>
      <c r="V97" s="239"/>
    </row>
    <row r="98" spans="14:22">
      <c r="N98" s="239"/>
      <c r="O98" s="239"/>
      <c r="P98" s="239"/>
      <c r="Q98" s="239"/>
      <c r="R98" s="239"/>
      <c r="S98" s="239"/>
      <c r="T98" s="239"/>
      <c r="U98" s="239"/>
      <c r="V98" s="239"/>
    </row>
    <row r="99" spans="14:22">
      <c r="N99" s="239"/>
      <c r="O99" s="239"/>
      <c r="P99" s="239"/>
      <c r="Q99" s="239"/>
      <c r="R99" s="239"/>
      <c r="S99" s="239"/>
      <c r="T99" s="239"/>
      <c r="U99" s="239"/>
      <c r="V99" s="239"/>
    </row>
    <row r="100" spans="14:22">
      <c r="N100" s="239"/>
      <c r="O100" s="239"/>
      <c r="P100" s="239"/>
      <c r="Q100" s="239"/>
      <c r="R100" s="239"/>
      <c r="S100" s="239"/>
      <c r="T100" s="239"/>
      <c r="U100" s="239"/>
      <c r="V100" s="239"/>
    </row>
    <row r="101" spans="14:22">
      <c r="N101" s="239"/>
      <c r="O101" s="239"/>
      <c r="P101" s="239"/>
      <c r="Q101" s="239"/>
      <c r="R101" s="239"/>
      <c r="S101" s="239"/>
      <c r="T101" s="239"/>
      <c r="U101" s="239"/>
      <c r="V101" s="239"/>
    </row>
    <row r="102" spans="14:22">
      <c r="N102" s="239"/>
      <c r="O102" s="239"/>
      <c r="P102" s="239"/>
      <c r="Q102" s="239"/>
      <c r="R102" s="239"/>
      <c r="S102" s="239"/>
      <c r="T102" s="239"/>
      <c r="U102" s="239"/>
      <c r="V102" s="239"/>
    </row>
    <row r="103" spans="14:22">
      <c r="N103" s="239"/>
      <c r="O103" s="239"/>
      <c r="P103" s="239"/>
      <c r="Q103" s="239"/>
      <c r="R103" s="239"/>
      <c r="S103" s="239"/>
      <c r="T103" s="239"/>
      <c r="U103" s="239"/>
      <c r="V103" s="239"/>
    </row>
    <row r="104" spans="14:22">
      <c r="N104" s="239"/>
      <c r="O104" s="239"/>
      <c r="P104" s="239"/>
      <c r="Q104" s="239"/>
      <c r="R104" s="239"/>
      <c r="S104" s="239"/>
      <c r="T104" s="239"/>
      <c r="U104" s="239"/>
      <c r="V104" s="239"/>
    </row>
    <row r="105" spans="14:22">
      <c r="N105" s="239"/>
      <c r="O105" s="239"/>
      <c r="P105" s="239"/>
      <c r="Q105" s="239"/>
      <c r="R105" s="239"/>
      <c r="S105" s="239"/>
      <c r="T105" s="239"/>
      <c r="U105" s="239"/>
      <c r="V105" s="239"/>
    </row>
    <row r="106" spans="14:22">
      <c r="N106" s="239"/>
      <c r="O106" s="239"/>
      <c r="P106" s="239"/>
      <c r="Q106" s="239"/>
      <c r="R106" s="239"/>
      <c r="S106" s="239"/>
      <c r="T106" s="239"/>
      <c r="U106" s="239"/>
      <c r="V106" s="239"/>
    </row>
    <row r="107" spans="14:22">
      <c r="N107" s="239"/>
      <c r="O107" s="239"/>
      <c r="P107" s="239"/>
      <c r="Q107" s="239"/>
      <c r="R107" s="239"/>
      <c r="S107" s="239"/>
      <c r="T107" s="239"/>
      <c r="U107" s="239"/>
      <c r="V107" s="239"/>
    </row>
    <row r="108" spans="14:22">
      <c r="N108" s="239"/>
      <c r="O108" s="239"/>
      <c r="P108" s="239"/>
      <c r="Q108" s="239"/>
      <c r="R108" s="239"/>
      <c r="S108" s="239"/>
      <c r="T108" s="239"/>
      <c r="U108" s="239"/>
      <c r="V108" s="239"/>
    </row>
    <row r="109" spans="14:22">
      <c r="N109" s="239"/>
      <c r="O109" s="239"/>
      <c r="P109" s="239"/>
      <c r="Q109" s="239"/>
      <c r="R109" s="239"/>
      <c r="S109" s="239"/>
      <c r="T109" s="239"/>
      <c r="U109" s="239"/>
      <c r="V109" s="239"/>
    </row>
    <row r="110" spans="14:22">
      <c r="N110" s="239"/>
      <c r="O110" s="239"/>
      <c r="P110" s="239"/>
      <c r="Q110" s="239"/>
      <c r="R110" s="239"/>
      <c r="S110" s="239"/>
      <c r="T110" s="239"/>
      <c r="U110" s="239"/>
      <c r="V110" s="239"/>
    </row>
    <row r="111" spans="14:22">
      <c r="N111" s="239"/>
      <c r="O111" s="239"/>
      <c r="P111" s="239"/>
      <c r="Q111" s="239"/>
      <c r="R111" s="239"/>
      <c r="S111" s="239"/>
      <c r="T111" s="239"/>
      <c r="U111" s="239"/>
      <c r="V111" s="239"/>
    </row>
    <row r="112" spans="14:22">
      <c r="N112" s="239"/>
      <c r="O112" s="239"/>
      <c r="P112" s="239"/>
      <c r="Q112" s="239"/>
      <c r="R112" s="239"/>
      <c r="S112" s="239"/>
      <c r="T112" s="239"/>
      <c r="U112" s="239"/>
      <c r="V112" s="239"/>
    </row>
    <row r="113" spans="14:22">
      <c r="N113" s="239"/>
      <c r="O113" s="239"/>
      <c r="P113" s="239"/>
      <c r="Q113" s="239"/>
      <c r="R113" s="239"/>
      <c r="S113" s="239"/>
      <c r="T113" s="239"/>
      <c r="U113" s="239"/>
      <c r="V113" s="239"/>
    </row>
    <row r="114" spans="14:22">
      <c r="N114" s="239"/>
      <c r="O114" s="239"/>
      <c r="P114" s="239"/>
      <c r="Q114" s="239"/>
      <c r="R114" s="239"/>
      <c r="S114" s="239"/>
      <c r="T114" s="239"/>
      <c r="U114" s="239"/>
      <c r="V114" s="239"/>
    </row>
    <row r="115" spans="14:22">
      <c r="N115" s="239"/>
      <c r="O115" s="239"/>
      <c r="P115" s="239"/>
      <c r="Q115" s="239"/>
      <c r="R115" s="239"/>
      <c r="S115" s="239"/>
      <c r="T115" s="239"/>
      <c r="U115" s="239"/>
      <c r="V115" s="239"/>
    </row>
    <row r="116" spans="14:22">
      <c r="N116" s="239"/>
      <c r="O116" s="239"/>
      <c r="P116" s="239"/>
      <c r="Q116" s="239"/>
      <c r="R116" s="239"/>
      <c r="S116" s="239"/>
      <c r="T116" s="239"/>
      <c r="U116" s="239"/>
      <c r="V116" s="239"/>
    </row>
    <row r="117" spans="14:22">
      <c r="N117" s="239"/>
      <c r="O117" s="239"/>
      <c r="P117" s="239"/>
      <c r="Q117" s="239"/>
      <c r="R117" s="239"/>
      <c r="S117" s="239"/>
      <c r="T117" s="239"/>
      <c r="U117" s="239"/>
      <c r="V117" s="239"/>
    </row>
    <row r="118" spans="14:22">
      <c r="N118" s="239"/>
      <c r="O118" s="239"/>
      <c r="P118" s="239"/>
      <c r="Q118" s="239"/>
      <c r="R118" s="239"/>
      <c r="S118" s="239"/>
      <c r="T118" s="239"/>
      <c r="U118" s="239"/>
      <c r="V118" s="239"/>
    </row>
    <row r="119" spans="14:22">
      <c r="N119" s="239"/>
      <c r="O119" s="239"/>
      <c r="P119" s="239"/>
      <c r="Q119" s="239"/>
      <c r="R119" s="239"/>
      <c r="S119" s="239"/>
      <c r="T119" s="239"/>
      <c r="U119" s="239"/>
      <c r="V119" s="239"/>
    </row>
    <row r="120" spans="14:22">
      <c r="N120" s="239"/>
      <c r="O120" s="239"/>
      <c r="P120" s="239"/>
      <c r="Q120" s="239"/>
      <c r="R120" s="239"/>
      <c r="S120" s="239"/>
      <c r="T120" s="239"/>
      <c r="U120" s="239"/>
      <c r="V120" s="239"/>
    </row>
    <row r="121" spans="14:22">
      <c r="N121" s="239"/>
      <c r="O121" s="239"/>
      <c r="P121" s="239"/>
      <c r="Q121" s="239"/>
      <c r="R121" s="239"/>
      <c r="S121" s="239"/>
      <c r="T121" s="239"/>
      <c r="U121" s="239"/>
      <c r="V121" s="239"/>
    </row>
    <row r="122" spans="14:22">
      <c r="N122" s="239"/>
      <c r="O122" s="239"/>
      <c r="P122" s="239"/>
      <c r="Q122" s="239"/>
      <c r="R122" s="239"/>
      <c r="S122" s="239"/>
      <c r="T122" s="239"/>
      <c r="U122" s="239"/>
      <c r="V122" s="239"/>
    </row>
    <row r="123" spans="14:22">
      <c r="N123" s="239"/>
      <c r="O123" s="239"/>
      <c r="P123" s="239"/>
      <c r="Q123" s="239"/>
      <c r="R123" s="239"/>
      <c r="S123" s="239"/>
      <c r="T123" s="239"/>
      <c r="U123" s="239"/>
      <c r="V123" s="239"/>
    </row>
    <row r="124" spans="14:22">
      <c r="N124" s="239"/>
      <c r="O124" s="239"/>
      <c r="P124" s="239"/>
      <c r="Q124" s="239"/>
      <c r="R124" s="239"/>
      <c r="S124" s="239"/>
      <c r="T124" s="239"/>
      <c r="U124" s="239"/>
      <c r="V124" s="239"/>
    </row>
    <row r="125" spans="14:22">
      <c r="N125" s="239"/>
      <c r="O125" s="239"/>
      <c r="P125" s="239"/>
      <c r="Q125" s="239"/>
      <c r="R125" s="239"/>
      <c r="S125" s="239"/>
      <c r="T125" s="239"/>
      <c r="U125" s="239"/>
      <c r="V125" s="239"/>
    </row>
    <row r="126" spans="14:22">
      <c r="N126" s="239"/>
      <c r="O126" s="239"/>
      <c r="P126" s="239"/>
      <c r="Q126" s="239"/>
      <c r="R126" s="239"/>
      <c r="S126" s="239"/>
      <c r="T126" s="239"/>
      <c r="U126" s="239"/>
      <c r="V126" s="239"/>
    </row>
    <row r="127" spans="14:22">
      <c r="N127" s="239"/>
      <c r="O127" s="239"/>
      <c r="P127" s="239"/>
      <c r="Q127" s="239"/>
      <c r="R127" s="239"/>
      <c r="S127" s="239"/>
      <c r="T127" s="239"/>
      <c r="U127" s="239"/>
      <c r="V127" s="239"/>
    </row>
    <row r="128" spans="14:22">
      <c r="N128" s="239"/>
      <c r="O128" s="239"/>
      <c r="P128" s="239"/>
      <c r="Q128" s="239"/>
      <c r="R128" s="239"/>
      <c r="S128" s="239"/>
      <c r="T128" s="239"/>
      <c r="U128" s="239"/>
      <c r="V128" s="239"/>
    </row>
    <row r="129" spans="14:22">
      <c r="N129" s="239"/>
      <c r="O129" s="239"/>
      <c r="P129" s="239"/>
      <c r="Q129" s="239"/>
      <c r="R129" s="239"/>
      <c r="S129" s="239"/>
      <c r="T129" s="239"/>
      <c r="U129" s="239"/>
      <c r="V129" s="239"/>
    </row>
    <row r="130" spans="14:22">
      <c r="N130" s="239"/>
      <c r="O130" s="239"/>
      <c r="P130" s="239"/>
      <c r="Q130" s="239"/>
      <c r="R130" s="239"/>
      <c r="S130" s="239"/>
      <c r="T130" s="239"/>
      <c r="U130" s="239"/>
      <c r="V130" s="239"/>
    </row>
    <row r="131" spans="14:22">
      <c r="N131" s="239"/>
      <c r="O131" s="239"/>
      <c r="P131" s="239"/>
      <c r="Q131" s="239"/>
      <c r="R131" s="239"/>
      <c r="S131" s="239"/>
      <c r="T131" s="239"/>
      <c r="U131" s="239"/>
      <c r="V131" s="239"/>
    </row>
    <row r="132" spans="14:22">
      <c r="N132" s="239"/>
      <c r="O132" s="239"/>
      <c r="P132" s="239"/>
      <c r="Q132" s="239"/>
      <c r="R132" s="239"/>
      <c r="S132" s="239"/>
      <c r="T132" s="239"/>
      <c r="U132" s="239"/>
      <c r="V132" s="239"/>
    </row>
    <row r="133" spans="14:22">
      <c r="N133" s="239"/>
      <c r="O133" s="239"/>
      <c r="P133" s="239"/>
      <c r="Q133" s="239"/>
      <c r="R133" s="239"/>
      <c r="S133" s="239"/>
      <c r="T133" s="239"/>
      <c r="U133" s="239"/>
      <c r="V133" s="239"/>
    </row>
    <row r="134" spans="14:22">
      <c r="N134" s="239"/>
      <c r="O134" s="239"/>
      <c r="P134" s="239"/>
      <c r="Q134" s="239"/>
      <c r="R134" s="239"/>
      <c r="S134" s="239"/>
      <c r="T134" s="239"/>
      <c r="U134" s="239"/>
      <c r="V134" s="239"/>
    </row>
    <row r="135" spans="14:22">
      <c r="N135" s="239"/>
      <c r="O135" s="239"/>
      <c r="P135" s="239"/>
      <c r="Q135" s="239"/>
      <c r="R135" s="239"/>
      <c r="S135" s="239"/>
      <c r="T135" s="239"/>
      <c r="U135" s="239"/>
      <c r="V135" s="239"/>
    </row>
    <row r="136" spans="14:22">
      <c r="N136" s="239"/>
      <c r="O136" s="239"/>
      <c r="P136" s="239"/>
      <c r="Q136" s="239"/>
      <c r="R136" s="239"/>
      <c r="S136" s="239"/>
      <c r="T136" s="239"/>
      <c r="U136" s="239"/>
      <c r="V136" s="239"/>
    </row>
    <row r="137" spans="14:22">
      <c r="N137" s="239"/>
      <c r="O137" s="239"/>
      <c r="P137" s="239"/>
      <c r="Q137" s="239"/>
      <c r="R137" s="239"/>
      <c r="S137" s="239"/>
      <c r="T137" s="239"/>
      <c r="U137" s="239"/>
      <c r="V137" s="239"/>
    </row>
    <row r="138" spans="14:22">
      <c r="N138" s="239"/>
      <c r="O138" s="239"/>
      <c r="P138" s="239"/>
      <c r="Q138" s="239"/>
      <c r="R138" s="239"/>
      <c r="S138" s="239"/>
      <c r="T138" s="239"/>
      <c r="U138" s="239"/>
      <c r="V138" s="239"/>
    </row>
    <row r="139" spans="14:22">
      <c r="N139" s="239"/>
      <c r="O139" s="239"/>
      <c r="P139" s="239"/>
      <c r="Q139" s="239"/>
      <c r="R139" s="239"/>
      <c r="S139" s="239"/>
      <c r="T139" s="239"/>
      <c r="U139" s="239"/>
      <c r="V139" s="239"/>
    </row>
    <row r="140" spans="14:22">
      <c r="N140" s="239"/>
      <c r="O140" s="239"/>
      <c r="P140" s="239"/>
      <c r="Q140" s="239"/>
      <c r="R140" s="239"/>
      <c r="S140" s="239"/>
      <c r="T140" s="239"/>
      <c r="U140" s="239"/>
      <c r="V140" s="239"/>
    </row>
    <row r="141" spans="14:22">
      <c r="N141" s="239"/>
      <c r="O141" s="239"/>
      <c r="P141" s="239"/>
      <c r="Q141" s="239"/>
      <c r="R141" s="239"/>
      <c r="S141" s="239"/>
      <c r="T141" s="239"/>
      <c r="U141" s="239"/>
      <c r="V141" s="239"/>
    </row>
  </sheetData>
  <sheetProtection algorithmName="SHA-512" hashValue="bQs8CcUwtMeMycUvt5wEp7wbShjVzp9v4MDgKKozJFi50ErCnleCKYzLFynh128peznCilbSR+EdiSSunugvQg==" saltValue="CQMbzlV3SP27/inaa7PvIw==" spinCount="100000" sheet="1" objects="1" scenarios="1" autoFilter="0"/>
  <mergeCells count="13">
    <mergeCell ref="I1:I3"/>
    <mergeCell ref="G5:H5"/>
    <mergeCell ref="G6:H6"/>
    <mergeCell ref="G7:H7"/>
    <mergeCell ref="A1:H1"/>
    <mergeCell ref="A2:H2"/>
    <mergeCell ref="A3:H3"/>
    <mergeCell ref="B35:E35"/>
    <mergeCell ref="B36:E36"/>
    <mergeCell ref="B37:E37"/>
    <mergeCell ref="B46:E46"/>
    <mergeCell ref="B44:E44"/>
    <mergeCell ref="B45:E45"/>
  </mergeCells>
  <phoneticPr fontId="43" type="noConversion"/>
  <conditionalFormatting sqref="I1:I3">
    <cfRule type="cellIs" dxfId="23" priority="1" stopIfTrue="1" operator="equal">
      <formula>"na"</formula>
    </cfRule>
  </conditionalFormatting>
  <hyperlinks>
    <hyperlink ref="A1:H1" location="Index!A1" display="Index!A1" xr:uid="{00000000-0004-0000-0E00-000000000000}"/>
  </hyperlinks>
  <printOptions horizontalCentered="1"/>
  <pageMargins left="0.5" right="0.25" top="0.5" bottom="0.25" header="0.5" footer="0.25"/>
  <pageSetup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K108"/>
  <sheetViews>
    <sheetView showGridLines="0" zoomScaleNormal="100" workbookViewId="0">
      <selection activeCell="K24" sqref="K24"/>
    </sheetView>
  </sheetViews>
  <sheetFormatPr defaultColWidth="10.7109375" defaultRowHeight="13.2"/>
  <cols>
    <col min="1" max="1" width="10.42578125" style="113" customWidth="1"/>
    <col min="2" max="2" width="8.28515625" style="113" customWidth="1"/>
    <col min="3" max="3" width="15.7109375" style="113" customWidth="1"/>
    <col min="4" max="4" width="7.85546875" style="113" customWidth="1"/>
    <col min="5" max="5" width="12" style="113" customWidth="1"/>
    <col min="6" max="6" width="12.42578125" style="113" customWidth="1"/>
    <col min="7" max="8" width="9.7109375" style="113" customWidth="1"/>
    <col min="9" max="9" width="10.7109375" style="113" customWidth="1"/>
    <col min="10" max="10" width="9.7109375" style="113" customWidth="1"/>
    <col min="11" max="11" width="5.42578125" style="113" customWidth="1"/>
    <col min="12" max="16384" width="10.7109375" style="113"/>
  </cols>
  <sheetData>
    <row r="1" spans="1:11" ht="15" customHeight="1">
      <c r="A1" s="1113" t="str">
        <f>+Index!$A$1</f>
        <v>Office of the State Controller</v>
      </c>
      <c r="B1" s="1113"/>
      <c r="C1" s="1113"/>
      <c r="D1" s="1113"/>
      <c r="E1" s="1113"/>
      <c r="F1" s="1113"/>
      <c r="G1" s="1113"/>
      <c r="H1" s="1113"/>
      <c r="I1" s="1113"/>
      <c r="J1" s="1113"/>
      <c r="K1" s="1112"/>
    </row>
    <row r="2" spans="1:11" ht="15" customHeight="1">
      <c r="A2" s="1169" t="str">
        <f>+Index!$A$2</f>
        <v>2023 Year-End ACFR Package</v>
      </c>
      <c r="B2" s="1170"/>
      <c r="C2" s="1170"/>
      <c r="D2" s="1170"/>
      <c r="E2" s="1170"/>
      <c r="F2" s="1170"/>
      <c r="G2" s="1170"/>
      <c r="H2" s="1170"/>
      <c r="I2" s="1170"/>
      <c r="J2" s="1170"/>
      <c r="K2" s="1112"/>
    </row>
    <row r="3" spans="1:11" ht="15" customHeight="1">
      <c r="A3" s="1169" t="s">
        <v>912</v>
      </c>
      <c r="B3" s="1170"/>
      <c r="C3" s="1170"/>
      <c r="D3" s="1170"/>
      <c r="E3" s="1170"/>
      <c r="F3" s="1170"/>
      <c r="G3" s="1170"/>
      <c r="H3" s="1170"/>
      <c r="I3" s="1170"/>
      <c r="J3" s="1170"/>
      <c r="K3" s="1112"/>
    </row>
    <row r="4" spans="1:11" ht="15" customHeight="1">
      <c r="G4" s="114" t="s">
        <v>146</v>
      </c>
      <c r="H4" s="114"/>
    </row>
    <row r="5" spans="1:11" ht="15" customHeight="1">
      <c r="A5" s="115"/>
      <c r="B5" s="115"/>
      <c r="C5" s="115"/>
      <c r="D5" s="115"/>
      <c r="F5" s="886" t="s">
        <v>479</v>
      </c>
      <c r="G5" s="1171" t="str">
        <f>+Index!$D$10</f>
        <v>C0</v>
      </c>
      <c r="H5" s="1171"/>
      <c r="I5" s="1171"/>
      <c r="J5" s="1171"/>
    </row>
    <row r="6" spans="1:11" ht="15" customHeight="1">
      <c r="A6" s="887" t="s">
        <v>851</v>
      </c>
      <c r="B6" s="115"/>
      <c r="C6" s="888" t="s">
        <v>913</v>
      </c>
      <c r="D6" s="116"/>
      <c r="F6" s="886" t="s">
        <v>480</v>
      </c>
      <c r="G6" s="1137" t="str">
        <f>+Index!$D$9</f>
        <v>Alamance Community College</v>
      </c>
      <c r="H6" s="1137"/>
      <c r="I6" s="1137"/>
      <c r="J6" s="1137"/>
    </row>
    <row r="7" spans="1:11" ht="15" customHeight="1">
      <c r="A7" s="887"/>
      <c r="B7" s="115"/>
      <c r="C7" s="889"/>
      <c r="D7" s="889"/>
      <c r="F7" s="886" t="s">
        <v>481</v>
      </c>
      <c r="G7" s="1172" t="str">
        <f>CONCATENATE(Index!$D$11," ",Index!$D$12)</f>
        <v xml:space="preserve"> </v>
      </c>
      <c r="H7" s="1172"/>
      <c r="I7" s="1172"/>
      <c r="J7" s="1172"/>
    </row>
    <row r="8" spans="1:11" ht="15" customHeight="1" thickBot="1">
      <c r="A8" s="117"/>
      <c r="B8" s="117"/>
      <c r="C8" s="117"/>
      <c r="D8" s="117"/>
      <c r="E8" s="118"/>
      <c r="F8" s="117"/>
      <c r="G8" s="117"/>
      <c r="H8" s="117"/>
      <c r="I8" s="117"/>
      <c r="J8" s="117"/>
    </row>
    <row r="9" spans="1:11" ht="15.6">
      <c r="A9" s="115"/>
      <c r="B9" s="115"/>
      <c r="C9" s="115"/>
      <c r="D9" s="115"/>
      <c r="F9" s="115"/>
      <c r="G9" s="115"/>
      <c r="H9" s="115"/>
      <c r="I9" s="115"/>
      <c r="J9" s="115"/>
    </row>
    <row r="10" spans="1:11" ht="15.6">
      <c r="A10" s="119" t="s">
        <v>914</v>
      </c>
    </row>
    <row r="11" spans="1:11" ht="12.75" customHeight="1">
      <c r="A11" s="113" t="s">
        <v>915</v>
      </c>
    </row>
    <row r="12" spans="1:11" ht="12.75" customHeight="1">
      <c r="A12" s="113" t="s">
        <v>916</v>
      </c>
    </row>
    <row r="14" spans="1:11">
      <c r="A14" s="120" t="s">
        <v>917</v>
      </c>
    </row>
    <row r="15" spans="1:11">
      <c r="A15" s="120" t="s">
        <v>918</v>
      </c>
    </row>
    <row r="16" spans="1:11">
      <c r="A16" s="120"/>
    </row>
    <row r="17" spans="1:10">
      <c r="A17" s="113" t="s">
        <v>919</v>
      </c>
    </row>
    <row r="18" spans="1:10">
      <c r="A18" s="113" t="s">
        <v>920</v>
      </c>
    </row>
    <row r="19" spans="1:10">
      <c r="A19" s="113" t="s">
        <v>921</v>
      </c>
    </row>
    <row r="20" spans="1:10">
      <c r="A20" s="113" t="s">
        <v>922</v>
      </c>
    </row>
    <row r="22" spans="1:10">
      <c r="A22" s="121" t="s">
        <v>864</v>
      </c>
    </row>
    <row r="23" spans="1:10">
      <c r="A23" s="113" t="s">
        <v>923</v>
      </c>
    </row>
    <row r="24" spans="1:10">
      <c r="A24" s="113" t="s">
        <v>924</v>
      </c>
    </row>
    <row r="25" spans="1:10" ht="6" customHeight="1"/>
    <row r="26" spans="1:10">
      <c r="A26" s="121"/>
      <c r="B26" s="122" t="s">
        <v>501</v>
      </c>
      <c r="C26" s="304"/>
      <c r="D26" s="1173" t="s">
        <v>925</v>
      </c>
      <c r="E26" s="1173"/>
      <c r="F26" s="305"/>
      <c r="G26" s="1095" t="str">
        <f>IF(AND(ISBLANK(C26),ISBLANK(F26))=TRUE,"Answer Missing"," ")</f>
        <v>Answer Missing</v>
      </c>
      <c r="H26" s="1082"/>
    </row>
    <row r="27" spans="1:10" ht="6" customHeight="1"/>
    <row r="28" spans="1:10" ht="6" customHeight="1"/>
    <row r="29" spans="1:10">
      <c r="A29" s="1168" t="s">
        <v>926</v>
      </c>
      <c r="B29" s="1168"/>
      <c r="C29" s="1081" t="str">
        <f>IF(ISTEXT(C26), "Response for Yes needed", " ")</f>
        <v xml:space="preserve"> </v>
      </c>
      <c r="D29" s="1082"/>
      <c r="E29" s="1082"/>
    </row>
    <row r="30" spans="1:10">
      <c r="A30" s="113" t="s">
        <v>927</v>
      </c>
    </row>
    <row r="31" spans="1:10" ht="15" customHeight="1">
      <c r="A31" s="721"/>
      <c r="B31" s="721"/>
      <c r="C31" s="721"/>
      <c r="D31" s="721"/>
      <c r="E31" s="721"/>
      <c r="F31" s="721"/>
      <c r="G31" s="721"/>
      <c r="H31" s="721"/>
      <c r="I31" s="721"/>
      <c r="J31" s="721"/>
    </row>
    <row r="32" spans="1:10" ht="15" customHeight="1">
      <c r="A32" s="1167"/>
      <c r="B32" s="1167"/>
      <c r="C32" s="1167"/>
      <c r="D32" s="1167"/>
      <c r="E32" s="1167"/>
      <c r="F32" s="1167"/>
      <c r="G32" s="1167"/>
      <c r="H32" s="1167"/>
      <c r="I32" s="1167"/>
      <c r="J32" s="1167"/>
    </row>
    <row r="33" spans="1:10" ht="15" customHeight="1">
      <c r="A33" s="1167"/>
      <c r="B33" s="1167"/>
      <c r="C33" s="1167"/>
      <c r="D33" s="1167"/>
      <c r="E33" s="1167"/>
      <c r="F33" s="1167"/>
      <c r="G33" s="1167"/>
      <c r="H33" s="1167"/>
      <c r="I33" s="1167"/>
      <c r="J33" s="1167"/>
    </row>
    <row r="34" spans="1:10" ht="15" customHeight="1">
      <c r="A34" s="1174"/>
      <c r="B34" s="1174"/>
      <c r="C34" s="1174"/>
      <c r="D34" s="1174"/>
      <c r="E34" s="1174"/>
      <c r="F34" s="1174"/>
      <c r="G34" s="1174"/>
      <c r="H34" s="1174"/>
      <c r="I34" s="1174"/>
      <c r="J34" s="1174"/>
    </row>
    <row r="35" spans="1:10" ht="15" customHeight="1">
      <c r="A35" s="1167"/>
      <c r="B35" s="1167"/>
      <c r="C35" s="1167"/>
      <c r="D35" s="1167"/>
      <c r="E35" s="1167"/>
      <c r="F35" s="1167"/>
      <c r="G35" s="1167"/>
      <c r="H35" s="1167"/>
      <c r="I35" s="1167"/>
      <c r="J35" s="1167"/>
    </row>
    <row r="36" spans="1:10" ht="15" customHeight="1">
      <c r="A36" s="1167"/>
      <c r="B36" s="1167"/>
      <c r="C36" s="1167"/>
      <c r="D36" s="1167"/>
      <c r="E36" s="1167"/>
      <c r="F36" s="1167"/>
      <c r="G36" s="1167"/>
      <c r="H36" s="1167"/>
      <c r="I36" s="1167"/>
      <c r="J36" s="1167"/>
    </row>
    <row r="37" spans="1:10" ht="15" customHeight="1" thickBot="1">
      <c r="A37" s="647"/>
      <c r="B37" s="647"/>
      <c r="C37" s="647"/>
      <c r="D37" s="647"/>
      <c r="E37" s="647"/>
      <c r="F37" s="647"/>
      <c r="G37" s="647"/>
      <c r="H37" s="647"/>
      <c r="I37" s="647"/>
      <c r="J37" s="647"/>
    </row>
    <row r="38" spans="1:10" ht="3.9" customHeight="1" thickBot="1">
      <c r="A38" s="123"/>
      <c r="B38" s="124"/>
      <c r="C38" s="124"/>
      <c r="D38" s="124"/>
      <c r="E38" s="124"/>
      <c r="F38" s="124"/>
      <c r="G38" s="124"/>
      <c r="H38" s="124"/>
      <c r="I38" s="124"/>
      <c r="J38" s="125"/>
    </row>
    <row r="39" spans="1:10" ht="12.75" customHeight="1"/>
    <row r="40" spans="1:10" ht="12.75" customHeight="1">
      <c r="A40" s="119" t="s">
        <v>928</v>
      </c>
    </row>
    <row r="41" spans="1:10" ht="12.75" customHeight="1"/>
    <row r="42" spans="1:10" ht="12.75" customHeight="1">
      <c r="A42" s="113" t="s">
        <v>929</v>
      </c>
    </row>
    <row r="43" spans="1:10" ht="12.75" customHeight="1">
      <c r="A43" s="126" t="s">
        <v>930</v>
      </c>
    </row>
    <row r="44" spans="1:10" ht="12.75" customHeight="1">
      <c r="A44" s="113" t="s">
        <v>931</v>
      </c>
    </row>
    <row r="45" spans="1:10" ht="12.75" customHeight="1">
      <c r="A45" s="113" t="s">
        <v>932</v>
      </c>
    </row>
    <row r="46" spans="1:10" ht="12.75" customHeight="1">
      <c r="A46" s="113" t="s">
        <v>933</v>
      </c>
    </row>
    <row r="47" spans="1:10" ht="12.75" customHeight="1"/>
    <row r="48" spans="1:10" ht="12.75" customHeight="1">
      <c r="A48" s="121" t="s">
        <v>864</v>
      </c>
    </row>
    <row r="49" spans="1:10" ht="12.75" customHeight="1">
      <c r="A49" s="113" t="s">
        <v>934</v>
      </c>
      <c r="G49" s="122" t="s">
        <v>501</v>
      </c>
      <c r="H49" s="304"/>
      <c r="I49" s="122" t="s">
        <v>502</v>
      </c>
      <c r="J49" s="306"/>
    </row>
    <row r="50" spans="1:10" ht="12.75" customHeight="1">
      <c r="I50" s="1095" t="str">
        <f>IF(AND(ISBLANK(H49),ISBLANK(J49))=TRUE,"Answer Missing"," ")</f>
        <v>Answer Missing</v>
      </c>
      <c r="J50" s="1082"/>
    </row>
    <row r="51" spans="1:10" ht="12.75" customHeight="1">
      <c r="A51" s="1168" t="s">
        <v>935</v>
      </c>
      <c r="B51" s="1168"/>
      <c r="C51" s="1081" t="str">
        <f>IF(ISTEXT(H49), "Response for Yes needed", " ")</f>
        <v xml:space="preserve"> </v>
      </c>
      <c r="D51" s="1082"/>
      <c r="E51" s="1082"/>
    </row>
    <row r="52" spans="1:10" ht="12.75" customHeight="1">
      <c r="A52" s="113" t="s">
        <v>927</v>
      </c>
    </row>
    <row r="53" spans="1:10" ht="15" customHeight="1">
      <c r="A53" s="721"/>
      <c r="B53" s="721"/>
      <c r="C53" s="721"/>
      <c r="D53" s="721"/>
      <c r="E53" s="721"/>
      <c r="F53" s="721"/>
      <c r="G53" s="721"/>
      <c r="H53" s="721"/>
      <c r="I53" s="721"/>
      <c r="J53" s="721"/>
    </row>
    <row r="54" spans="1:10" ht="15" customHeight="1">
      <c r="A54" s="1167"/>
      <c r="B54" s="1167"/>
      <c r="C54" s="1167"/>
      <c r="D54" s="1167"/>
      <c r="E54" s="1167"/>
      <c r="F54" s="1167"/>
      <c r="G54" s="1167"/>
      <c r="H54" s="1167"/>
      <c r="I54" s="1167"/>
      <c r="J54" s="1167"/>
    </row>
    <row r="55" spans="1:10" ht="15" customHeight="1">
      <c r="A55" s="1167"/>
      <c r="B55" s="1167"/>
      <c r="C55" s="1167"/>
      <c r="D55" s="1167"/>
      <c r="E55" s="1167"/>
      <c r="F55" s="1167"/>
      <c r="G55" s="1167"/>
      <c r="H55" s="1167"/>
      <c r="I55" s="1167"/>
      <c r="J55" s="1167"/>
    </row>
    <row r="56" spans="1:10" ht="15" customHeight="1">
      <c r="A56" s="1167"/>
      <c r="B56" s="1167"/>
      <c r="C56" s="1167"/>
      <c r="D56" s="1167"/>
      <c r="E56" s="1167"/>
      <c r="F56" s="1167"/>
      <c r="G56" s="1167"/>
      <c r="H56" s="1167"/>
      <c r="I56" s="1167"/>
      <c r="J56" s="1167"/>
    </row>
    <row r="58" spans="1:10" ht="12" customHeight="1"/>
    <row r="59" spans="1:10" ht="6" customHeight="1"/>
    <row r="70" ht="15.9" customHeight="1"/>
    <row r="71" ht="6" customHeight="1"/>
    <row r="73" ht="9.9" customHeight="1"/>
    <row r="76" ht="6" customHeight="1"/>
    <row r="77" ht="12.75" customHeight="1"/>
    <row r="81" ht="9.9" customHeight="1"/>
    <row r="82" ht="12.75" customHeight="1"/>
    <row r="84" ht="15.9" customHeight="1"/>
    <row r="85" ht="6" customHeight="1"/>
    <row r="87" ht="6" customHeight="1"/>
    <row r="88" ht="9.9" customHeight="1"/>
    <row r="89" ht="9.9" customHeight="1"/>
    <row r="90" ht="9.9" customHeight="1"/>
    <row r="91" ht="9.9" customHeight="1"/>
    <row r="92" ht="9.9" customHeight="1"/>
    <row r="93" ht="9.9" customHeight="1"/>
    <row r="94" ht="9.9" customHeight="1"/>
    <row r="95" ht="9.9" customHeight="1"/>
    <row r="96" ht="9.9" customHeight="1"/>
    <row r="97" ht="6" customHeight="1"/>
    <row r="98" ht="9.9" customHeight="1"/>
    <row r="99" ht="9.9" customHeight="1"/>
    <row r="100" ht="9.9" customHeight="1"/>
    <row r="101" ht="9.9" customHeight="1"/>
    <row r="102" ht="9.9" customHeight="1"/>
    <row r="103" ht="6" customHeight="1"/>
    <row r="104" ht="9.9" customHeight="1"/>
    <row r="105" ht="6" customHeight="1"/>
    <row r="108" ht="9.9" customHeight="1"/>
  </sheetData>
  <sheetProtection algorithmName="SHA-512" hashValue="LVh3Hh/l9T5+KITde8irNc42I/+VmHheljuHoTBbGHc7zNKSLu89wx6DGrgtbUJgiwQzohnQp3b5T6L3aJJRGA==" saltValue="qpRz2ToEcudeVklk0SnJxQ==" spinCount="100000" sheet="1" objects="1" scenarios="1" autoFilter="0"/>
  <mergeCells count="22">
    <mergeCell ref="C51:E51"/>
    <mergeCell ref="C29:E29"/>
    <mergeCell ref="A33:J33"/>
    <mergeCell ref="A36:J36"/>
    <mergeCell ref="A34:J34"/>
    <mergeCell ref="A35:J35"/>
    <mergeCell ref="K1:K3"/>
    <mergeCell ref="A55:J55"/>
    <mergeCell ref="A56:J56"/>
    <mergeCell ref="A51:B51"/>
    <mergeCell ref="A54:J54"/>
    <mergeCell ref="A29:B29"/>
    <mergeCell ref="A32:J32"/>
    <mergeCell ref="A1:J1"/>
    <mergeCell ref="A2:J2"/>
    <mergeCell ref="A3:J3"/>
    <mergeCell ref="G5:J5"/>
    <mergeCell ref="G6:J6"/>
    <mergeCell ref="G7:J7"/>
    <mergeCell ref="I50:J50"/>
    <mergeCell ref="G26:H26"/>
    <mergeCell ref="D26:E26"/>
  </mergeCells>
  <phoneticPr fontId="43" type="noConversion"/>
  <conditionalFormatting sqref="C29">
    <cfRule type="containsText" dxfId="22" priority="2" stopIfTrue="1" operator="containsText" text="Response for Yes needed">
      <formula>NOT(ISERROR(SEARCH("Response for Yes needed",C29)))</formula>
    </cfRule>
  </conditionalFormatting>
  <conditionalFormatting sqref="C51">
    <cfRule type="containsText" dxfId="21" priority="4" stopIfTrue="1" operator="containsText" text="Response for Yes needed">
      <formula>NOT(ISERROR(SEARCH("Response for Yes needed",C51)))</formula>
    </cfRule>
  </conditionalFormatting>
  <conditionalFormatting sqref="C29:E29">
    <cfRule type="containsText" dxfId="20" priority="1" stopIfTrue="1" operator="containsText" text="Response for Yes needed">
      <formula>NOT(ISERROR(SEARCH("Response for Yes needed",C29)))</formula>
    </cfRule>
  </conditionalFormatting>
  <conditionalFormatting sqref="C51:E51">
    <cfRule type="containsText" dxfId="19" priority="3" stopIfTrue="1" operator="containsText" text="Response for Yes needed">
      <formula>NOT(ISERROR(SEARCH("Response for Yes needed",C51)))</formula>
    </cfRule>
  </conditionalFormatting>
  <conditionalFormatting sqref="G26:H26">
    <cfRule type="containsText" dxfId="18" priority="6" stopIfTrue="1" operator="containsText" text="Answer Missing">
      <formula>NOT(ISERROR(SEARCH("Answer Missing",G26)))</formula>
    </cfRule>
  </conditionalFormatting>
  <conditionalFormatting sqref="I50:J50">
    <cfRule type="containsText" dxfId="17" priority="5" stopIfTrue="1" operator="containsText" text="Answer Missing">
      <formula>NOT(ISERROR(SEARCH("Answer Missing",I50)))</formula>
    </cfRule>
  </conditionalFormatting>
  <conditionalFormatting sqref="K1:K3">
    <cfRule type="cellIs" dxfId="16" priority="7" stopIfTrue="1" operator="equal">
      <formula>"na"</formula>
    </cfRule>
  </conditionalFormatting>
  <hyperlinks>
    <hyperlink ref="A1:J1" location="Index!A1" display="Index!A1" xr:uid="{00000000-0004-0000-0F00-000000000000}"/>
  </hyperlinks>
  <printOptions horizontalCentered="1"/>
  <pageMargins left="0.5" right="0.25" top="0.5" bottom="0.25" header="0.5"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AA59"/>
  <sheetViews>
    <sheetView showGridLines="0" zoomScaleNormal="100" workbookViewId="0">
      <selection activeCell="K24" sqref="K24"/>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113" t="str">
        <f>+Index!$A$1</f>
        <v>Office of the State Controller</v>
      </c>
      <c r="B1" s="1113"/>
      <c r="C1" s="1113"/>
      <c r="D1" s="1113"/>
      <c r="E1" s="1113"/>
      <c r="F1" s="1113"/>
      <c r="G1" s="1113"/>
      <c r="H1" s="1113"/>
      <c r="I1" s="1113"/>
      <c r="J1" s="1113"/>
      <c r="K1" s="1113"/>
      <c r="L1" s="1113"/>
      <c r="M1" s="1113"/>
      <c r="N1" s="1175" t="str">
        <f>IF(Index!$B$57="na","NA","")</f>
        <v/>
      </c>
      <c r="AA1" s="197"/>
    </row>
    <row r="2" spans="1:27" s="196" customFormat="1" ht="15" customHeight="1">
      <c r="A2" s="1114" t="str">
        <f>Index!A2</f>
        <v>2023 Year-End ACFR Package</v>
      </c>
      <c r="B2" s="1114"/>
      <c r="C2" s="1114"/>
      <c r="D2" s="1114"/>
      <c r="E2" s="1114"/>
      <c r="F2" s="1114"/>
      <c r="G2" s="1114"/>
      <c r="H2" s="1114"/>
      <c r="I2" s="1114"/>
      <c r="J2" s="1114"/>
      <c r="K2" s="1114"/>
      <c r="L2" s="1114"/>
      <c r="M2" s="1114"/>
      <c r="N2" s="1175"/>
    </row>
    <row r="3" spans="1:27" s="196" customFormat="1" ht="15" customHeight="1">
      <c r="A3" s="1114" t="s">
        <v>936</v>
      </c>
      <c r="B3" s="1114"/>
      <c r="C3" s="1114"/>
      <c r="D3" s="1114"/>
      <c r="E3" s="1114"/>
      <c r="F3" s="1114"/>
      <c r="G3" s="1114"/>
      <c r="H3" s="1114"/>
      <c r="I3" s="1114"/>
      <c r="J3" s="1114"/>
      <c r="K3" s="1114"/>
      <c r="L3" s="1114"/>
      <c r="M3" s="1114"/>
      <c r="N3" s="1175"/>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479</v>
      </c>
      <c r="J5" s="1171" t="str">
        <f>+Index!$D$10</f>
        <v>C0</v>
      </c>
      <c r="K5" s="1171"/>
      <c r="L5" s="1171"/>
      <c r="M5" s="1171"/>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480</v>
      </c>
      <c r="J6" s="1137" t="str">
        <f>+Index!$D$9</f>
        <v>Alamance Community College</v>
      </c>
      <c r="K6" s="1137"/>
      <c r="L6" s="1137"/>
      <c r="M6" s="1137"/>
      <c r="N6" s="318"/>
      <c r="O6" s="318"/>
      <c r="P6" s="318"/>
      <c r="Q6" s="318"/>
      <c r="R6" s="318"/>
      <c r="S6" s="318"/>
      <c r="T6" s="318"/>
      <c r="U6" s="318"/>
      <c r="V6" s="318"/>
      <c r="W6" s="318"/>
      <c r="X6" s="318"/>
      <c r="Y6" s="318"/>
      <c r="Z6" s="318"/>
      <c r="AA6" s="318"/>
    </row>
    <row r="7" spans="1:27" s="198" customFormat="1" ht="15" customHeight="1">
      <c r="A7" s="318" t="s">
        <v>597</v>
      </c>
      <c r="B7" s="318"/>
      <c r="C7" s="318"/>
      <c r="D7" s="862" t="s">
        <v>493</v>
      </c>
      <c r="E7" s="863"/>
      <c r="F7" s="318"/>
      <c r="G7" s="318"/>
      <c r="H7" s="318"/>
      <c r="I7" s="320" t="s">
        <v>481</v>
      </c>
      <c r="J7" s="1172" t="str">
        <f>CONCATENATE(Index!$D$11," ",Index!$D$12)</f>
        <v xml:space="preserve"> </v>
      </c>
      <c r="K7" s="1172"/>
      <c r="L7" s="1172"/>
      <c r="M7" s="1172"/>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2.7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2.75" customHeight="1">
      <c r="A10" s="746" t="s">
        <v>937</v>
      </c>
      <c r="B10" s="746"/>
      <c r="C10" s="746"/>
      <c r="D10" s="746"/>
      <c r="E10" s="746"/>
      <c r="F10" s="746"/>
      <c r="G10" s="746"/>
      <c r="H10" s="746"/>
      <c r="I10" s="746"/>
      <c r="J10" s="746"/>
      <c r="K10" s="746"/>
      <c r="L10" s="746"/>
      <c r="M10" s="746"/>
      <c r="N10" s="746"/>
      <c r="O10" s="318"/>
      <c r="P10" s="318"/>
      <c r="Q10" s="318"/>
      <c r="R10" s="318"/>
      <c r="S10" s="318"/>
      <c r="T10" s="318"/>
      <c r="U10" s="318"/>
      <c r="V10" s="318"/>
      <c r="W10" s="318"/>
      <c r="X10" s="318"/>
      <c r="Y10" s="318"/>
      <c r="Z10" s="318"/>
      <c r="AA10" s="318"/>
    </row>
    <row r="11" spans="1:27" s="198" customFormat="1" ht="12.75" customHeight="1">
      <c r="A11" s="746" t="s">
        <v>938</v>
      </c>
      <c r="B11" s="746"/>
      <c r="C11" s="746"/>
      <c r="D11" s="746"/>
      <c r="E11" s="746"/>
      <c r="F11" s="746"/>
      <c r="G11" s="746"/>
      <c r="H11" s="746"/>
      <c r="I11" s="746"/>
      <c r="J11" s="746"/>
      <c r="K11" s="746"/>
      <c r="L11" s="746"/>
      <c r="M11" s="746"/>
      <c r="N11" s="746"/>
      <c r="O11" s="318"/>
      <c r="P11" s="318"/>
      <c r="Q11" s="318"/>
      <c r="R11" s="318"/>
      <c r="S11" s="318"/>
      <c r="T11" s="318"/>
      <c r="U11" s="318"/>
      <c r="V11" s="318"/>
      <c r="W11" s="318"/>
      <c r="X11" s="318"/>
      <c r="Y11" s="318"/>
      <c r="Z11" s="318"/>
      <c r="AA11" s="318"/>
    </row>
    <row r="12" spans="1:27" s="198" customFormat="1" ht="12.75" customHeight="1">
      <c r="A12" s="746" t="s">
        <v>939</v>
      </c>
      <c r="B12" s="746"/>
      <c r="C12" s="746"/>
      <c r="D12" s="746"/>
      <c r="E12" s="746"/>
      <c r="F12" s="746"/>
      <c r="G12" s="746"/>
      <c r="H12" s="746"/>
      <c r="I12" s="746"/>
      <c r="J12" s="746"/>
      <c r="K12" s="746"/>
      <c r="L12" s="746"/>
      <c r="M12" s="746"/>
      <c r="N12" s="746"/>
      <c r="O12" s="318"/>
      <c r="P12" s="318"/>
      <c r="Q12" s="318"/>
      <c r="R12" s="318"/>
      <c r="S12" s="318"/>
      <c r="T12" s="318"/>
      <c r="U12" s="318"/>
      <c r="V12" s="318"/>
      <c r="W12" s="318"/>
      <c r="X12" s="318"/>
      <c r="Y12" s="318"/>
      <c r="Z12" s="318"/>
      <c r="AA12" s="318"/>
    </row>
    <row r="13" spans="1:27" s="198" customFormat="1" ht="12.75" customHeight="1">
      <c r="A13" s="315" t="s">
        <v>940</v>
      </c>
      <c r="B13" s="746"/>
      <c r="C13" s="746"/>
      <c r="D13" s="746"/>
      <c r="E13" s="746"/>
      <c r="F13" s="746"/>
      <c r="G13" s="746"/>
      <c r="H13" s="746"/>
      <c r="I13" s="746"/>
      <c r="J13" s="746"/>
      <c r="K13" s="746"/>
      <c r="L13" s="746"/>
      <c r="M13" s="746"/>
      <c r="N13" s="746"/>
      <c r="O13" s="318"/>
      <c r="P13" s="318"/>
      <c r="Q13" s="318"/>
      <c r="R13" s="318"/>
      <c r="S13" s="318"/>
      <c r="T13" s="318"/>
      <c r="U13" s="318"/>
      <c r="V13" s="318"/>
      <c r="W13" s="318"/>
      <c r="X13" s="318"/>
      <c r="Y13" s="318"/>
      <c r="Z13" s="318"/>
      <c r="AA13" s="318"/>
    </row>
    <row r="14" spans="1:27" s="198" customFormat="1" ht="12.75" customHeight="1">
      <c r="A14" s="315" t="s">
        <v>941</v>
      </c>
      <c r="B14" s="746"/>
      <c r="C14" s="746"/>
      <c r="D14" s="746"/>
      <c r="E14" s="746"/>
      <c r="F14" s="746"/>
      <c r="G14" s="746"/>
      <c r="H14" s="746"/>
      <c r="I14" s="746"/>
      <c r="J14" s="746"/>
      <c r="K14" s="746"/>
      <c r="L14" s="746"/>
      <c r="M14" s="746"/>
      <c r="N14" s="746"/>
      <c r="O14" s="318"/>
      <c r="P14" s="318"/>
      <c r="Q14" s="318"/>
      <c r="R14" s="318"/>
      <c r="S14" s="318"/>
      <c r="T14" s="318"/>
      <c r="U14" s="318"/>
      <c r="V14" s="318"/>
      <c r="W14" s="318"/>
      <c r="X14" s="318"/>
      <c r="Y14" s="318"/>
      <c r="Z14" s="318"/>
      <c r="AA14" s="318"/>
    </row>
    <row r="15" spans="1:27" s="198" customFormat="1" ht="12.75" customHeight="1">
      <c r="A15" s="746"/>
      <c r="B15" s="746"/>
      <c r="C15" s="746"/>
      <c r="D15" s="746"/>
      <c r="E15" s="746"/>
      <c r="F15" s="746"/>
      <c r="G15" s="746"/>
      <c r="H15" s="746"/>
      <c r="I15" s="746"/>
      <c r="J15" s="746"/>
      <c r="K15" s="746"/>
      <c r="L15" s="746"/>
      <c r="M15" s="746"/>
      <c r="N15" s="746"/>
      <c r="O15" s="318"/>
      <c r="P15" s="318"/>
      <c r="Q15" s="318"/>
      <c r="R15" s="318"/>
      <c r="S15" s="318"/>
      <c r="T15" s="318"/>
      <c r="U15" s="318"/>
      <c r="V15" s="318"/>
      <c r="W15" s="318"/>
      <c r="X15" s="318"/>
      <c r="Y15" s="318"/>
      <c r="Z15" s="318"/>
      <c r="AA15" s="318"/>
    </row>
    <row r="16" spans="1:27" s="198" customFormat="1" ht="12.75" customHeight="1">
      <c r="A16" s="746" t="s">
        <v>942</v>
      </c>
      <c r="B16" s="746"/>
      <c r="C16" s="746"/>
      <c r="D16" s="746"/>
      <c r="E16" s="746"/>
      <c r="F16" s="746"/>
      <c r="G16" s="746"/>
      <c r="H16" s="746"/>
      <c r="I16" s="746"/>
      <c r="J16" s="746"/>
      <c r="K16" s="746"/>
      <c r="L16" s="746"/>
      <c r="M16" s="746"/>
      <c r="N16" s="746"/>
      <c r="O16" s="318"/>
      <c r="P16" s="318"/>
      <c r="Q16" s="318"/>
      <c r="R16" s="318"/>
      <c r="S16" s="318"/>
      <c r="T16" s="318"/>
      <c r="U16" s="318"/>
      <c r="V16" s="318"/>
      <c r="W16" s="318"/>
      <c r="X16" s="318"/>
      <c r="Y16" s="318"/>
      <c r="Z16" s="318"/>
      <c r="AA16" s="318"/>
    </row>
    <row r="17" spans="1:14" s="198" customFormat="1" ht="12.75" customHeight="1">
      <c r="A17" s="1009"/>
      <c r="B17" s="1009"/>
      <c r="C17" s="1009"/>
      <c r="D17" s="1009"/>
      <c r="E17" s="1009"/>
      <c r="F17" s="1009"/>
      <c r="G17" s="1009"/>
      <c r="H17" s="1009"/>
      <c r="I17" s="1009"/>
      <c r="J17" s="1009"/>
      <c r="K17" s="1009"/>
      <c r="L17" s="1009"/>
      <c r="M17" s="1009"/>
      <c r="N17" s="746"/>
    </row>
    <row r="18" spans="1:14" s="198" customFormat="1" ht="12.75" customHeight="1">
      <c r="A18" s="890" t="s">
        <v>606</v>
      </c>
      <c r="B18" s="1009" t="s">
        <v>943</v>
      </c>
      <c r="C18" s="746"/>
      <c r="D18" s="1009"/>
      <c r="E18" s="1009"/>
      <c r="F18" s="1009"/>
      <c r="G18" s="1009"/>
      <c r="H18" s="1009"/>
      <c r="I18" s="1009"/>
      <c r="J18" s="1009"/>
      <c r="K18" s="1009"/>
      <c r="L18" s="1009"/>
      <c r="M18" s="1009"/>
      <c r="N18" s="746"/>
    </row>
    <row r="19" spans="1:14" s="198" customFormat="1" ht="12.75" customHeight="1">
      <c r="A19" s="890" t="s">
        <v>608</v>
      </c>
      <c r="B19" s="1009" t="s">
        <v>944</v>
      </c>
      <c r="C19" s="746"/>
      <c r="D19" s="1009"/>
      <c r="E19" s="1009"/>
      <c r="F19" s="1009"/>
      <c r="G19" s="1009"/>
      <c r="H19" s="1009"/>
      <c r="I19" s="1009"/>
      <c r="J19" s="1009"/>
      <c r="K19" s="1009"/>
      <c r="L19" s="1009"/>
      <c r="M19" s="1009"/>
      <c r="N19" s="746"/>
    </row>
    <row r="20" spans="1:14" s="198" customFormat="1" ht="12.75" customHeight="1">
      <c r="A20" s="199"/>
      <c r="B20" s="1009" t="s">
        <v>945</v>
      </c>
      <c r="C20" s="746"/>
      <c r="D20" s="1009"/>
      <c r="E20" s="1009"/>
      <c r="F20" s="1009"/>
      <c r="G20" s="1009"/>
      <c r="H20" s="1009"/>
      <c r="I20" s="1009"/>
      <c r="J20" s="1009"/>
      <c r="K20" s="1009"/>
      <c r="L20" s="1009"/>
      <c r="M20" s="1009"/>
      <c r="N20" s="746"/>
    </row>
    <row r="21" spans="1:14" s="198" customFormat="1" ht="12.75" customHeight="1">
      <c r="A21" s="199"/>
      <c r="B21" s="1009" t="s">
        <v>946</v>
      </c>
      <c r="C21" s="746"/>
      <c r="D21" s="1009"/>
      <c r="E21" s="1009"/>
      <c r="F21" s="1009"/>
      <c r="G21" s="1009"/>
      <c r="H21" s="1009"/>
      <c r="I21" s="1009"/>
      <c r="J21" s="1009"/>
      <c r="K21" s="1009"/>
      <c r="L21" s="1009"/>
      <c r="M21" s="1009"/>
      <c r="N21" s="746"/>
    </row>
    <row r="22" spans="1:14" s="198" customFormat="1" ht="12.75" customHeight="1">
      <c r="A22" s="890" t="s">
        <v>611</v>
      </c>
      <c r="B22" s="1009" t="s">
        <v>947</v>
      </c>
      <c r="C22" s="746"/>
      <c r="D22" s="1009"/>
      <c r="E22" s="1009"/>
      <c r="F22" s="1009"/>
      <c r="G22" s="1009"/>
      <c r="H22" s="1009"/>
      <c r="I22" s="1009"/>
      <c r="J22" s="1009"/>
      <c r="K22" s="1009"/>
      <c r="L22" s="1009"/>
      <c r="M22" s="1009"/>
      <c r="N22" s="746"/>
    </row>
    <row r="23" spans="1:14" s="198" customFormat="1" ht="12.75" customHeight="1">
      <c r="A23" s="199"/>
      <c r="B23" s="1009" t="s">
        <v>948</v>
      </c>
      <c r="C23" s="746"/>
      <c r="D23" s="1009"/>
      <c r="E23" s="1009"/>
      <c r="F23" s="1009"/>
      <c r="G23" s="1009"/>
      <c r="H23" s="1009"/>
      <c r="I23" s="1009"/>
      <c r="J23" s="1009"/>
      <c r="K23" s="1009"/>
      <c r="L23" s="1009"/>
      <c r="M23" s="1009"/>
      <c r="N23" s="746"/>
    </row>
    <row r="24" spans="1:14" s="198" customFormat="1" ht="12.75" customHeight="1">
      <c r="A24" s="199"/>
      <c r="B24" s="1009" t="s">
        <v>949</v>
      </c>
      <c r="C24" s="746"/>
      <c r="D24" s="1009"/>
      <c r="E24" s="1009"/>
      <c r="F24" s="1009"/>
      <c r="G24" s="1009"/>
      <c r="H24" s="1009"/>
      <c r="I24" s="1009"/>
      <c r="J24" s="1009"/>
      <c r="K24" s="1009"/>
      <c r="L24" s="1009"/>
      <c r="M24" s="1009"/>
      <c r="N24" s="746"/>
    </row>
    <row r="25" spans="1:14" s="198" customFormat="1" ht="12.75" customHeight="1">
      <c r="A25" s="890" t="s">
        <v>614</v>
      </c>
      <c r="B25" s="1009" t="s">
        <v>950</v>
      </c>
      <c r="C25" s="1009"/>
      <c r="D25" s="1009"/>
      <c r="E25" s="1009"/>
      <c r="F25" s="1009"/>
      <c r="G25" s="1009"/>
      <c r="H25" s="1009"/>
      <c r="I25" s="1009"/>
      <c r="J25" s="1009"/>
      <c r="K25" s="1009"/>
      <c r="L25" s="1009"/>
      <c r="M25" s="1009"/>
      <c r="N25" s="746"/>
    </row>
    <row r="26" spans="1:14" s="198" customFormat="1" ht="12.75" customHeight="1">
      <c r="A26" s="1009"/>
      <c r="B26" s="1009" t="s">
        <v>951</v>
      </c>
      <c r="C26" s="1009"/>
      <c r="D26" s="1009"/>
      <c r="E26" s="1009"/>
      <c r="F26" s="1009"/>
      <c r="G26" s="1009"/>
      <c r="H26" s="1009"/>
      <c r="I26" s="1009"/>
      <c r="J26" s="1009"/>
      <c r="K26" s="1009"/>
      <c r="L26" s="1009"/>
      <c r="M26" s="1009"/>
      <c r="N26" s="746"/>
    </row>
    <row r="27" spans="1:14" s="198" customFormat="1" ht="12.75" customHeight="1">
      <c r="A27" s="891"/>
      <c r="B27" s="891"/>
      <c r="C27" s="891"/>
      <c r="D27" s="891"/>
      <c r="E27" s="891"/>
      <c r="F27" s="891"/>
      <c r="G27" s="891"/>
      <c r="H27" s="891"/>
      <c r="I27" s="891"/>
      <c r="J27" s="891"/>
      <c r="K27" s="891"/>
      <c r="L27" s="891"/>
      <c r="M27" s="891"/>
      <c r="N27" s="318"/>
    </row>
    <row r="28" spans="1:14" ht="15.75" customHeight="1">
      <c r="B28" s="1117"/>
      <c r="C28" s="1117"/>
      <c r="D28" s="1117"/>
      <c r="E28" s="1117"/>
      <c r="F28" s="1117"/>
      <c r="G28" s="1117"/>
      <c r="H28" s="1117"/>
      <c r="I28" s="1117"/>
      <c r="J28" s="1117"/>
      <c r="K28" s="1117"/>
      <c r="L28" s="1117"/>
      <c r="M28" s="1117"/>
    </row>
    <row r="29" spans="1:14" ht="15.75" customHeight="1">
      <c r="B29" s="1117"/>
      <c r="C29" s="1117"/>
      <c r="D29" s="1117"/>
      <c r="E29" s="1117"/>
      <c r="F29" s="1117"/>
      <c r="G29" s="1117"/>
      <c r="H29" s="1117"/>
      <c r="I29" s="1117"/>
      <c r="J29" s="1117"/>
      <c r="K29" s="1117"/>
      <c r="L29" s="1117"/>
      <c r="M29" s="1117"/>
    </row>
    <row r="30" spans="1:14" ht="15.75" customHeight="1">
      <c r="B30" s="1117"/>
      <c r="C30" s="1117"/>
      <c r="D30" s="1117"/>
      <c r="E30" s="1117"/>
      <c r="F30" s="1117"/>
      <c r="G30" s="1117"/>
      <c r="H30" s="1117"/>
      <c r="I30" s="1117"/>
      <c r="J30" s="1117"/>
      <c r="K30" s="1117"/>
      <c r="L30" s="1117"/>
      <c r="M30" s="1117"/>
    </row>
    <row r="31" spans="1:14" ht="15.75" customHeight="1">
      <c r="B31" s="1117"/>
      <c r="C31" s="1117"/>
      <c r="D31" s="1117"/>
      <c r="E31" s="1117"/>
      <c r="F31" s="1117"/>
      <c r="G31" s="1117"/>
      <c r="H31" s="1117"/>
      <c r="I31" s="1117"/>
      <c r="J31" s="1117"/>
      <c r="K31" s="1117"/>
      <c r="L31" s="1117"/>
      <c r="M31" s="1117"/>
    </row>
    <row r="32" spans="1:14" ht="15.75" customHeight="1">
      <c r="B32" s="1117"/>
      <c r="C32" s="1117"/>
      <c r="D32" s="1117"/>
      <c r="E32" s="1117"/>
      <c r="F32" s="1117"/>
      <c r="G32" s="1117"/>
      <c r="H32" s="1117"/>
      <c r="I32" s="1117"/>
      <c r="J32" s="1117"/>
      <c r="K32" s="1117"/>
      <c r="L32" s="1117"/>
      <c r="M32" s="1117"/>
    </row>
    <row r="33" spans="1:14" ht="15.75" customHeight="1">
      <c r="B33" s="1117"/>
      <c r="C33" s="1117"/>
      <c r="D33" s="1117"/>
      <c r="E33" s="1117"/>
      <c r="F33" s="1117"/>
      <c r="G33" s="1117"/>
      <c r="H33" s="1117"/>
      <c r="I33" s="1117"/>
      <c r="J33" s="1117"/>
      <c r="K33" s="1117"/>
      <c r="L33" s="1117"/>
      <c r="M33" s="1117"/>
    </row>
    <row r="34" spans="1:14" ht="15.75" customHeight="1">
      <c r="B34" s="1117"/>
      <c r="C34" s="1117"/>
      <c r="D34" s="1117"/>
      <c r="E34" s="1117"/>
      <c r="F34" s="1117"/>
      <c r="G34" s="1117"/>
      <c r="H34" s="1117"/>
      <c r="I34" s="1117"/>
      <c r="J34" s="1117"/>
      <c r="K34" s="1117"/>
      <c r="L34" s="1117"/>
      <c r="M34" s="1117"/>
    </row>
    <row r="35" spans="1:14" ht="15.75" customHeight="1">
      <c r="B35" s="1117"/>
      <c r="C35" s="1117"/>
      <c r="D35" s="1117"/>
      <c r="E35" s="1117"/>
      <c r="F35" s="1117"/>
      <c r="G35" s="1117"/>
      <c r="H35" s="1117"/>
      <c r="I35" s="1117"/>
      <c r="J35" s="1117"/>
      <c r="K35" s="1117"/>
      <c r="L35" s="1117"/>
      <c r="M35" s="1117"/>
    </row>
    <row r="36" spans="1:14" ht="15.75" customHeight="1">
      <c r="B36" s="1117"/>
      <c r="C36" s="1117"/>
      <c r="D36" s="1117"/>
      <c r="E36" s="1117"/>
      <c r="F36" s="1117"/>
      <c r="G36" s="1117"/>
      <c r="H36" s="1117"/>
      <c r="I36" s="1117"/>
      <c r="J36" s="1117"/>
      <c r="K36" s="1117"/>
      <c r="L36" s="1117"/>
      <c r="M36" s="1117"/>
    </row>
    <row r="37" spans="1:14" ht="15.75" customHeight="1">
      <c r="B37" s="1117"/>
      <c r="C37" s="1117"/>
      <c r="D37" s="1117"/>
      <c r="E37" s="1117"/>
      <c r="F37" s="1117"/>
      <c r="G37" s="1117"/>
      <c r="H37" s="1117"/>
      <c r="I37" s="1117"/>
      <c r="J37" s="1117"/>
      <c r="K37" s="1117"/>
      <c r="L37" s="1117"/>
      <c r="M37" s="1117"/>
    </row>
    <row r="38" spans="1:14" ht="15.75" customHeight="1">
      <c r="B38" s="1117"/>
      <c r="C38" s="1117"/>
      <c r="D38" s="1117"/>
      <c r="E38" s="1117"/>
      <c r="F38" s="1117"/>
      <c r="G38" s="1117"/>
      <c r="H38" s="1117"/>
      <c r="I38" s="1117"/>
      <c r="J38" s="1117"/>
      <c r="K38" s="1117"/>
      <c r="L38" s="1117"/>
      <c r="M38" s="1117"/>
    </row>
    <row r="39" spans="1:14" ht="15.75" customHeight="1">
      <c r="B39" s="1117"/>
      <c r="C39" s="1117"/>
      <c r="D39" s="1117"/>
      <c r="E39" s="1117"/>
      <c r="F39" s="1117"/>
      <c r="G39" s="1117"/>
      <c r="H39" s="1117"/>
      <c r="I39" s="1117"/>
      <c r="J39" s="1117"/>
      <c r="K39" s="1117"/>
      <c r="L39" s="1117"/>
      <c r="M39" s="1117"/>
    </row>
    <row r="40" spans="1:14" ht="15.75" customHeight="1">
      <c r="B40" s="1117"/>
      <c r="C40" s="1117"/>
      <c r="D40" s="1117"/>
      <c r="E40" s="1117"/>
      <c r="F40" s="1117"/>
      <c r="G40" s="1117"/>
      <c r="H40" s="1117"/>
      <c r="I40" s="1117"/>
      <c r="J40" s="1117"/>
      <c r="K40" s="1117"/>
      <c r="L40" s="1117"/>
      <c r="M40" s="1117"/>
    </row>
    <row r="41" spans="1:14" ht="15.75" customHeight="1">
      <c r="B41" s="1117"/>
      <c r="C41" s="1117"/>
      <c r="D41" s="1117"/>
      <c r="E41" s="1117"/>
      <c r="F41" s="1117"/>
      <c r="G41" s="1117"/>
      <c r="H41" s="1117"/>
      <c r="I41" s="1117"/>
      <c r="J41" s="1117"/>
      <c r="K41" s="1117"/>
      <c r="L41" s="1117"/>
      <c r="M41" s="1117"/>
    </row>
    <row r="42" spans="1:14" ht="15.75" customHeight="1">
      <c r="B42" s="1117"/>
      <c r="C42" s="1117"/>
      <c r="D42" s="1117"/>
      <c r="E42" s="1117"/>
      <c r="F42" s="1117"/>
      <c r="G42" s="1117"/>
      <c r="H42" s="1117"/>
      <c r="I42" s="1117"/>
      <c r="J42" s="1117"/>
      <c r="K42" s="1117"/>
      <c r="L42" s="1117"/>
      <c r="M42" s="1117"/>
    </row>
    <row r="43" spans="1:14" ht="15.75" customHeight="1">
      <c r="B43" s="1117"/>
      <c r="C43" s="1117"/>
      <c r="D43" s="1117"/>
      <c r="E43" s="1117"/>
      <c r="F43" s="1117"/>
      <c r="G43" s="1117"/>
      <c r="H43" s="1117"/>
      <c r="I43" s="1117"/>
      <c r="J43" s="1117"/>
      <c r="K43" s="1117"/>
      <c r="L43" s="1117"/>
      <c r="M43" s="1117"/>
    </row>
    <row r="44" spans="1:14" ht="15.75" customHeight="1">
      <c r="B44" s="1117"/>
      <c r="C44" s="1117"/>
      <c r="D44" s="1117"/>
      <c r="E44" s="1117"/>
      <c r="F44" s="1117"/>
      <c r="G44" s="1117"/>
      <c r="H44" s="1117"/>
      <c r="I44" s="1117"/>
      <c r="J44" s="1117"/>
      <c r="K44" s="1117"/>
      <c r="L44" s="1117"/>
      <c r="M44" s="1117"/>
    </row>
    <row r="45" spans="1:14" ht="15.75" customHeight="1"/>
    <row r="46" spans="1:14" ht="15.75" customHeight="1">
      <c r="A46" s="1176" t="s">
        <v>952</v>
      </c>
      <c r="B46" s="1177"/>
      <c r="C46" s="1177"/>
      <c r="D46" s="1177"/>
      <c r="E46" s="1177"/>
      <c r="F46" s="1177"/>
      <c r="G46" s="1177"/>
      <c r="H46" s="1177"/>
      <c r="I46" s="1177"/>
      <c r="J46" s="1177"/>
      <c r="K46" s="1177"/>
      <c r="L46" s="1177"/>
      <c r="M46" s="1177"/>
      <c r="N46" s="1177"/>
    </row>
    <row r="47" spans="1:14" ht="15" customHeight="1">
      <c r="A47" s="1178" t="s">
        <v>953</v>
      </c>
      <c r="B47" s="1178"/>
      <c r="C47" s="1178"/>
      <c r="D47" s="1178"/>
      <c r="E47" s="1178"/>
      <c r="F47" s="1178"/>
      <c r="G47" s="1178"/>
      <c r="H47" s="1178"/>
      <c r="I47" s="1178"/>
      <c r="J47" s="1178"/>
      <c r="K47" s="1178"/>
      <c r="L47" s="1178"/>
      <c r="M47" s="1178"/>
      <c r="N47" s="746"/>
    </row>
    <row r="48" spans="1:14" ht="13.5" customHeight="1">
      <c r="A48" s="1178" t="s">
        <v>954</v>
      </c>
      <c r="B48" s="1178"/>
      <c r="C48" s="1178"/>
      <c r="D48" s="1178"/>
      <c r="E48" s="1178"/>
      <c r="F48" s="1178"/>
      <c r="G48" s="1178"/>
      <c r="H48" s="1178"/>
      <c r="I48" s="1178"/>
      <c r="J48" s="1178"/>
      <c r="K48" s="1178"/>
      <c r="L48" s="1178"/>
      <c r="M48" s="1178"/>
      <c r="N48" s="746"/>
    </row>
    <row r="49" spans="1:14" ht="13.2">
      <c r="A49" s="1178" t="s">
        <v>955</v>
      </c>
      <c r="B49" s="1178"/>
      <c r="C49" s="1178"/>
      <c r="D49" s="1178"/>
      <c r="E49" s="1178"/>
      <c r="F49" s="1178"/>
      <c r="G49" s="1178"/>
      <c r="H49" s="1178"/>
      <c r="I49" s="1178"/>
      <c r="J49" s="1178"/>
      <c r="K49" s="1178"/>
      <c r="L49" s="1178"/>
      <c r="M49" s="1178"/>
      <c r="N49" s="746"/>
    </row>
    <row r="50" spans="1:14" ht="13.2">
      <c r="A50" s="1178"/>
      <c r="B50" s="1178"/>
      <c r="C50" s="1178"/>
      <c r="D50" s="1178"/>
      <c r="E50" s="1178"/>
      <c r="F50" s="1178"/>
      <c r="G50" s="1178"/>
      <c r="H50" s="1178"/>
      <c r="I50" s="1178"/>
      <c r="J50" s="1178"/>
      <c r="K50" s="1178"/>
      <c r="L50" s="1178"/>
      <c r="M50" s="1178"/>
      <c r="N50" s="746"/>
    </row>
    <row r="51" spans="1:14" ht="13.5" customHeight="1">
      <c r="A51" s="1179" t="s">
        <v>956</v>
      </c>
      <c r="B51" s="1178"/>
      <c r="C51" s="1178"/>
      <c r="D51" s="1178"/>
      <c r="E51" s="1178"/>
      <c r="F51" s="1178"/>
      <c r="G51" s="1178"/>
      <c r="H51" s="1178"/>
      <c r="I51" s="1178"/>
      <c r="J51" s="1178"/>
      <c r="K51" s="1178"/>
      <c r="L51" s="1178"/>
      <c r="M51" s="1178"/>
      <c r="N51" s="746"/>
    </row>
    <row r="52" spans="1:14" ht="14.25" customHeight="1">
      <c r="A52" s="1178" t="s">
        <v>957</v>
      </c>
      <c r="B52" s="1178"/>
      <c r="C52" s="1178"/>
      <c r="D52" s="1178"/>
      <c r="E52" s="1178"/>
      <c r="F52" s="1178"/>
      <c r="G52" s="1178"/>
      <c r="H52" s="1178"/>
      <c r="I52" s="1178"/>
      <c r="J52" s="1178"/>
      <c r="K52" s="1178"/>
      <c r="L52" s="1178"/>
      <c r="M52" s="1178"/>
      <c r="N52" s="746"/>
    </row>
    <row r="53" spans="1:14" ht="13.5" customHeight="1">
      <c r="A53" s="1178" t="s">
        <v>958</v>
      </c>
      <c r="B53" s="1178"/>
      <c r="C53" s="1178"/>
      <c r="D53" s="1178"/>
      <c r="E53" s="1178"/>
      <c r="F53" s="1178"/>
      <c r="G53" s="1178"/>
      <c r="H53" s="1178"/>
      <c r="I53" s="1178"/>
      <c r="J53" s="1178"/>
      <c r="K53" s="1178"/>
      <c r="L53" s="1178"/>
      <c r="M53" s="1178"/>
      <c r="N53" s="746"/>
    </row>
    <row r="54" spans="1:14" ht="14.25" customHeight="1">
      <c r="A54" s="1178" t="s">
        <v>959</v>
      </c>
      <c r="B54" s="1178"/>
      <c r="C54" s="1178"/>
      <c r="D54" s="1178"/>
      <c r="E54" s="1178"/>
      <c r="F54" s="1178"/>
      <c r="G54" s="1178"/>
      <c r="H54" s="1178"/>
      <c r="I54" s="1178"/>
      <c r="J54" s="1178"/>
      <c r="K54" s="1178"/>
      <c r="L54" s="1178"/>
      <c r="M54" s="1178"/>
      <c r="N54" s="746"/>
    </row>
    <row r="56" spans="1:14">
      <c r="A56" s="892" t="s">
        <v>960</v>
      </c>
      <c r="B56" s="892"/>
      <c r="C56" s="892"/>
      <c r="D56" s="892"/>
      <c r="E56" s="892"/>
      <c r="F56" s="892"/>
      <c r="G56" s="892"/>
      <c r="H56" s="892"/>
      <c r="I56" s="892"/>
      <c r="J56" s="892"/>
      <c r="K56" s="892"/>
      <c r="L56" s="892"/>
      <c r="M56" s="892"/>
    </row>
    <row r="57" spans="1:14">
      <c r="A57" s="892" t="s">
        <v>961</v>
      </c>
      <c r="B57" s="892"/>
      <c r="C57" s="892"/>
      <c r="D57" s="892"/>
      <c r="E57" s="892"/>
      <c r="F57" s="892"/>
      <c r="G57" s="892"/>
      <c r="H57" s="892"/>
      <c r="I57" s="892"/>
      <c r="J57" s="892"/>
      <c r="K57" s="892"/>
      <c r="L57" s="892"/>
      <c r="M57" s="892"/>
    </row>
    <row r="58" spans="1:14">
      <c r="A58" s="892" t="s">
        <v>962</v>
      </c>
      <c r="B58" s="892"/>
      <c r="C58" s="892"/>
      <c r="D58" s="892"/>
      <c r="E58" s="892"/>
      <c r="F58" s="892"/>
      <c r="G58" s="892"/>
      <c r="H58" s="892"/>
      <c r="I58" s="892"/>
      <c r="J58" s="892"/>
      <c r="K58" s="892"/>
      <c r="L58" s="892"/>
      <c r="M58" s="892"/>
    </row>
    <row r="59" spans="1:14">
      <c r="A59" s="892" t="s">
        <v>963</v>
      </c>
      <c r="B59" s="892"/>
      <c r="C59" s="892"/>
      <c r="D59" s="892"/>
      <c r="E59" s="892"/>
      <c r="F59" s="892"/>
      <c r="G59" s="892"/>
      <c r="H59" s="892"/>
      <c r="I59" s="892"/>
      <c r="J59" s="892"/>
      <c r="K59" s="892"/>
      <c r="L59" s="892"/>
      <c r="M59" s="892"/>
    </row>
  </sheetData>
  <sheetProtection algorithmName="SHA-512" hashValue="DgCuBW/oAgVQj4iQh6Zo2+xyavcnGT+KYllVQJujVLR+cXTXo69Dc93luj6IeW04A0AUayDej2JmIa2vnSTEMA==" saltValue="FtXlHrr5K+zO7DdGu+zjGw==" spinCount="100000" sheet="1" objects="1" scenarios="1" autoFilter="0"/>
  <mergeCells count="33">
    <mergeCell ref="A46:N46"/>
    <mergeCell ref="A47:M47"/>
    <mergeCell ref="A48:M48"/>
    <mergeCell ref="A49:M49"/>
    <mergeCell ref="A54:M54"/>
    <mergeCell ref="A50:M50"/>
    <mergeCell ref="A51:M51"/>
    <mergeCell ref="A52:M52"/>
    <mergeCell ref="A53:M53"/>
    <mergeCell ref="B36:M36"/>
    <mergeCell ref="B37:M37"/>
    <mergeCell ref="B38:M38"/>
    <mergeCell ref="B39:M39"/>
    <mergeCell ref="B44:M44"/>
    <mergeCell ref="B40:M40"/>
    <mergeCell ref="B41:M41"/>
    <mergeCell ref="B42:M42"/>
    <mergeCell ref="B43:M43"/>
    <mergeCell ref="B32:M32"/>
    <mergeCell ref="B33:M33"/>
    <mergeCell ref="B34:M34"/>
    <mergeCell ref="B35:M35"/>
    <mergeCell ref="B28:M28"/>
    <mergeCell ref="B29:M29"/>
    <mergeCell ref="B30:M30"/>
    <mergeCell ref="B31:M31"/>
    <mergeCell ref="J7:M7"/>
    <mergeCell ref="N1:N3"/>
    <mergeCell ref="J5:M5"/>
    <mergeCell ref="J6:M6"/>
    <mergeCell ref="A1:M1"/>
    <mergeCell ref="A2:M2"/>
    <mergeCell ref="A3:M3"/>
  </mergeCells>
  <phoneticPr fontId="3" type="noConversion"/>
  <conditionalFormatting sqref="N1:N3">
    <cfRule type="cellIs" dxfId="15" priority="1" stopIfTrue="1" operator="equal">
      <formula>"na"</formula>
    </cfRule>
  </conditionalFormatting>
  <hyperlinks>
    <hyperlink ref="A1:M1" location="Index!A1" display="Index!A1" xr:uid="{00000000-0004-0000-1000-000000000000}"/>
  </hyperlinks>
  <printOptions horizontalCentered="1"/>
  <pageMargins left="0.5" right="0.25" top="0.5" bottom="0.25" header="0.5" footer="0.25"/>
  <pageSetup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pageSetUpPr fitToPage="1"/>
  </sheetPr>
  <dimension ref="A1:AA60"/>
  <sheetViews>
    <sheetView showGridLines="0" zoomScaleNormal="100" workbookViewId="0">
      <selection activeCell="B24" sqref="B24:M24"/>
    </sheetView>
  </sheetViews>
  <sheetFormatPr defaultColWidth="10.7109375" defaultRowHeight="10.199999999999999"/>
  <cols>
    <col min="1" max="1" width="3.42578125" style="200" customWidth="1"/>
    <col min="2" max="2" width="13.7109375" style="200" customWidth="1"/>
    <col min="3" max="3" width="3.140625" style="200" customWidth="1"/>
    <col min="4" max="4" width="9.28515625" style="200" customWidth="1"/>
    <col min="5" max="5" width="3.140625" style="200" customWidth="1"/>
    <col min="6" max="6" width="5.42578125" style="200" customWidth="1"/>
    <col min="7" max="7" width="6.28515625" style="200" customWidth="1"/>
    <col min="8" max="8" width="8.2851562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113" t="str">
        <f>+Index!$A$1</f>
        <v>Office of the State Controller</v>
      </c>
      <c r="B1" s="1113"/>
      <c r="C1" s="1113"/>
      <c r="D1" s="1113"/>
      <c r="E1" s="1113"/>
      <c r="F1" s="1113"/>
      <c r="G1" s="1113"/>
      <c r="H1" s="1113"/>
      <c r="I1" s="1113"/>
      <c r="J1" s="1113"/>
      <c r="K1" s="1113"/>
      <c r="L1" s="1113"/>
      <c r="M1" s="1113"/>
      <c r="N1" s="1175"/>
      <c r="AA1" s="197"/>
    </row>
    <row r="2" spans="1:27" s="196" customFormat="1" ht="15" customHeight="1">
      <c r="A2" s="1114" t="str">
        <f>Index!A2</f>
        <v>2023 Year-End ACFR Package</v>
      </c>
      <c r="B2" s="1114"/>
      <c r="C2" s="1114"/>
      <c r="D2" s="1114"/>
      <c r="E2" s="1114"/>
      <c r="F2" s="1114"/>
      <c r="G2" s="1114"/>
      <c r="H2" s="1114"/>
      <c r="I2" s="1114"/>
      <c r="J2" s="1114"/>
      <c r="K2" s="1114"/>
      <c r="L2" s="1114"/>
      <c r="M2" s="1114"/>
      <c r="N2" s="1175"/>
    </row>
    <row r="3" spans="1:27" s="196" customFormat="1" ht="15" customHeight="1">
      <c r="A3" s="1114" t="s">
        <v>964</v>
      </c>
      <c r="B3" s="1114"/>
      <c r="C3" s="1114"/>
      <c r="D3" s="1114"/>
      <c r="E3" s="1114"/>
      <c r="F3" s="1114"/>
      <c r="G3" s="1114"/>
      <c r="H3" s="1114"/>
      <c r="I3" s="1114"/>
      <c r="J3" s="1114"/>
      <c r="K3" s="1114"/>
      <c r="L3" s="1114"/>
      <c r="M3" s="1114"/>
      <c r="N3" s="1175"/>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479</v>
      </c>
      <c r="J5" s="1171" t="str">
        <f>+Index!$D$10</f>
        <v>C0</v>
      </c>
      <c r="K5" s="1171"/>
      <c r="L5" s="1171"/>
      <c r="M5" s="1171"/>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480</v>
      </c>
      <c r="J6" s="1137" t="str">
        <f>+Index!$D$9</f>
        <v>Alamance Community College</v>
      </c>
      <c r="K6" s="1137"/>
      <c r="L6" s="1137"/>
      <c r="M6" s="1137"/>
      <c r="N6" s="318"/>
      <c r="O6" s="318"/>
      <c r="P6" s="318"/>
      <c r="Q6" s="318"/>
      <c r="R6" s="318"/>
      <c r="S6" s="318"/>
      <c r="T6" s="318"/>
      <c r="U6" s="318"/>
      <c r="V6" s="318"/>
      <c r="W6" s="318"/>
      <c r="X6" s="318"/>
      <c r="Y6" s="318"/>
      <c r="Z6" s="318"/>
      <c r="AA6" s="318"/>
    </row>
    <row r="7" spans="1:27" s="198" customFormat="1" ht="15" customHeight="1">
      <c r="A7" s="318" t="s">
        <v>597</v>
      </c>
      <c r="B7" s="318"/>
      <c r="C7" s="318"/>
      <c r="D7" s="862" t="s">
        <v>493</v>
      </c>
      <c r="E7" s="863"/>
      <c r="F7" s="318"/>
      <c r="G7" s="318"/>
      <c r="H7" s="318"/>
      <c r="I7" s="320" t="s">
        <v>481</v>
      </c>
      <c r="J7" s="1172" t="str">
        <f>CONCATENATE(Index!$D$11," ",Index!$D$12)</f>
        <v xml:space="preserve"> </v>
      </c>
      <c r="K7" s="1172"/>
      <c r="L7" s="1172"/>
      <c r="M7" s="1172"/>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4.25" customHeight="1">
      <c r="A10" s="347" t="s">
        <v>482</v>
      </c>
      <c r="B10" s="348" t="s">
        <v>965</v>
      </c>
      <c r="C10" s="346"/>
      <c r="D10" s="346"/>
      <c r="E10" s="346"/>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198" customFormat="1" ht="118.5" customHeight="1">
      <c r="A11" s="746"/>
      <c r="B11" s="1183" t="s">
        <v>966</v>
      </c>
      <c r="C11" s="1184"/>
      <c r="D11" s="1184"/>
      <c r="E11" s="1184"/>
      <c r="F11" s="1184"/>
      <c r="G11" s="1184"/>
      <c r="H11" s="1184"/>
      <c r="I11" s="1184"/>
      <c r="J11" s="1184"/>
      <c r="K11" s="1184"/>
      <c r="L11" s="746"/>
      <c r="M11" s="746"/>
      <c r="N11" s="746"/>
      <c r="O11" s="318"/>
      <c r="P11" s="318"/>
      <c r="Q11" s="318"/>
      <c r="R11" s="318"/>
      <c r="S11" s="318"/>
      <c r="T11" s="318"/>
      <c r="U11" s="318"/>
      <c r="V11" s="318"/>
      <c r="W11" s="318"/>
      <c r="X11" s="318"/>
      <c r="Y11" s="318"/>
      <c r="Z11" s="318"/>
      <c r="AA11" s="318"/>
    </row>
    <row r="12" spans="1:27" s="198" customFormat="1" ht="12.75" customHeight="1">
      <c r="A12" s="746"/>
      <c r="B12" s="746"/>
      <c r="C12" s="746"/>
      <c r="D12" s="746"/>
      <c r="E12" s="746"/>
      <c r="F12" s="746"/>
      <c r="G12" s="746"/>
      <c r="H12" s="746"/>
      <c r="I12" s="746"/>
      <c r="J12" s="746"/>
      <c r="K12" s="746"/>
      <c r="L12" s="746"/>
      <c r="M12" s="746"/>
      <c r="N12" s="746"/>
      <c r="O12" s="318"/>
      <c r="P12" s="318"/>
      <c r="Q12" s="318"/>
      <c r="R12" s="318"/>
      <c r="S12" s="318"/>
      <c r="T12" s="318"/>
      <c r="U12" s="318"/>
      <c r="V12" s="318"/>
      <c r="W12" s="318"/>
      <c r="X12" s="318"/>
      <c r="Y12" s="318"/>
      <c r="Z12" s="318"/>
      <c r="AA12" s="318"/>
    </row>
    <row r="13" spans="1:27" s="198" customFormat="1" ht="12.75" customHeight="1">
      <c r="A13" s="746"/>
      <c r="B13" s="318"/>
      <c r="C13" s="345" t="s">
        <v>502</v>
      </c>
      <c r="D13" s="380"/>
      <c r="E13" s="259"/>
      <c r="F13" s="259"/>
      <c r="G13" s="345" t="s">
        <v>501</v>
      </c>
      <c r="H13" s="389"/>
      <c r="I13" s="318" t="s">
        <v>967</v>
      </c>
      <c r="J13" s="318"/>
      <c r="K13" s="346"/>
      <c r="L13" s="746"/>
      <c r="M13" s="746"/>
      <c r="N13" s="746"/>
      <c r="O13" s="318"/>
      <c r="P13" s="318"/>
      <c r="Q13" s="318"/>
      <c r="R13" s="318"/>
      <c r="S13" s="318"/>
      <c r="T13" s="318"/>
      <c r="U13" s="318"/>
      <c r="V13" s="318"/>
      <c r="W13" s="318"/>
      <c r="X13" s="318"/>
      <c r="Y13" s="318"/>
      <c r="Z13" s="318"/>
      <c r="AA13" s="318"/>
    </row>
    <row r="14" spans="1:27" s="198" customFormat="1" ht="12.75" customHeight="1">
      <c r="A14" s="315"/>
      <c r="B14" s="746"/>
      <c r="C14" s="746"/>
      <c r="D14" s="893"/>
      <c r="E14" s="746"/>
      <c r="F14" s="1095" t="str">
        <f>IF(AND(ISBLANK(D13),ISBLANK(H13))=TRUE,"Answer Missing"," ")</f>
        <v>Answer Missing</v>
      </c>
      <c r="G14" s="1082"/>
      <c r="H14" s="1082"/>
      <c r="I14" s="746"/>
      <c r="J14" s="746"/>
      <c r="K14" s="746"/>
      <c r="L14" s="746"/>
      <c r="M14" s="746"/>
      <c r="N14" s="746"/>
      <c r="O14" s="318"/>
      <c r="P14" s="318"/>
      <c r="Q14" s="318"/>
      <c r="R14" s="318"/>
      <c r="S14" s="318"/>
      <c r="T14" s="318"/>
      <c r="U14" s="318"/>
      <c r="V14" s="318"/>
      <c r="W14" s="318"/>
      <c r="X14" s="318"/>
      <c r="Y14" s="318"/>
      <c r="Z14" s="318"/>
      <c r="AA14" s="318"/>
    </row>
    <row r="15" spans="1:27" s="198" customFormat="1" ht="12.75" customHeight="1">
      <c r="A15" s="315"/>
      <c r="B15" s="746"/>
      <c r="C15" s="746"/>
      <c r="D15" s="746"/>
      <c r="E15" s="746"/>
      <c r="F15" s="746"/>
      <c r="G15" s="746"/>
      <c r="H15" s="746"/>
      <c r="I15" s="746"/>
      <c r="J15" s="746"/>
      <c r="K15" s="746"/>
      <c r="L15" s="746"/>
      <c r="M15" s="746"/>
      <c r="N15" s="746"/>
      <c r="O15" s="318"/>
      <c r="P15" s="318"/>
      <c r="Q15" s="318"/>
      <c r="R15" s="318"/>
      <c r="S15" s="318"/>
      <c r="T15" s="318"/>
      <c r="U15" s="318"/>
      <c r="V15" s="318"/>
      <c r="W15" s="318"/>
      <c r="X15" s="318"/>
      <c r="Y15" s="318"/>
      <c r="Z15" s="318"/>
      <c r="AA15" s="318"/>
    </row>
    <row r="16" spans="1:27" s="198" customFormat="1" ht="12.75" customHeight="1">
      <c r="A16" s="746"/>
      <c r="B16" s="746"/>
      <c r="C16" s="746"/>
      <c r="D16" s="746"/>
      <c r="E16" s="746"/>
      <c r="F16" s="1081" t="str">
        <f>IF(ISTEXT(H13), "Response for Yes needed", " ")</f>
        <v xml:space="preserve"> </v>
      </c>
      <c r="G16" s="1082"/>
      <c r="H16" s="1082"/>
      <c r="I16" s="1082"/>
      <c r="J16" s="746"/>
      <c r="K16" s="746"/>
      <c r="L16" s="746"/>
      <c r="M16" s="746"/>
      <c r="N16" s="746"/>
      <c r="O16" s="318"/>
      <c r="P16" s="318"/>
      <c r="Q16" s="318"/>
      <c r="R16" s="318"/>
      <c r="S16" s="318"/>
      <c r="T16" s="318"/>
      <c r="U16" s="318"/>
      <c r="V16" s="318"/>
      <c r="W16" s="318"/>
      <c r="X16" s="318"/>
      <c r="Y16" s="318"/>
      <c r="Z16" s="318"/>
      <c r="AA16" s="318"/>
    </row>
    <row r="17" spans="1:16" s="198" customFormat="1" ht="12.75" customHeight="1">
      <c r="A17" s="746"/>
      <c r="B17" s="746"/>
      <c r="C17" s="746"/>
      <c r="D17" s="746"/>
      <c r="E17" s="746"/>
      <c r="F17" s="746"/>
      <c r="G17" s="746"/>
      <c r="H17" s="746"/>
      <c r="I17" s="746"/>
      <c r="J17" s="746"/>
      <c r="K17" s="746"/>
      <c r="L17" s="746"/>
      <c r="M17" s="746"/>
      <c r="N17" s="746"/>
      <c r="O17" s="318"/>
      <c r="P17" s="318"/>
    </row>
    <row r="18" spans="1:16" s="198" customFormat="1" ht="12.75" customHeight="1">
      <c r="A18" s="894"/>
      <c r="B18" s="617" t="s">
        <v>968</v>
      </c>
      <c r="C18" s="895"/>
      <c r="D18" s="895"/>
      <c r="E18" s="895"/>
      <c r="F18" s="895"/>
      <c r="G18" s="895"/>
      <c r="H18" s="895"/>
      <c r="I18" s="895"/>
      <c r="J18" s="895"/>
      <c r="K18" s="895"/>
      <c r="L18" s="895"/>
      <c r="M18" s="896"/>
      <c r="N18" s="746"/>
      <c r="O18" s="318"/>
      <c r="P18" s="613"/>
    </row>
    <row r="19" spans="1:16" s="198" customFormat="1" ht="12.75" customHeight="1">
      <c r="A19" s="897"/>
      <c r="B19" s="722"/>
      <c r="C19" s="723"/>
      <c r="D19" s="723"/>
      <c r="E19" s="723"/>
      <c r="F19" s="723"/>
      <c r="G19" s="723"/>
      <c r="H19" s="723"/>
      <c r="I19" s="723"/>
      <c r="J19" s="723"/>
      <c r="K19" s="723"/>
      <c r="L19" s="723"/>
      <c r="M19" s="724"/>
      <c r="N19" s="746"/>
      <c r="O19" s="318"/>
      <c r="P19" s="318"/>
    </row>
    <row r="20" spans="1:16" s="198" customFormat="1" ht="12.75" customHeight="1">
      <c r="A20" s="897"/>
      <c r="B20" s="1180"/>
      <c r="C20" s="1181"/>
      <c r="D20" s="1181"/>
      <c r="E20" s="1181"/>
      <c r="F20" s="1181"/>
      <c r="G20" s="1181"/>
      <c r="H20" s="1181"/>
      <c r="I20" s="1181"/>
      <c r="J20" s="1181"/>
      <c r="K20" s="1181"/>
      <c r="L20" s="1181"/>
      <c r="M20" s="1182"/>
      <c r="N20" s="746"/>
      <c r="O20" s="318"/>
      <c r="P20" s="318"/>
    </row>
    <row r="21" spans="1:16" s="198" customFormat="1" ht="12.75" customHeight="1">
      <c r="A21" s="615"/>
      <c r="B21" s="1180"/>
      <c r="C21" s="1181"/>
      <c r="D21" s="1181"/>
      <c r="E21" s="1181"/>
      <c r="F21" s="1181"/>
      <c r="G21" s="1181"/>
      <c r="H21" s="1181"/>
      <c r="I21" s="1181"/>
      <c r="J21" s="1181"/>
      <c r="K21" s="1181"/>
      <c r="L21" s="1181"/>
      <c r="M21" s="1182"/>
      <c r="N21" s="746"/>
      <c r="O21" s="318"/>
      <c r="P21" s="318"/>
    </row>
    <row r="22" spans="1:16" s="198" customFormat="1" ht="12.75" customHeight="1">
      <c r="A22" s="615"/>
      <c r="B22" s="1180"/>
      <c r="C22" s="1181"/>
      <c r="D22" s="1181"/>
      <c r="E22" s="1181"/>
      <c r="F22" s="1181"/>
      <c r="G22" s="1181"/>
      <c r="H22" s="1181"/>
      <c r="I22" s="1181"/>
      <c r="J22" s="1181"/>
      <c r="K22" s="1181"/>
      <c r="L22" s="1181"/>
      <c r="M22" s="1182"/>
      <c r="N22" s="746"/>
      <c r="O22" s="318"/>
      <c r="P22" s="318"/>
    </row>
    <row r="23" spans="1:16" s="198" customFormat="1" ht="12.75" customHeight="1">
      <c r="A23" s="897"/>
      <c r="B23" s="1180"/>
      <c r="C23" s="1181"/>
      <c r="D23" s="1181"/>
      <c r="E23" s="1181"/>
      <c r="F23" s="1181"/>
      <c r="G23" s="1181"/>
      <c r="H23" s="1181"/>
      <c r="I23" s="1181"/>
      <c r="J23" s="1181"/>
      <c r="K23" s="1181"/>
      <c r="L23" s="1181"/>
      <c r="M23" s="1182"/>
      <c r="N23" s="746"/>
      <c r="O23" s="318"/>
      <c r="P23" s="318"/>
    </row>
    <row r="24" spans="1:16" s="198" customFormat="1" ht="12.75" customHeight="1">
      <c r="A24" s="615"/>
      <c r="B24" s="1180"/>
      <c r="C24" s="1181"/>
      <c r="D24" s="1181"/>
      <c r="E24" s="1181"/>
      <c r="F24" s="1181"/>
      <c r="G24" s="1181"/>
      <c r="H24" s="1181"/>
      <c r="I24" s="1181"/>
      <c r="J24" s="1181"/>
      <c r="K24" s="1181"/>
      <c r="L24" s="1181"/>
      <c r="M24" s="1182"/>
      <c r="N24" s="746"/>
      <c r="O24" s="318"/>
      <c r="P24" s="318"/>
    </row>
    <row r="25" spans="1:16" s="198" customFormat="1" ht="12.75" customHeight="1">
      <c r="A25" s="615"/>
      <c r="B25" s="1180"/>
      <c r="C25" s="1181"/>
      <c r="D25" s="1181"/>
      <c r="E25" s="1181"/>
      <c r="F25" s="1181"/>
      <c r="G25" s="1181"/>
      <c r="H25" s="1181"/>
      <c r="I25" s="1181"/>
      <c r="J25" s="1181"/>
      <c r="K25" s="1181"/>
      <c r="L25" s="1181"/>
      <c r="M25" s="1182"/>
      <c r="N25" s="746"/>
      <c r="O25" s="318"/>
      <c r="P25" s="318"/>
    </row>
    <row r="26" spans="1:16" s="198" customFormat="1" ht="12.75" customHeight="1">
      <c r="A26" s="897"/>
      <c r="B26" s="1180"/>
      <c r="C26" s="1181"/>
      <c r="D26" s="1181"/>
      <c r="E26" s="1181"/>
      <c r="F26" s="1181"/>
      <c r="G26" s="1181"/>
      <c r="H26" s="1181"/>
      <c r="I26" s="1181"/>
      <c r="J26" s="1181"/>
      <c r="K26" s="1181"/>
      <c r="L26" s="1181"/>
      <c r="M26" s="1182"/>
      <c r="N26" s="746"/>
      <c r="O26" s="318"/>
      <c r="P26" s="318"/>
    </row>
    <row r="27" spans="1:16" s="198" customFormat="1" ht="12.75" customHeight="1">
      <c r="A27" s="894"/>
      <c r="B27" s="1180"/>
      <c r="C27" s="1181"/>
      <c r="D27" s="1181"/>
      <c r="E27" s="1181"/>
      <c r="F27" s="1181"/>
      <c r="G27" s="1181"/>
      <c r="H27" s="1181"/>
      <c r="I27" s="1181"/>
      <c r="J27" s="1181"/>
      <c r="K27" s="1181"/>
      <c r="L27" s="1181"/>
      <c r="M27" s="1182"/>
      <c r="N27" s="746"/>
      <c r="O27" s="318"/>
      <c r="P27" s="318"/>
    </row>
    <row r="28" spans="1:16" s="198" customFormat="1" ht="12.75" customHeight="1">
      <c r="A28" s="898"/>
      <c r="B28" s="1180"/>
      <c r="C28" s="1181"/>
      <c r="D28" s="1181"/>
      <c r="E28" s="1181"/>
      <c r="F28" s="1181"/>
      <c r="G28" s="1181"/>
      <c r="H28" s="1181"/>
      <c r="I28" s="1181"/>
      <c r="J28" s="1181"/>
      <c r="K28" s="1181"/>
      <c r="L28" s="1181"/>
      <c r="M28" s="1182"/>
      <c r="N28" s="318"/>
      <c r="O28" s="318"/>
      <c r="P28" s="318"/>
    </row>
    <row r="29" spans="1:16" ht="15.75" customHeight="1">
      <c r="A29" s="616"/>
      <c r="B29" s="1180"/>
      <c r="C29" s="1181"/>
      <c r="D29" s="1181"/>
      <c r="E29" s="1181"/>
      <c r="F29" s="1181"/>
      <c r="G29" s="1181"/>
      <c r="H29" s="1181"/>
      <c r="I29" s="1181"/>
      <c r="J29" s="1181"/>
      <c r="K29" s="1181"/>
      <c r="L29" s="1181"/>
      <c r="M29" s="1182"/>
    </row>
    <row r="30" spans="1:16" ht="15.75" customHeight="1">
      <c r="A30" s="616"/>
      <c r="B30" s="1180"/>
      <c r="C30" s="1181"/>
      <c r="D30" s="1181"/>
      <c r="E30" s="1181"/>
      <c r="F30" s="1181"/>
      <c r="G30" s="1181"/>
      <c r="H30" s="1181"/>
      <c r="I30" s="1181"/>
      <c r="J30" s="1181"/>
      <c r="K30" s="1181"/>
      <c r="L30" s="1181"/>
      <c r="M30" s="1182"/>
    </row>
    <row r="31" spans="1:16" ht="15.75" customHeight="1">
      <c r="A31" s="616"/>
      <c r="B31" s="618" t="s">
        <v>969</v>
      </c>
      <c r="C31" s="318"/>
      <c r="D31" s="318"/>
      <c r="E31" s="318"/>
      <c r="F31" s="318"/>
      <c r="G31" s="318"/>
      <c r="H31" s="318"/>
      <c r="I31" s="318"/>
      <c r="J31" s="318"/>
      <c r="K31" s="318"/>
      <c r="L31" s="318"/>
      <c r="M31" s="619"/>
      <c r="O31" s="613"/>
    </row>
    <row r="32" spans="1:16" ht="15.75" customHeight="1">
      <c r="A32" s="616"/>
      <c r="B32" s="1180"/>
      <c r="C32" s="1181"/>
      <c r="D32" s="1181"/>
      <c r="E32" s="1181"/>
      <c r="F32" s="1181"/>
      <c r="G32" s="1181"/>
      <c r="H32" s="1181"/>
      <c r="I32" s="1181"/>
      <c r="J32" s="1181"/>
      <c r="K32" s="1181"/>
      <c r="L32" s="1181"/>
      <c r="M32" s="1182"/>
    </row>
    <row r="33" spans="1:14" ht="15.75" customHeight="1">
      <c r="A33" s="616"/>
      <c r="B33" s="1180"/>
      <c r="C33" s="1181"/>
      <c r="D33" s="1181"/>
      <c r="E33" s="1181"/>
      <c r="F33" s="1181"/>
      <c r="G33" s="1181"/>
      <c r="H33" s="1181"/>
      <c r="I33" s="1181"/>
      <c r="J33" s="1181"/>
      <c r="K33" s="1181"/>
      <c r="L33" s="1181"/>
      <c r="M33" s="1182"/>
    </row>
    <row r="34" spans="1:14" ht="15.75" customHeight="1">
      <c r="A34" s="616"/>
      <c r="B34" s="1180"/>
      <c r="C34" s="1181"/>
      <c r="D34" s="1181"/>
      <c r="E34" s="1181"/>
      <c r="F34" s="1181"/>
      <c r="G34" s="1181"/>
      <c r="H34" s="1181"/>
      <c r="I34" s="1181"/>
      <c r="J34" s="1181"/>
      <c r="K34" s="1181"/>
      <c r="L34" s="1181"/>
      <c r="M34" s="1182"/>
    </row>
    <row r="35" spans="1:14" ht="15.75" customHeight="1">
      <c r="A35" s="616"/>
      <c r="B35" s="1180"/>
      <c r="C35" s="1181"/>
      <c r="D35" s="1181"/>
      <c r="E35" s="1181"/>
      <c r="F35" s="1181"/>
      <c r="G35" s="1181"/>
      <c r="H35" s="1181"/>
      <c r="I35" s="1181"/>
      <c r="J35" s="1181"/>
      <c r="K35" s="1181"/>
      <c r="L35" s="1181"/>
      <c r="M35" s="1182"/>
    </row>
    <row r="36" spans="1:14" ht="15.75" customHeight="1">
      <c r="A36" s="616"/>
      <c r="B36" s="1180"/>
      <c r="C36" s="1181"/>
      <c r="D36" s="1181"/>
      <c r="E36" s="1181"/>
      <c r="F36" s="1181"/>
      <c r="G36" s="1181"/>
      <c r="H36" s="1181"/>
      <c r="I36" s="1181"/>
      <c r="J36" s="1181"/>
      <c r="K36" s="1181"/>
      <c r="L36" s="1181"/>
      <c r="M36" s="1182"/>
    </row>
    <row r="37" spans="1:14" ht="15.75" customHeight="1">
      <c r="A37" s="616"/>
      <c r="B37" s="1180"/>
      <c r="C37" s="1181"/>
      <c r="D37" s="1181"/>
      <c r="E37" s="1181"/>
      <c r="F37" s="1181"/>
      <c r="G37" s="1181"/>
      <c r="H37" s="1181"/>
      <c r="I37" s="1181"/>
      <c r="J37" s="1181"/>
      <c r="K37" s="1181"/>
      <c r="L37" s="1181"/>
      <c r="M37" s="1182"/>
    </row>
    <row r="38" spans="1:14" ht="15.75" customHeight="1">
      <c r="A38" s="616"/>
      <c r="B38" s="1180"/>
      <c r="C38" s="1181"/>
      <c r="D38" s="1181"/>
      <c r="E38" s="1181"/>
      <c r="F38" s="1181"/>
      <c r="G38" s="1181"/>
      <c r="H38" s="1181"/>
      <c r="I38" s="1181"/>
      <c r="J38" s="1181"/>
      <c r="K38" s="1181"/>
      <c r="L38" s="1181"/>
      <c r="M38" s="1182"/>
    </row>
    <row r="39" spans="1:14" ht="15.75" customHeight="1">
      <c r="A39" s="616"/>
      <c r="B39" s="1180"/>
      <c r="C39" s="1181"/>
      <c r="D39" s="1181"/>
      <c r="E39" s="1181"/>
      <c r="F39" s="1181"/>
      <c r="G39" s="1181"/>
      <c r="H39" s="1181"/>
      <c r="I39" s="1181"/>
      <c r="J39" s="1181"/>
      <c r="K39" s="1181"/>
      <c r="L39" s="1181"/>
      <c r="M39" s="1182"/>
    </row>
    <row r="40" spans="1:14" ht="15.75" customHeight="1">
      <c r="A40" s="616"/>
      <c r="B40" s="1185"/>
      <c r="C40" s="1186"/>
      <c r="D40" s="1186"/>
      <c r="E40" s="1186"/>
      <c r="F40" s="1186"/>
      <c r="G40" s="1186"/>
      <c r="H40" s="1186"/>
      <c r="I40" s="1186"/>
      <c r="J40" s="1186"/>
      <c r="K40" s="1186"/>
      <c r="L40" s="1186"/>
      <c r="M40" s="1187"/>
    </row>
    <row r="41" spans="1:14" ht="15.75" customHeight="1">
      <c r="B41" s="614"/>
      <c r="C41" s="614"/>
      <c r="D41" s="614"/>
      <c r="E41" s="614"/>
      <c r="F41" s="614"/>
      <c r="G41" s="614"/>
      <c r="H41" s="614"/>
      <c r="I41" s="614"/>
      <c r="J41" s="614"/>
      <c r="K41" s="614"/>
      <c r="L41" s="614"/>
      <c r="M41" s="614"/>
    </row>
    <row r="42" spans="1:14" ht="15.75" customHeight="1">
      <c r="B42" s="1117"/>
      <c r="C42" s="1117"/>
      <c r="D42" s="1117"/>
      <c r="E42" s="1117"/>
      <c r="F42" s="1117"/>
      <c r="G42" s="1117"/>
      <c r="H42" s="1117"/>
      <c r="I42" s="1117"/>
      <c r="J42" s="1117"/>
      <c r="K42" s="1117"/>
      <c r="L42" s="1117"/>
      <c r="M42" s="1117"/>
    </row>
    <row r="43" spans="1:14" ht="15.75" customHeight="1">
      <c r="B43" s="1117"/>
      <c r="C43" s="1117"/>
      <c r="D43" s="1117"/>
      <c r="E43" s="1117"/>
      <c r="F43" s="1117"/>
      <c r="G43" s="1117"/>
      <c r="H43" s="1117"/>
      <c r="I43" s="1117"/>
      <c r="J43" s="1117"/>
      <c r="K43" s="1117"/>
      <c r="L43" s="1117"/>
      <c r="M43" s="1117"/>
    </row>
    <row r="44" spans="1:14" ht="15.75" customHeight="1">
      <c r="B44" s="1117"/>
      <c r="C44" s="1117"/>
      <c r="D44" s="1117"/>
      <c r="E44" s="1117"/>
      <c r="F44" s="1117"/>
      <c r="G44" s="1117"/>
      <c r="H44" s="1117"/>
      <c r="I44" s="1117"/>
      <c r="J44" s="1117"/>
      <c r="K44" s="1117"/>
      <c r="L44" s="1117"/>
      <c r="M44" s="1117"/>
    </row>
    <row r="45" spans="1:14" ht="15.75" customHeight="1">
      <c r="B45" s="1117"/>
      <c r="C45" s="1117"/>
      <c r="D45" s="1117"/>
      <c r="E45" s="1117"/>
      <c r="F45" s="1117"/>
      <c r="G45" s="1117"/>
      <c r="H45" s="1117"/>
      <c r="I45" s="1117"/>
      <c r="J45" s="1117"/>
      <c r="K45" s="1117"/>
      <c r="L45" s="1117"/>
      <c r="M45" s="1117"/>
    </row>
    <row r="46" spans="1:14" ht="15.75" customHeight="1"/>
    <row r="47" spans="1:14" ht="15.75" customHeight="1">
      <c r="A47" s="1176"/>
      <c r="B47" s="1177"/>
      <c r="C47" s="1177"/>
      <c r="D47" s="1177"/>
      <c r="E47" s="1177"/>
      <c r="F47" s="1177"/>
      <c r="G47" s="1177"/>
      <c r="H47" s="1177"/>
      <c r="I47" s="1177"/>
      <c r="J47" s="1177"/>
      <c r="K47" s="1177"/>
      <c r="L47" s="1177"/>
      <c r="M47" s="1177"/>
      <c r="N47" s="1177"/>
    </row>
    <row r="48" spans="1:14" ht="15" customHeight="1">
      <c r="A48" s="1178"/>
      <c r="B48" s="1178"/>
      <c r="C48" s="1178"/>
      <c r="D48" s="1178"/>
      <c r="E48" s="1178"/>
      <c r="F48" s="1178"/>
      <c r="G48" s="1178"/>
      <c r="H48" s="1178"/>
      <c r="I48" s="1178"/>
      <c r="J48" s="1178"/>
      <c r="K48" s="1178"/>
      <c r="L48" s="1178"/>
      <c r="M48" s="1178"/>
      <c r="N48" s="746"/>
    </row>
    <row r="49" spans="1:14" ht="13.5" customHeight="1">
      <c r="A49" s="1178"/>
      <c r="B49" s="1178"/>
      <c r="C49" s="1178"/>
      <c r="D49" s="1178"/>
      <c r="E49" s="1178"/>
      <c r="F49" s="1178"/>
      <c r="G49" s="1178"/>
      <c r="H49" s="1178"/>
      <c r="I49" s="1178"/>
      <c r="J49" s="1178"/>
      <c r="K49" s="1178"/>
      <c r="L49" s="1178"/>
      <c r="M49" s="1178"/>
      <c r="N49" s="746"/>
    </row>
    <row r="50" spans="1:14" ht="13.2">
      <c r="A50" s="1178"/>
      <c r="B50" s="1178"/>
      <c r="C50" s="1178"/>
      <c r="D50" s="1178"/>
      <c r="E50" s="1178"/>
      <c r="F50" s="1178"/>
      <c r="G50" s="1178"/>
      <c r="H50" s="1178"/>
      <c r="I50" s="1178"/>
      <c r="J50" s="1178"/>
      <c r="K50" s="1178"/>
      <c r="L50" s="1178"/>
      <c r="M50" s="1178"/>
      <c r="N50" s="746"/>
    </row>
    <row r="51" spans="1:14" ht="13.2">
      <c r="A51" s="1178"/>
      <c r="B51" s="1178"/>
      <c r="C51" s="1178"/>
      <c r="D51" s="1178"/>
      <c r="E51" s="1178"/>
      <c r="F51" s="1178"/>
      <c r="G51" s="1178"/>
      <c r="H51" s="1178"/>
      <c r="I51" s="1178"/>
      <c r="J51" s="1178"/>
      <c r="K51" s="1178"/>
      <c r="L51" s="1178"/>
      <c r="M51" s="1178"/>
      <c r="N51" s="746"/>
    </row>
    <row r="52" spans="1:14" ht="13.5" customHeight="1">
      <c r="A52" s="1179"/>
      <c r="B52" s="1178"/>
      <c r="C52" s="1178"/>
      <c r="D52" s="1178"/>
      <c r="E52" s="1178"/>
      <c r="F52" s="1178"/>
      <c r="G52" s="1178"/>
      <c r="H52" s="1178"/>
      <c r="I52" s="1178"/>
      <c r="J52" s="1178"/>
      <c r="K52" s="1178"/>
      <c r="L52" s="1178"/>
      <c r="M52" s="1178"/>
      <c r="N52" s="746"/>
    </row>
    <row r="53" spans="1:14" ht="14.25" customHeight="1">
      <c r="A53" s="1178"/>
      <c r="B53" s="1178"/>
      <c r="C53" s="1178"/>
      <c r="D53" s="1178"/>
      <c r="E53" s="1178"/>
      <c r="F53" s="1178"/>
      <c r="G53" s="1178"/>
      <c r="H53" s="1178"/>
      <c r="I53" s="1178"/>
      <c r="J53" s="1178"/>
      <c r="K53" s="1178"/>
      <c r="L53" s="1178"/>
      <c r="M53" s="1178"/>
      <c r="N53" s="746"/>
    </row>
    <row r="54" spans="1:14" ht="13.5" customHeight="1">
      <c r="A54" s="1178"/>
      <c r="B54" s="1178"/>
      <c r="C54" s="1178"/>
      <c r="D54" s="1178"/>
      <c r="E54" s="1178"/>
      <c r="F54" s="1178"/>
      <c r="G54" s="1178"/>
      <c r="H54" s="1178"/>
      <c r="I54" s="1178"/>
      <c r="J54" s="1178"/>
      <c r="K54" s="1178"/>
      <c r="L54" s="1178"/>
      <c r="M54" s="1178"/>
      <c r="N54" s="746"/>
    </row>
    <row r="55" spans="1:14" ht="14.25" customHeight="1">
      <c r="A55" s="1178"/>
      <c r="B55" s="1178"/>
      <c r="C55" s="1178"/>
      <c r="D55" s="1178"/>
      <c r="E55" s="1178"/>
      <c r="F55" s="1178"/>
      <c r="G55" s="1178"/>
      <c r="H55" s="1178"/>
      <c r="I55" s="1178"/>
      <c r="J55" s="1178"/>
      <c r="K55" s="1178"/>
      <c r="L55" s="1178"/>
      <c r="M55" s="1178"/>
      <c r="N55" s="746"/>
    </row>
    <row r="57" spans="1:14">
      <c r="A57" s="892"/>
      <c r="B57" s="892"/>
      <c r="C57" s="892"/>
      <c r="D57" s="892"/>
      <c r="E57" s="892"/>
      <c r="F57" s="892"/>
      <c r="G57" s="892"/>
      <c r="H57" s="892"/>
      <c r="I57" s="892"/>
      <c r="J57" s="892"/>
      <c r="K57" s="892"/>
      <c r="L57" s="892"/>
      <c r="M57" s="892"/>
    </row>
    <row r="58" spans="1:14">
      <c r="A58" s="892"/>
      <c r="B58" s="892"/>
      <c r="C58" s="892"/>
      <c r="D58" s="892"/>
      <c r="E58" s="892"/>
      <c r="F58" s="892"/>
      <c r="G58" s="892"/>
      <c r="H58" s="892"/>
      <c r="I58" s="892"/>
      <c r="J58" s="892"/>
      <c r="K58" s="892"/>
      <c r="L58" s="892"/>
      <c r="M58" s="892"/>
    </row>
    <row r="59" spans="1:14">
      <c r="A59" s="892"/>
      <c r="B59" s="892"/>
      <c r="C59" s="892"/>
      <c r="D59" s="892"/>
      <c r="E59" s="892"/>
      <c r="F59" s="892"/>
      <c r="G59" s="892"/>
      <c r="H59" s="892"/>
      <c r="I59" s="892"/>
      <c r="J59" s="892"/>
      <c r="K59" s="892"/>
      <c r="L59" s="892"/>
      <c r="M59" s="892"/>
    </row>
    <row r="60" spans="1:14">
      <c r="A60" s="892"/>
      <c r="B60" s="892"/>
      <c r="C60" s="892"/>
      <c r="D60" s="892"/>
      <c r="E60" s="892"/>
      <c r="F60" s="892"/>
      <c r="G60" s="892"/>
      <c r="H60" s="892"/>
      <c r="I60" s="892"/>
      <c r="J60" s="892"/>
      <c r="K60" s="892"/>
      <c r="L60" s="892"/>
      <c r="M60" s="892"/>
    </row>
  </sheetData>
  <sheetProtection algorithmName="SHA-512" hashValue="nyF+YozEpFC8sGkLJHSHdhHbUI7exn6+grup7ba6524EYZBEI1XubuaOJrTpZEs09O1AM36f3Tr5w0KOmyI2VA==" saltValue="bpnhzw+aeLo4UBOVCqffCQ==" spinCount="100000" sheet="1" objects="1" scenarios="1" autoFilter="0"/>
  <mergeCells count="43">
    <mergeCell ref="A1:M1"/>
    <mergeCell ref="N1:N3"/>
    <mergeCell ref="A2:M2"/>
    <mergeCell ref="A3:M3"/>
    <mergeCell ref="J5:M5"/>
    <mergeCell ref="J6:M6"/>
    <mergeCell ref="J7:M7"/>
    <mergeCell ref="F14:H14"/>
    <mergeCell ref="F16:I16"/>
    <mergeCell ref="B45:M45"/>
    <mergeCell ref="B22:M22"/>
    <mergeCell ref="B23:M23"/>
    <mergeCell ref="B24:M24"/>
    <mergeCell ref="B25:M25"/>
    <mergeCell ref="B26:M26"/>
    <mergeCell ref="B27:M27"/>
    <mergeCell ref="B28:M28"/>
    <mergeCell ref="B29:M29"/>
    <mergeCell ref="B30:M30"/>
    <mergeCell ref="B38:M38"/>
    <mergeCell ref="B39:M39"/>
    <mergeCell ref="A54:M54"/>
    <mergeCell ref="A55:M55"/>
    <mergeCell ref="B11:K11"/>
    <mergeCell ref="A47:N47"/>
    <mergeCell ref="A48:M48"/>
    <mergeCell ref="A49:M49"/>
    <mergeCell ref="A50:M50"/>
    <mergeCell ref="A51:M51"/>
    <mergeCell ref="A52:M52"/>
    <mergeCell ref="B42:M42"/>
    <mergeCell ref="B43:M43"/>
    <mergeCell ref="B44:M44"/>
    <mergeCell ref="B20:M20"/>
    <mergeCell ref="B21:M21"/>
    <mergeCell ref="B37:M37"/>
    <mergeCell ref="B40:M40"/>
    <mergeCell ref="A53:M53"/>
    <mergeCell ref="B32:M32"/>
    <mergeCell ref="B33:M33"/>
    <mergeCell ref="B34:M34"/>
    <mergeCell ref="B35:M35"/>
    <mergeCell ref="B36:M36"/>
  </mergeCells>
  <conditionalFormatting sqref="F16">
    <cfRule type="containsText" dxfId="14" priority="1" stopIfTrue="1" operator="containsText" text="Response for Yes needed">
      <formula>NOT(ISERROR(SEARCH("Response for Yes needed",F16)))</formula>
    </cfRule>
  </conditionalFormatting>
  <conditionalFormatting sqref="F14:H14">
    <cfRule type="containsText" dxfId="13" priority="2" stopIfTrue="1" operator="containsText" text="Answer Missing">
      <formula>NOT(ISERROR(SEARCH("Answer Missing",F14)))</formula>
    </cfRule>
  </conditionalFormatting>
  <conditionalFormatting sqref="N1:N3">
    <cfRule type="cellIs" dxfId="12" priority="3" stopIfTrue="1" operator="equal">
      <formula>"na"</formula>
    </cfRule>
  </conditionalFormatting>
  <hyperlinks>
    <hyperlink ref="A1:M1" location="Index!A1" display="Index!A1" xr:uid="{00000000-0004-0000-1100-000000000000}"/>
  </hyperlinks>
  <printOptions horizontalCentered="1"/>
  <pageMargins left="0.5" right="0.25" top="0.5" bottom="0.25" header="0.5" footer="0.2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41"/>
  <sheetViews>
    <sheetView showGridLines="0" zoomScaleNormal="100" workbookViewId="0">
      <selection activeCell="Y15" sqref="Y15"/>
    </sheetView>
  </sheetViews>
  <sheetFormatPr defaultColWidth="10.7109375" defaultRowHeight="10.199999999999999"/>
  <cols>
    <col min="1" max="1" width="7.85546875" style="110" customWidth="1"/>
    <col min="2" max="2" width="20.85546875" style="110" customWidth="1"/>
    <col min="3" max="3" width="2" style="110" customWidth="1"/>
    <col min="4" max="4" width="20.85546875" style="110" customWidth="1"/>
    <col min="5" max="5" width="2" style="110" customWidth="1"/>
    <col min="6" max="6" width="20.85546875" style="110" customWidth="1"/>
    <col min="7" max="7" width="2" style="110" customWidth="1"/>
    <col min="8" max="8" width="3.140625" style="110" customWidth="1"/>
    <col min="9" max="11" width="12.42578125" style="110" customWidth="1"/>
    <col min="12" max="12" width="22.85546875" style="110" customWidth="1"/>
    <col min="13" max="13" width="7.85546875" style="110" customWidth="1"/>
    <col min="14" max="14" width="10.7109375" style="110"/>
    <col min="15" max="18" width="0" style="110" hidden="1" customWidth="1"/>
    <col min="19" max="16384" width="10.7109375" style="110"/>
  </cols>
  <sheetData>
    <row r="1" spans="1:13" s="103" customFormat="1" ht="25.2" customHeight="1">
      <c r="A1" s="1165" t="str">
        <f>+Index!$A$1</f>
        <v>Office of the State Controller</v>
      </c>
      <c r="B1" s="1165"/>
      <c r="C1" s="1165"/>
      <c r="D1" s="1165"/>
      <c r="E1" s="1165"/>
      <c r="F1" s="1165"/>
      <c r="G1" s="1165"/>
      <c r="H1" s="1165"/>
      <c r="I1" s="1165"/>
      <c r="J1" s="1165"/>
      <c r="K1" s="1165"/>
      <c r="L1" s="1165"/>
      <c r="M1" s="666" t="str">
        <f>IF(Index!$B$59="na","NA","")</f>
        <v/>
      </c>
    </row>
    <row r="2" spans="1:13" s="103" customFormat="1" ht="15" customHeight="1">
      <c r="A2" s="100" t="str">
        <f>+Index!$A$2</f>
        <v>2023 Year-End ACFR Package</v>
      </c>
      <c r="B2" s="101"/>
      <c r="C2" s="101"/>
      <c r="D2" s="101"/>
      <c r="E2" s="101"/>
      <c r="F2" s="101"/>
      <c r="G2" s="101"/>
      <c r="H2" s="102"/>
      <c r="I2" s="101"/>
      <c r="J2" s="101"/>
      <c r="K2" s="101"/>
      <c r="L2" s="101"/>
      <c r="M2" s="666"/>
    </row>
    <row r="3" spans="1:13" s="103" customFormat="1" ht="15" customHeight="1">
      <c r="A3" s="100" t="s">
        <v>970</v>
      </c>
      <c r="B3" s="101"/>
      <c r="C3" s="101"/>
      <c r="D3" s="101"/>
      <c r="E3" s="101"/>
      <c r="F3" s="101"/>
      <c r="G3" s="101"/>
      <c r="H3" s="102"/>
      <c r="I3" s="101"/>
      <c r="J3" s="101"/>
      <c r="K3" s="101"/>
      <c r="L3" s="101"/>
      <c r="M3" s="666"/>
    </row>
    <row r="4" spans="1:13" s="103" customFormat="1" ht="15" customHeight="1">
      <c r="A4" s="100"/>
      <c r="B4" s="101"/>
      <c r="C4" s="101"/>
      <c r="D4" s="101"/>
      <c r="E4" s="101"/>
      <c r="F4" s="101"/>
      <c r="G4" s="101"/>
      <c r="H4" s="102"/>
      <c r="I4" s="101"/>
      <c r="J4" s="101"/>
      <c r="K4" s="101"/>
      <c r="L4" s="101"/>
    </row>
    <row r="5" spans="1:13" s="104" customFormat="1" ht="13.2">
      <c r="C5" s="105"/>
      <c r="D5" s="105"/>
      <c r="E5" s="105"/>
      <c r="F5" s="105"/>
      <c r="I5" s="106" t="s">
        <v>479</v>
      </c>
      <c r="J5" s="1080" t="str">
        <f>+Index!$D$10</f>
        <v>C0</v>
      </c>
      <c r="K5" s="1080"/>
      <c r="L5" s="1080"/>
    </row>
    <row r="6" spans="1:13" s="104" customFormat="1" ht="18" customHeight="1">
      <c r="G6" s="107"/>
      <c r="I6" s="106" t="s">
        <v>480</v>
      </c>
      <c r="J6" s="1076" t="str">
        <f>+Index!$D$9</f>
        <v>Alamance Community College</v>
      </c>
      <c r="K6" s="1076"/>
      <c r="L6" s="1076"/>
    </row>
    <row r="7" spans="1:13" s="104" customFormat="1" ht="18" customHeight="1">
      <c r="F7" s="108"/>
      <c r="I7" s="106" t="s">
        <v>481</v>
      </c>
      <c r="J7" s="1094" t="str">
        <f>CONCATENATE(Index!$D$11," ",Index!$D$12)</f>
        <v xml:space="preserve"> </v>
      </c>
      <c r="K7" s="1094"/>
      <c r="L7" s="1094"/>
    </row>
    <row r="8" spans="1:13" ht="15" customHeight="1" thickBot="1">
      <c r="A8" s="109"/>
      <c r="B8" s="109"/>
      <c r="C8" s="109"/>
      <c r="D8" s="109"/>
      <c r="E8" s="109"/>
      <c r="F8" s="109"/>
      <c r="G8" s="109"/>
      <c r="H8" s="109"/>
      <c r="I8" s="109"/>
      <c r="J8" s="109"/>
      <c r="K8" s="109"/>
      <c r="L8" s="109"/>
    </row>
    <row r="9" spans="1:13" ht="15" customHeight="1"/>
    <row r="10" spans="1:13" ht="13.2">
      <c r="A10" s="317" t="s">
        <v>971</v>
      </c>
    </row>
    <row r="11" spans="1:13" ht="12.6">
      <c r="A11" s="388" t="s">
        <v>972</v>
      </c>
    </row>
    <row r="12" spans="1:13" ht="12.75" customHeight="1">
      <c r="A12" s="317" t="s">
        <v>973</v>
      </c>
    </row>
    <row r="13" spans="1:13" ht="15" customHeight="1"/>
    <row r="14" spans="1:13" ht="50.4">
      <c r="B14" s="386" t="s">
        <v>974</v>
      </c>
      <c r="D14" s="386" t="s">
        <v>975</v>
      </c>
      <c r="F14" s="386" t="s">
        <v>976</v>
      </c>
    </row>
    <row r="15" spans="1:13" s="104" customFormat="1" ht="12.6">
      <c r="B15" s="111" t="s">
        <v>977</v>
      </c>
      <c r="C15" s="1012"/>
      <c r="D15" s="111" t="s">
        <v>977</v>
      </c>
      <c r="E15" s="1012"/>
      <c r="F15" s="111" t="s">
        <v>977</v>
      </c>
      <c r="G15" s="1012"/>
      <c r="H15" s="1012"/>
      <c r="I15" s="1012"/>
    </row>
    <row r="16" spans="1:13" s="104" customFormat="1" ht="12.6">
      <c r="B16" s="560">
        <f>PriorYear</f>
        <v>44743</v>
      </c>
      <c r="C16" s="1012"/>
      <c r="D16" s="560">
        <f>PriorYear</f>
        <v>44743</v>
      </c>
      <c r="E16" s="1012"/>
      <c r="F16" s="560">
        <f>PriorYear</f>
        <v>44743</v>
      </c>
      <c r="G16" s="1012"/>
      <c r="H16" s="1012"/>
      <c r="I16" s="1012"/>
    </row>
    <row r="17" spans="2:12" s="104" customFormat="1" ht="12.6">
      <c r="B17" s="1013" t="s">
        <v>978</v>
      </c>
      <c r="C17" s="1012"/>
      <c r="D17" s="1013" t="s">
        <v>978</v>
      </c>
      <c r="E17" s="1012"/>
      <c r="F17" s="1013" t="s">
        <v>978</v>
      </c>
      <c r="G17" s="1012"/>
      <c r="H17" s="1012"/>
      <c r="I17" s="1197" t="s">
        <v>979</v>
      </c>
      <c r="J17" s="1197"/>
      <c r="K17" s="1197"/>
      <c r="L17" s="1197"/>
    </row>
    <row r="18" spans="2:12" ht="27.6" customHeight="1">
      <c r="B18" s="779"/>
      <c r="C18" s="650"/>
      <c r="D18" s="778"/>
      <c r="E18" s="225"/>
      <c r="F18" s="778"/>
      <c r="H18" s="1194" t="s">
        <v>980</v>
      </c>
      <c r="I18" s="1194"/>
      <c r="J18" s="1194"/>
      <c r="K18" s="1194"/>
      <c r="L18" s="1194"/>
    </row>
    <row r="19" spans="2:12" ht="21.75" customHeight="1">
      <c r="B19" s="778"/>
      <c r="C19" s="649"/>
      <c r="D19" s="779"/>
      <c r="E19" s="649"/>
      <c r="F19" s="778"/>
      <c r="G19" s="649"/>
      <c r="H19" s="1195" t="s">
        <v>981</v>
      </c>
      <c r="I19" s="1195"/>
      <c r="J19" s="1195"/>
      <c r="K19" s="1195"/>
      <c r="L19" s="1195"/>
    </row>
    <row r="20" spans="2:12" ht="21.75" customHeight="1">
      <c r="B20" s="648"/>
      <c r="C20" s="649"/>
      <c r="D20" s="648" t="s">
        <v>146</v>
      </c>
      <c r="E20" s="649"/>
      <c r="F20" s="648" t="s">
        <v>146</v>
      </c>
      <c r="G20" s="225"/>
      <c r="H20" s="1196" t="s">
        <v>146</v>
      </c>
      <c r="I20" s="1196"/>
      <c r="J20" s="1196"/>
      <c r="K20" s="1196"/>
      <c r="L20" s="1196"/>
    </row>
    <row r="21" spans="2:12" ht="21.75" customHeight="1">
      <c r="B21" s="648"/>
      <c r="C21" s="649"/>
      <c r="D21" s="779"/>
      <c r="E21" s="649"/>
      <c r="F21" s="648"/>
      <c r="G21" s="225"/>
      <c r="H21" s="1188"/>
      <c r="I21" s="1188"/>
      <c r="J21" s="1188"/>
      <c r="K21" s="1188"/>
      <c r="L21" s="1188"/>
    </row>
    <row r="22" spans="2:12" ht="21.75" customHeight="1">
      <c r="B22" s="648"/>
      <c r="C22" s="649"/>
      <c r="D22" s="648"/>
      <c r="E22" s="649"/>
      <c r="F22" s="779"/>
      <c r="G22" s="225"/>
      <c r="H22" s="1188"/>
      <c r="I22" s="1188"/>
      <c r="J22" s="1188"/>
      <c r="K22" s="1188"/>
      <c r="L22" s="1188"/>
    </row>
    <row r="23" spans="2:12" ht="21.75" customHeight="1">
      <c r="B23" s="648"/>
      <c r="C23" s="649"/>
      <c r="D23" s="648"/>
      <c r="E23" s="649"/>
      <c r="F23" s="779"/>
      <c r="G23" s="225"/>
      <c r="H23" s="1188"/>
      <c r="I23" s="1188"/>
      <c r="J23" s="1188"/>
      <c r="K23" s="1188"/>
      <c r="L23" s="1188"/>
    </row>
    <row r="24" spans="2:12" ht="21.75" customHeight="1">
      <c r="B24" s="648"/>
      <c r="C24" s="649"/>
      <c r="D24" s="648"/>
      <c r="E24" s="649"/>
      <c r="F24" s="648"/>
      <c r="G24" s="225"/>
      <c r="H24" s="1189"/>
      <c r="I24" s="1189"/>
      <c r="J24" s="1189"/>
      <c r="K24" s="1189"/>
      <c r="L24" s="1189"/>
    </row>
    <row r="25" spans="2:12" ht="21.75" customHeight="1">
      <c r="B25" s="648"/>
      <c r="C25" s="649"/>
      <c r="D25" s="648"/>
      <c r="E25" s="649"/>
      <c r="F25" s="648"/>
      <c r="G25" s="225"/>
      <c r="H25" s="1189"/>
      <c r="I25" s="1189"/>
      <c r="J25" s="1189"/>
      <c r="K25" s="1189"/>
      <c r="L25" s="1189"/>
    </row>
    <row r="26" spans="2:12" ht="21.75" customHeight="1">
      <c r="B26" s="648"/>
      <c r="C26" s="649"/>
      <c r="D26" s="648"/>
      <c r="E26" s="649"/>
      <c r="F26" s="648"/>
      <c r="G26" s="225"/>
      <c r="H26" s="1189"/>
      <c r="I26" s="1189"/>
      <c r="J26" s="1189"/>
      <c r="K26" s="1189"/>
      <c r="L26" s="1189"/>
    </row>
    <row r="27" spans="2:12" ht="21.75" customHeight="1">
      <c r="B27" s="648"/>
      <c r="C27" s="649"/>
      <c r="D27" s="648"/>
      <c r="E27" s="649"/>
      <c r="F27" s="648"/>
      <c r="G27" s="225"/>
      <c r="H27" s="1189"/>
      <c r="I27" s="1189"/>
      <c r="J27" s="1189"/>
      <c r="K27" s="1189"/>
      <c r="L27" s="1189"/>
    </row>
    <row r="28" spans="2:12" ht="21.75" customHeight="1">
      <c r="B28" s="648"/>
      <c r="C28" s="649"/>
      <c r="D28" s="648"/>
      <c r="E28" s="649"/>
      <c r="F28" s="648"/>
      <c r="G28" s="225"/>
      <c r="H28" s="1189"/>
      <c r="I28" s="1189"/>
      <c r="J28" s="1189"/>
      <c r="K28" s="1189"/>
      <c r="L28" s="1189"/>
    </row>
    <row r="29" spans="2:12" ht="21.75" customHeight="1">
      <c r="B29" s="648"/>
      <c r="C29" s="649"/>
      <c r="D29" s="648"/>
      <c r="E29" s="649"/>
      <c r="F29" s="648"/>
      <c r="G29" s="225"/>
      <c r="H29" s="1189"/>
      <c r="I29" s="1189"/>
      <c r="J29" s="1189"/>
      <c r="K29" s="1189"/>
      <c r="L29" s="1189"/>
    </row>
    <row r="30" spans="2:12" ht="21.75" customHeight="1" thickBot="1">
      <c r="B30" s="226"/>
      <c r="C30" s="225"/>
      <c r="D30" s="387"/>
      <c r="E30" s="225"/>
      <c r="F30" s="387"/>
      <c r="G30" s="225"/>
      <c r="H30" s="1189"/>
      <c r="I30" s="1189"/>
      <c r="J30" s="1189"/>
      <c r="K30" s="1189"/>
      <c r="L30" s="1189"/>
    </row>
    <row r="31" spans="2:12" ht="19.5" customHeight="1" thickBot="1">
      <c r="B31" s="552">
        <f>SUM(B18:B30)</f>
        <v>0</v>
      </c>
      <c r="D31" s="552">
        <f>SUM(D18:D30)</f>
        <v>0</v>
      </c>
      <c r="F31" s="552">
        <f>SUM(F18:F30)</f>
        <v>0</v>
      </c>
    </row>
    <row r="33" spans="1:18" ht="19.5" customHeight="1" thickBot="1">
      <c r="D33" s="553" t="s">
        <v>982</v>
      </c>
      <c r="F33" s="554">
        <f>B31+D31+F31</f>
        <v>0</v>
      </c>
      <c r="I33" s="1190" t="str">
        <f>IF(F33='ExhA&amp;B'!D141," ","Problem: Does not agree to Restatements on Exhibit B")</f>
        <v xml:space="preserve"> </v>
      </c>
      <c r="J33" s="1190"/>
      <c r="K33" s="1191"/>
      <c r="L33" s="1191"/>
      <c r="M33" s="316"/>
      <c r="N33" s="316"/>
    </row>
    <row r="34" spans="1:18" ht="13.2" thickTop="1">
      <c r="I34" s="1193" t="s">
        <v>983</v>
      </c>
      <c r="J34" s="1193"/>
      <c r="K34" s="1193"/>
      <c r="L34" s="1193"/>
      <c r="M34" s="1082"/>
      <c r="N34" s="1082"/>
    </row>
    <row r="35" spans="1:18">
      <c r="H35" s="112"/>
      <c r="I35" s="112"/>
      <c r="J35" s="112"/>
    </row>
    <row r="37" spans="1:18" ht="13.2">
      <c r="A37" s="1192" t="s">
        <v>146</v>
      </c>
      <c r="B37" s="1135"/>
      <c r="C37" s="1135"/>
      <c r="D37" s="1135"/>
      <c r="E37" s="1135"/>
      <c r="F37" s="1135"/>
      <c r="G37" s="1135"/>
      <c r="H37" s="1135"/>
      <c r="I37" s="1135"/>
      <c r="J37" s="1135"/>
      <c r="K37" s="1135"/>
      <c r="L37" s="1135"/>
      <c r="M37" s="1135"/>
      <c r="N37" s="1135"/>
      <c r="O37" s="1135"/>
      <c r="P37" s="1135"/>
      <c r="Q37" s="1135"/>
      <c r="R37" s="1135"/>
    </row>
    <row r="38" spans="1:18" ht="13.2">
      <c r="A38" s="36"/>
      <c r="B38" s="36"/>
      <c r="C38" s="36"/>
      <c r="D38" s="36"/>
      <c r="E38" s="36"/>
      <c r="F38" s="36"/>
      <c r="G38" s="36"/>
      <c r="H38" s="36"/>
      <c r="I38" s="36"/>
      <c r="J38" s="36"/>
      <c r="K38" s="36"/>
      <c r="L38" s="36"/>
      <c r="M38" s="36"/>
      <c r="N38" s="36"/>
      <c r="O38" s="36"/>
      <c r="P38" s="36"/>
      <c r="Q38" s="36"/>
      <c r="R38" s="36"/>
    </row>
    <row r="39" spans="1:18" ht="15">
      <c r="A39" s="1011"/>
      <c r="B39" s="298"/>
      <c r="C39" s="298"/>
      <c r="D39" s="298"/>
      <c r="E39" s="298"/>
      <c r="F39" s="298"/>
      <c r="G39" s="298"/>
      <c r="H39" s="504"/>
      <c r="I39" s="26"/>
      <c r="J39" s="504"/>
      <c r="K39" s="504"/>
      <c r="L39" s="504"/>
      <c r="M39" s="504"/>
      <c r="N39" s="504"/>
      <c r="O39" s="504"/>
      <c r="P39" s="504"/>
      <c r="Q39" s="504"/>
      <c r="R39" s="504"/>
    </row>
    <row r="40" spans="1:18" ht="13.2">
      <c r="A40" s="36"/>
      <c r="B40" s="26"/>
      <c r="C40" s="26"/>
      <c r="D40" s="26"/>
      <c r="E40" s="26"/>
      <c r="F40" s="26"/>
      <c r="G40" s="26"/>
      <c r="H40" s="26"/>
      <c r="I40" s="26"/>
      <c r="J40" s="26"/>
      <c r="K40" s="26"/>
      <c r="L40" s="26"/>
      <c r="M40" s="26"/>
      <c r="N40" s="26"/>
      <c r="O40" s="26"/>
      <c r="P40" s="26"/>
      <c r="Q40" s="26"/>
      <c r="R40" s="26"/>
    </row>
    <row r="41" spans="1:18" ht="13.2">
      <c r="A41" s="36"/>
      <c r="B41" s="26"/>
      <c r="C41" s="26"/>
      <c r="D41" s="26"/>
      <c r="E41" s="26"/>
      <c r="F41" s="26"/>
      <c r="G41" s="26"/>
      <c r="H41" s="26"/>
      <c r="I41" s="26"/>
      <c r="J41" s="26"/>
      <c r="K41" s="26"/>
      <c r="L41" s="26"/>
      <c r="M41" s="26"/>
      <c r="N41" s="26"/>
      <c r="O41" s="26"/>
      <c r="P41" s="26"/>
      <c r="Q41" s="26"/>
      <c r="R41" s="26"/>
    </row>
  </sheetData>
  <sheetProtection algorithmName="SHA-512" hashValue="4B8Ak+J6jRuteNzZN5MdUtqNGLucCIXT3McLzOlLQl8i/0KMLQJSyfYvp9oYlSxw0FvEE59MlVCMBl0KjGzu5g==" saltValue="0a8OsTGDksNx1tp2wCJmrw==" spinCount="100000" sheet="1" objects="1" scenarios="1" autoFilter="0"/>
  <mergeCells count="21">
    <mergeCell ref="I17:L17"/>
    <mergeCell ref="J5:L5"/>
    <mergeCell ref="J6:L6"/>
    <mergeCell ref="J7:L7"/>
    <mergeCell ref="A1:L1"/>
    <mergeCell ref="H18:L18"/>
    <mergeCell ref="H19:L19"/>
    <mergeCell ref="H20:L20"/>
    <mergeCell ref="H21:L21"/>
    <mergeCell ref="H22:L22"/>
    <mergeCell ref="H23:L23"/>
    <mergeCell ref="H24:L24"/>
    <mergeCell ref="H25:L25"/>
    <mergeCell ref="I33:L33"/>
    <mergeCell ref="A37:R37"/>
    <mergeCell ref="I34:N34"/>
    <mergeCell ref="H26:L26"/>
    <mergeCell ref="H27:L27"/>
    <mergeCell ref="H28:L28"/>
    <mergeCell ref="H29:L29"/>
    <mergeCell ref="H30:L30"/>
  </mergeCells>
  <phoneticPr fontId="43" type="noConversion"/>
  <conditionalFormatting sqref="M1:M3">
    <cfRule type="cellIs" dxfId="11" priority="1" stopIfTrue="1" operator="equal">
      <formula>"na"</formula>
    </cfRule>
  </conditionalFormatting>
  <hyperlinks>
    <hyperlink ref="A1:L1" location="Index!A1" display="Index!A1" xr:uid="{00000000-0004-0000-1200-000000000000}"/>
  </hyperlinks>
  <printOptions horizontalCentered="1"/>
  <pageMargins left="0.5" right="0.25" top="0.5" bottom="0.25" header="0.5" footer="0.25"/>
  <pageSetup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P65537"/>
  <sheetViews>
    <sheetView showGridLines="0" zoomScaleNormal="100" workbookViewId="0">
      <selection activeCell="L13" sqref="L13"/>
    </sheetView>
  </sheetViews>
  <sheetFormatPr defaultColWidth="10.7109375" defaultRowHeight="15.6"/>
  <cols>
    <col min="1" max="1" width="13.7109375" style="251" customWidth="1"/>
    <col min="2" max="2" width="2" style="251" customWidth="1"/>
    <col min="3" max="3" width="14.42578125" style="251" customWidth="1"/>
    <col min="4" max="4" width="2" style="251" customWidth="1"/>
    <col min="5" max="5" width="17.85546875" style="251" customWidth="1"/>
    <col min="6" max="6" width="2.140625" style="251" customWidth="1"/>
    <col min="7" max="7" width="26.42578125" style="251" customWidth="1"/>
    <col min="8" max="8" width="3.85546875" style="251" customWidth="1"/>
    <col min="9" max="9" width="2" style="251" customWidth="1"/>
    <col min="10" max="10" width="22" style="251" customWidth="1"/>
    <col min="11" max="11" width="2.140625" style="251" customWidth="1"/>
    <col min="12" max="12" width="22" style="251" customWidth="1"/>
    <col min="13" max="13" width="2" style="251" customWidth="1"/>
    <col min="14" max="14" width="46.7109375" style="251" customWidth="1"/>
    <col min="15" max="15" width="8" style="251" bestFit="1" customWidth="1"/>
    <col min="16" max="16384" width="10.7109375" style="251"/>
  </cols>
  <sheetData>
    <row r="1" spans="1:16" ht="25.2" customHeight="1">
      <c r="A1" s="1165" t="str">
        <f>+Index!$A$1</f>
        <v>Office of the State Controller</v>
      </c>
      <c r="B1" s="1165"/>
      <c r="C1" s="1165"/>
      <c r="D1" s="1165"/>
      <c r="E1" s="1165"/>
      <c r="F1" s="1165"/>
      <c r="G1" s="1165"/>
      <c r="H1" s="1165"/>
      <c r="I1" s="1165"/>
      <c r="J1" s="1165"/>
      <c r="K1" s="1165"/>
      <c r="L1" s="1165"/>
      <c r="M1" s="1165"/>
      <c r="N1" s="1165"/>
      <c r="O1" s="808" t="str">
        <f>IF(Index!$B$60="na","NA","")</f>
        <v/>
      </c>
    </row>
    <row r="2" spans="1:16" ht="15" customHeight="1">
      <c r="A2" s="1198" t="str">
        <f>+Index!$A$2</f>
        <v>2023 Year-End ACFR Package</v>
      </c>
      <c r="B2" s="1198"/>
      <c r="C2" s="1198"/>
      <c r="D2" s="1198"/>
      <c r="E2" s="1198"/>
      <c r="F2" s="1198"/>
      <c r="G2" s="1198"/>
      <c r="H2" s="1198"/>
      <c r="I2" s="1198"/>
      <c r="J2" s="1198"/>
      <c r="K2" s="1198"/>
      <c r="L2" s="1198"/>
      <c r="M2" s="1198"/>
      <c r="N2" s="1198"/>
      <c r="O2" s="808"/>
    </row>
    <row r="3" spans="1:16" ht="15" customHeight="1">
      <c r="A3" s="1198" t="s">
        <v>984</v>
      </c>
      <c r="B3" s="1198"/>
      <c r="C3" s="1198"/>
      <c r="D3" s="1198"/>
      <c r="E3" s="1198"/>
      <c r="F3" s="1198"/>
      <c r="G3" s="1198"/>
      <c r="H3" s="1198"/>
      <c r="I3" s="1198"/>
      <c r="J3" s="1198"/>
      <c r="K3" s="1198"/>
      <c r="L3" s="1198"/>
      <c r="M3" s="1198"/>
      <c r="N3" s="1198"/>
      <c r="O3" s="808"/>
    </row>
    <row r="4" spans="1:16" s="502" customFormat="1" ht="15" customHeight="1">
      <c r="A4" s="1198" t="s">
        <v>985</v>
      </c>
      <c r="B4" s="1198"/>
      <c r="C4" s="1198"/>
      <c r="D4" s="1198"/>
      <c r="E4" s="1198"/>
      <c r="F4" s="1198"/>
      <c r="G4" s="1198"/>
      <c r="H4" s="1198"/>
      <c r="I4" s="1198"/>
      <c r="J4" s="1198"/>
      <c r="K4" s="1198"/>
      <c r="L4" s="1198"/>
      <c r="M4" s="1198"/>
      <c r="N4" s="1198"/>
      <c r="O4" s="503"/>
    </row>
    <row r="5" spans="1:16" s="502" customFormat="1" ht="15" customHeight="1">
      <c r="A5" s="1202" t="s">
        <v>986</v>
      </c>
      <c r="B5" s="1202"/>
      <c r="C5" s="1202"/>
      <c r="D5" s="1202"/>
      <c r="E5" s="1202"/>
      <c r="F5" s="1202"/>
      <c r="G5" s="1202"/>
      <c r="H5" s="1202"/>
      <c r="I5" s="1202"/>
      <c r="J5" s="1202"/>
      <c r="K5" s="1202"/>
      <c r="L5" s="1202"/>
      <c r="M5" s="1202"/>
      <c r="N5" s="1202"/>
      <c r="O5" s="965"/>
      <c r="P5" s="965"/>
    </row>
    <row r="6" spans="1:16" s="502" customFormat="1" ht="5.25" customHeight="1">
      <c r="A6" s="651"/>
      <c r="B6" s="651"/>
      <c r="C6" s="651"/>
      <c r="D6" s="651"/>
      <c r="E6" s="651"/>
      <c r="F6" s="651"/>
      <c r="G6" s="651"/>
      <c r="H6" s="651"/>
      <c r="I6" s="651"/>
      <c r="J6" s="651"/>
      <c r="K6" s="651"/>
      <c r="L6" s="651"/>
      <c r="M6" s="651"/>
      <c r="N6" s="651"/>
      <c r="O6" s="503"/>
    </row>
    <row r="7" spans="1:16" ht="15" customHeight="1">
      <c r="A7" s="269" t="s">
        <v>479</v>
      </c>
      <c r="B7" s="370"/>
      <c r="C7" s="1015" t="str">
        <f>+Index!$D$10</f>
        <v>C0</v>
      </c>
      <c r="D7" s="270"/>
      <c r="E7" s="270"/>
      <c r="F7" s="271" t="s">
        <v>481</v>
      </c>
      <c r="G7" s="1199"/>
      <c r="H7" s="1199"/>
      <c r="I7" s="1199"/>
      <c r="J7" s="1199"/>
      <c r="K7" s="1199"/>
      <c r="L7" s="1199"/>
      <c r="M7" s="1199"/>
      <c r="N7" s="1019"/>
    </row>
    <row r="8" spans="1:16" ht="15" customHeight="1">
      <c r="A8" s="269" t="s">
        <v>480</v>
      </c>
      <c r="B8" s="270"/>
      <c r="C8" s="1200" t="str">
        <f>+Index!$D$9</f>
        <v>Alamance Community College</v>
      </c>
      <c r="D8" s="1200"/>
      <c r="E8" s="1200"/>
      <c r="F8" s="1200"/>
      <c r="G8" s="1200"/>
      <c r="H8" s="1200"/>
      <c r="I8" s="1200"/>
      <c r="J8" s="1200"/>
      <c r="K8" s="1200"/>
      <c r="L8" s="1200"/>
      <c r="M8" s="1200"/>
      <c r="N8" s="259"/>
    </row>
    <row r="9" spans="1:16" ht="15" customHeight="1" thickBot="1">
      <c r="A9" s="652"/>
      <c r="B9" s="652"/>
      <c r="C9" s="652"/>
      <c r="D9" s="652"/>
      <c r="E9" s="652"/>
      <c r="F9" s="653"/>
      <c r="G9" s="652"/>
      <c r="H9" s="652"/>
      <c r="I9" s="652"/>
      <c r="J9" s="652"/>
      <c r="K9" s="652"/>
      <c r="L9" s="652"/>
      <c r="M9" s="652"/>
      <c r="N9" s="652"/>
    </row>
    <row r="10" spans="1:16" ht="15" customHeight="1" thickBot="1">
      <c r="A10" s="654" t="s">
        <v>987</v>
      </c>
      <c r="B10" s="654"/>
      <c r="C10" s="655"/>
      <c r="D10" s="654"/>
      <c r="E10" s="655"/>
      <c r="F10" s="656"/>
      <c r="G10" s="1201" t="s">
        <v>988</v>
      </c>
      <c r="H10" s="1201"/>
      <c r="I10" s="1201"/>
      <c r="J10" s="1201"/>
      <c r="K10" s="1201"/>
      <c r="L10" s="1201"/>
      <c r="M10" s="656"/>
      <c r="N10" s="259"/>
    </row>
    <row r="11" spans="1:16" ht="14.1" customHeight="1">
      <c r="A11" s="657" t="s">
        <v>989</v>
      </c>
      <c r="B11" s="658"/>
      <c r="C11" s="657" t="s">
        <v>989</v>
      </c>
      <c r="D11" s="658"/>
      <c r="E11" s="659"/>
      <c r="F11" s="656"/>
      <c r="G11" s="899"/>
      <c r="H11" s="899"/>
      <c r="I11" s="660"/>
      <c r="J11" s="794" t="s">
        <v>990</v>
      </c>
      <c r="K11" s="660"/>
      <c r="L11" s="794" t="s">
        <v>991</v>
      </c>
      <c r="M11" s="656"/>
      <c r="N11" s="259"/>
    </row>
    <row r="12" spans="1:16" ht="14.1" customHeight="1" thickBot="1">
      <c r="A12" s="1018" t="s">
        <v>992</v>
      </c>
      <c r="B12" s="259"/>
      <c r="C12" s="1018" t="s">
        <v>993</v>
      </c>
      <c r="D12" s="259"/>
      <c r="E12" s="661" t="s">
        <v>994</v>
      </c>
      <c r="F12" s="656"/>
      <c r="G12" s="661" t="s">
        <v>995</v>
      </c>
      <c r="H12" s="900"/>
      <c r="I12" s="660"/>
      <c r="J12" s="795" t="s">
        <v>996</v>
      </c>
      <c r="K12" s="660"/>
      <c r="L12" s="795" t="s">
        <v>997</v>
      </c>
      <c r="M12" s="656"/>
      <c r="N12" s="661" t="s">
        <v>998</v>
      </c>
      <c r="O12" s="258" t="s">
        <v>146</v>
      </c>
    </row>
    <row r="13" spans="1:16" ht="20.100000000000001" customHeight="1">
      <c r="A13" s="253"/>
      <c r="B13" s="656"/>
      <c r="C13" s="254"/>
      <c r="D13" s="259"/>
      <c r="E13" s="255"/>
      <c r="F13" s="259"/>
      <c r="G13" s="989"/>
      <c r="H13" s="989"/>
      <c r="I13" s="307"/>
      <c r="J13" s="989"/>
      <c r="K13" s="232"/>
      <c r="L13" s="980"/>
      <c r="M13" s="259"/>
      <c r="N13" s="254"/>
    </row>
    <row r="14" spans="1:16" ht="20.100000000000001" customHeight="1">
      <c r="A14" s="253"/>
      <c r="B14" s="656"/>
      <c r="C14" s="254"/>
      <c r="D14" s="259"/>
      <c r="E14" s="255"/>
      <c r="F14" s="259"/>
      <c r="G14" s="989"/>
      <c r="H14" s="989"/>
      <c r="I14" s="307"/>
      <c r="J14" s="989"/>
      <c r="K14" s="232"/>
      <c r="L14" s="980"/>
      <c r="M14" s="259"/>
      <c r="N14" s="254"/>
    </row>
    <row r="15" spans="1:16" ht="20.100000000000001" customHeight="1">
      <c r="A15" s="253"/>
      <c r="B15" s="656"/>
      <c r="C15" s="254"/>
      <c r="D15" s="259"/>
      <c r="E15" s="255"/>
      <c r="F15" s="259"/>
      <c r="G15" s="989"/>
      <c r="H15" s="989"/>
      <c r="I15" s="307"/>
      <c r="J15" s="989"/>
      <c r="K15" s="232"/>
      <c r="L15" s="980"/>
      <c r="M15" s="259"/>
      <c r="N15" s="254"/>
    </row>
    <row r="16" spans="1:16" ht="20.100000000000001" customHeight="1">
      <c r="A16" s="253"/>
      <c r="B16" s="656"/>
      <c r="C16" s="254"/>
      <c r="D16" s="259"/>
      <c r="E16" s="255"/>
      <c r="F16" s="259"/>
      <c r="G16" s="989"/>
      <c r="H16" s="989"/>
      <c r="I16" s="307"/>
      <c r="J16" s="989"/>
      <c r="K16" s="232"/>
      <c r="L16" s="980"/>
      <c r="M16" s="259"/>
      <c r="N16" s="254"/>
    </row>
    <row r="17" spans="1:14" ht="20.100000000000001" customHeight="1">
      <c r="A17" s="475"/>
      <c r="B17" s="656"/>
      <c r="C17" s="254"/>
      <c r="D17" s="259"/>
      <c r="E17" s="255"/>
      <c r="F17" s="259"/>
      <c r="G17" s="989"/>
      <c r="H17" s="989"/>
      <c r="I17" s="307"/>
      <c r="J17" s="989"/>
      <c r="K17" s="232"/>
      <c r="L17" s="980"/>
      <c r="M17" s="259"/>
      <c r="N17" s="254"/>
    </row>
    <row r="18" spans="1:14" ht="20.100000000000001" customHeight="1">
      <c r="A18" s="475"/>
      <c r="B18" s="656"/>
      <c r="C18" s="254"/>
      <c r="D18" s="259"/>
      <c r="E18" s="255"/>
      <c r="F18" s="259"/>
      <c r="G18" s="989"/>
      <c r="H18" s="989"/>
      <c r="I18" s="307"/>
      <c r="J18" s="989"/>
      <c r="K18" s="232"/>
      <c r="L18" s="980"/>
      <c r="M18" s="259"/>
      <c r="N18" s="254"/>
    </row>
    <row r="19" spans="1:14" ht="20.100000000000001" customHeight="1">
      <c r="A19" s="475"/>
      <c r="B19" s="656"/>
      <c r="C19" s="254"/>
      <c r="D19" s="259"/>
      <c r="E19" s="255"/>
      <c r="F19" s="259"/>
      <c r="G19" s="989"/>
      <c r="H19" s="989"/>
      <c r="I19" s="307"/>
      <c r="J19" s="989"/>
      <c r="K19" s="232"/>
      <c r="L19" s="980"/>
      <c r="M19" s="259"/>
      <c r="N19" s="254"/>
    </row>
    <row r="20" spans="1:14" ht="20.100000000000001" customHeight="1">
      <c r="A20" s="475"/>
      <c r="B20" s="656"/>
      <c r="C20" s="254"/>
      <c r="D20" s="259"/>
      <c r="E20" s="255"/>
      <c r="F20" s="259"/>
      <c r="G20" s="989"/>
      <c r="H20" s="989"/>
      <c r="I20" s="307"/>
      <c r="J20" s="989"/>
      <c r="K20" s="232"/>
      <c r="L20" s="980"/>
      <c r="M20" s="259"/>
      <c r="N20" s="254"/>
    </row>
    <row r="21" spans="1:14" ht="20.100000000000001" customHeight="1">
      <c r="A21" s="253"/>
      <c r="B21" s="656"/>
      <c r="C21" s="254"/>
      <c r="D21" s="259"/>
      <c r="E21" s="255"/>
      <c r="F21" s="259"/>
      <c r="G21" s="989"/>
      <c r="H21" s="989"/>
      <c r="I21" s="307"/>
      <c r="J21" s="989"/>
      <c r="K21" s="232"/>
      <c r="L21" s="980"/>
      <c r="M21" s="259"/>
      <c r="N21" s="254"/>
    </row>
    <row r="22" spans="1:14" ht="20.100000000000001" customHeight="1">
      <c r="A22" s="253"/>
      <c r="B22" s="656"/>
      <c r="C22" s="254"/>
      <c r="D22" s="259"/>
      <c r="E22" s="255"/>
      <c r="F22" s="259"/>
      <c r="G22" s="989"/>
      <c r="H22" s="989"/>
      <c r="I22" s="307"/>
      <c r="J22" s="989"/>
      <c r="K22" s="232"/>
      <c r="L22" s="980"/>
      <c r="M22" s="259"/>
      <c r="N22" s="254"/>
    </row>
    <row r="23" spans="1:14" ht="20.100000000000001" customHeight="1">
      <c r="A23" s="253"/>
      <c r="B23" s="656"/>
      <c r="C23" s="254"/>
      <c r="D23" s="259"/>
      <c r="E23" s="255"/>
      <c r="F23" s="259"/>
      <c r="G23" s="989"/>
      <c r="H23" s="989"/>
      <c r="I23" s="307"/>
      <c r="J23" s="989"/>
      <c r="K23" s="232"/>
      <c r="L23" s="980"/>
      <c r="M23" s="259"/>
      <c r="N23" s="254"/>
    </row>
    <row r="24" spans="1:14" ht="20.100000000000001" customHeight="1">
      <c r="A24" s="253"/>
      <c r="B24" s="656"/>
      <c r="C24" s="254"/>
      <c r="D24" s="259"/>
      <c r="E24" s="255"/>
      <c r="F24" s="259"/>
      <c r="G24" s="989"/>
      <c r="H24" s="989"/>
      <c r="I24" s="307"/>
      <c r="J24" s="989"/>
      <c r="K24" s="232"/>
      <c r="L24" s="980"/>
      <c r="M24" s="259"/>
      <c r="N24" s="254"/>
    </row>
    <row r="25" spans="1:14" ht="20.100000000000001" customHeight="1">
      <c r="A25" s="253"/>
      <c r="B25" s="656"/>
      <c r="C25" s="254"/>
      <c r="D25" s="259"/>
      <c r="E25" s="255"/>
      <c r="F25" s="259"/>
      <c r="G25" s="989"/>
      <c r="H25" s="989"/>
      <c r="I25" s="307"/>
      <c r="J25" s="989"/>
      <c r="K25" s="232"/>
      <c r="L25" s="980"/>
      <c r="M25" s="259"/>
      <c r="N25" s="254"/>
    </row>
    <row r="26" spans="1:14" ht="20.100000000000001" customHeight="1">
      <c r="A26" s="253"/>
      <c r="B26" s="656"/>
      <c r="C26" s="254"/>
      <c r="D26" s="259"/>
      <c r="E26" s="255"/>
      <c r="F26" s="259"/>
      <c r="G26" s="989"/>
      <c r="H26" s="989"/>
      <c r="I26" s="307"/>
      <c r="J26" s="989"/>
      <c r="K26" s="232"/>
      <c r="L26" s="980"/>
      <c r="M26" s="259"/>
      <c r="N26" s="254"/>
    </row>
    <row r="27" spans="1:14" ht="20.100000000000001" customHeight="1">
      <c r="A27" s="253"/>
      <c r="B27" s="656"/>
      <c r="C27" s="254"/>
      <c r="D27" s="259"/>
      <c r="E27" s="255"/>
      <c r="F27" s="259"/>
      <c r="G27" s="989"/>
      <c r="H27" s="989"/>
      <c r="I27" s="307"/>
      <c r="J27" s="989"/>
      <c r="K27" s="232"/>
      <c r="L27" s="980"/>
      <c r="M27" s="259"/>
      <c r="N27" s="254"/>
    </row>
    <row r="28" spans="1:14" ht="20.100000000000001" customHeight="1">
      <c r="A28" s="253"/>
      <c r="B28" s="656"/>
      <c r="C28" s="254"/>
      <c r="D28" s="259"/>
      <c r="E28" s="255"/>
      <c r="F28" s="259"/>
      <c r="G28" s="989"/>
      <c r="H28" s="989"/>
      <c r="I28" s="307"/>
      <c r="J28" s="989"/>
      <c r="K28" s="232"/>
      <c r="L28" s="980"/>
      <c r="M28" s="259"/>
      <c r="N28" s="254"/>
    </row>
    <row r="29" spans="1:14" ht="20.100000000000001" customHeight="1">
      <c r="A29" s="253"/>
      <c r="B29" s="656"/>
      <c r="C29" s="254"/>
      <c r="D29" s="259"/>
      <c r="E29" s="255"/>
      <c r="F29" s="259"/>
      <c r="G29" s="989"/>
      <c r="H29" s="989"/>
      <c r="I29" s="307"/>
      <c r="J29" s="989"/>
      <c r="K29" s="232"/>
      <c r="L29" s="980"/>
      <c r="M29" s="259"/>
      <c r="N29" s="254"/>
    </row>
    <row r="30" spans="1:14" ht="20.100000000000001" customHeight="1" thickBot="1">
      <c r="A30" s="259"/>
      <c r="B30" s="656"/>
      <c r="C30" s="656" t="s">
        <v>999</v>
      </c>
      <c r="D30" s="259"/>
      <c r="E30" s="662">
        <f>SUM(E13:E29)</f>
        <v>0</v>
      </c>
      <c r="F30" s="259"/>
      <c r="G30" s="663" t="s">
        <v>1000</v>
      </c>
      <c r="H30" s="259"/>
      <c r="I30" s="259"/>
      <c r="J30" s="259"/>
      <c r="K30" s="259"/>
      <c r="L30" s="259"/>
      <c r="M30" s="259"/>
      <c r="N30" s="259"/>
    </row>
    <row r="31" spans="1:14" ht="20.100000000000001" customHeight="1">
      <c r="A31" s="656" t="s">
        <v>146</v>
      </c>
      <c r="B31" s="656"/>
      <c r="C31" s="259"/>
      <c r="D31" s="656"/>
      <c r="E31" s="259"/>
      <c r="F31" s="259"/>
      <c r="G31" s="1190" t="str">
        <f>IF(E30='ExhA&amp;B'!D53," ","Problem: does not agree to Exhibit A Due to Primary Government")</f>
        <v xml:space="preserve"> </v>
      </c>
      <c r="H31" s="1190"/>
      <c r="I31" s="1190"/>
      <c r="J31" s="1190"/>
      <c r="K31" s="1010"/>
      <c r="L31" s="1010"/>
      <c r="M31" s="1190"/>
      <c r="N31" s="1190"/>
    </row>
    <row r="32" spans="1:14" ht="18" customHeight="1">
      <c r="A32" s="228"/>
      <c r="B32" s="228"/>
      <c r="C32" s="228"/>
      <c r="D32" s="252"/>
      <c r="E32" s="228"/>
      <c r="F32" s="228"/>
      <c r="G32" s="228"/>
      <c r="H32" s="228"/>
      <c r="I32" s="228"/>
      <c r="J32" s="228"/>
      <c r="K32" s="228"/>
      <c r="L32" s="228"/>
      <c r="M32" s="228"/>
      <c r="N32" s="266"/>
    </row>
    <row r="33" spans="1:15" ht="25.65" customHeight="1"/>
    <row r="34" spans="1:15" ht="25.65" customHeight="1"/>
    <row r="35" spans="1:15" ht="25.65" customHeight="1"/>
    <row r="36" spans="1:15" ht="20.85" customHeight="1"/>
    <row r="37" spans="1:15" ht="20.85" customHeight="1"/>
    <row r="38" spans="1:15" ht="20.85" customHeight="1"/>
    <row r="39" spans="1:15" ht="20.85" customHeight="1"/>
    <row r="40" spans="1:15" ht="20.85" customHeight="1"/>
    <row r="41" spans="1:15" ht="20.85" customHeight="1"/>
    <row r="42" spans="1:15" ht="20.85" customHeight="1">
      <c r="A42" s="257" t="s">
        <v>146</v>
      </c>
      <c r="B42" s="257"/>
      <c r="C42" s="257"/>
      <c r="D42" s="257"/>
      <c r="E42" s="257"/>
      <c r="F42" s="257"/>
      <c r="G42" s="257"/>
      <c r="H42" s="257" t="s">
        <v>146</v>
      </c>
      <c r="I42" s="257"/>
    </row>
    <row r="43" spans="1:15" ht="20.85" customHeight="1">
      <c r="A43" s="257" t="s">
        <v>146</v>
      </c>
      <c r="B43" s="257"/>
      <c r="H43" s="257" t="s">
        <v>146</v>
      </c>
      <c r="I43" s="257"/>
      <c r="O43" s="257" t="s">
        <v>146</v>
      </c>
    </row>
    <row r="44" spans="1:15" ht="20.85" customHeight="1"/>
    <row r="45" spans="1:15" ht="20.85" customHeight="1"/>
    <row r="46" spans="1:15" ht="20.85" customHeight="1"/>
    <row r="47" spans="1:15" ht="20.85" customHeight="1"/>
    <row r="48" spans="1:15" ht="20.85" customHeight="1"/>
    <row r="49" spans="1:15" ht="20.85" customHeight="1"/>
    <row r="50" spans="1:15" ht="20.85" customHeight="1">
      <c r="A50" s="251" t="s">
        <v>146</v>
      </c>
    </row>
    <row r="51" spans="1:15" ht="20.85" customHeight="1"/>
    <row r="52" spans="1:15" ht="20.85" customHeight="1"/>
    <row r="53" spans="1:15" ht="20.85" customHeight="1">
      <c r="A53" s="257" t="s">
        <v>146</v>
      </c>
      <c r="B53" s="257"/>
      <c r="H53" s="257" t="s">
        <v>146</v>
      </c>
      <c r="I53" s="257"/>
      <c r="O53" s="257" t="s">
        <v>146</v>
      </c>
    </row>
    <row r="65537" spans="10:12">
      <c r="J65537" s="989"/>
      <c r="K65537" s="232"/>
      <c r="L65537" s="232"/>
    </row>
  </sheetData>
  <sheetProtection algorithmName="SHA-512" hashValue="77Hym8DGJB6qWhRebNTQvVMqW7vQKaRJlijyss0ErLxD+BPgsOLZqxC7VFJ0G3HIrJgQbINyJa6d4j3oCqPa5w==" saltValue="n3Ykh7Lr50ZM7DlMglHuWw==" spinCount="100000" sheet="1" objects="1" scenarios="1" autoFilter="0"/>
  <dataConsolidate/>
  <mergeCells count="10">
    <mergeCell ref="A1:N1"/>
    <mergeCell ref="A2:N2"/>
    <mergeCell ref="A3:N3"/>
    <mergeCell ref="A4:N4"/>
    <mergeCell ref="G31:J31"/>
    <mergeCell ref="M31:N31"/>
    <mergeCell ref="G7:M7"/>
    <mergeCell ref="C8:M8"/>
    <mergeCell ref="G10:L10"/>
    <mergeCell ref="A5:N5"/>
  </mergeCells>
  <phoneticPr fontId="43" type="noConversion"/>
  <conditionalFormatting sqref="O1:O3">
    <cfRule type="cellIs" dxfId="10" priority="1" stopIfTrue="1" operator="equal">
      <formula>"na"</formula>
    </cfRule>
  </conditionalFormatting>
  <dataValidations count="2">
    <dataValidation type="list" allowBlank="1" showInputMessage="1" showErrorMessage="1" sqref="A13:A29" xr:uid="{00000000-0002-0000-1300-000000000000}">
      <formula1>Listfor520</formula1>
    </dataValidation>
    <dataValidation type="textLength" operator="equal" allowBlank="1" showInputMessage="1" showErrorMessage="1" errorTitle="Invalid data!" error="GASB number must be 4 digits.  " sqref="C13:C29" xr:uid="{966A48AA-61B1-4266-A840-710B100A8D39}">
      <formula1>4</formula1>
    </dataValidation>
  </dataValidations>
  <hyperlinks>
    <hyperlink ref="A1:N1" location="Index!A1" display="Index!A1" xr:uid="{00000000-0004-0000-1300-000000000000}"/>
  </hyperlinks>
  <printOptions horizontalCentered="1"/>
  <pageMargins left="0.5" right="0.25" top="0.5" bottom="0.25" header="0.5" footer="0.25"/>
  <pageSetup scale="8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P53"/>
  <sheetViews>
    <sheetView showGridLines="0" zoomScaleNormal="100" workbookViewId="0">
      <selection activeCell="K14" sqref="K14"/>
    </sheetView>
  </sheetViews>
  <sheetFormatPr defaultColWidth="10.7109375" defaultRowHeight="15.6"/>
  <cols>
    <col min="1" max="1" width="15.140625" style="251" customWidth="1"/>
    <col min="2" max="2" width="2" style="251" customWidth="1"/>
    <col min="3" max="3" width="14.42578125" style="251" customWidth="1"/>
    <col min="4" max="4" width="2" style="251" customWidth="1"/>
    <col min="5" max="5" width="21.7109375" style="251" customWidth="1"/>
    <col min="6" max="6" width="2.140625" style="251" customWidth="1"/>
    <col min="7" max="7" width="27.140625" style="251" customWidth="1"/>
    <col min="8" max="8" width="2" style="251" customWidth="1"/>
    <col min="9" max="9" width="18.28515625" style="251" customWidth="1"/>
    <col min="10" max="10" width="1.7109375" style="251" customWidth="1"/>
    <col min="11" max="11" width="18.28515625" style="251" customWidth="1"/>
    <col min="12" max="12" width="2" style="251" customWidth="1"/>
    <col min="13" max="13" width="52" style="251" customWidth="1"/>
    <col min="14" max="14" width="6.42578125" style="251" customWidth="1"/>
    <col min="15" max="16384" width="10.7109375" style="251"/>
  </cols>
  <sheetData>
    <row r="1" spans="1:16" ht="25.2" customHeight="1">
      <c r="A1" s="1165" t="str">
        <f>+Index!$A$1</f>
        <v>Office of the State Controller</v>
      </c>
      <c r="B1" s="1165"/>
      <c r="C1" s="1165"/>
      <c r="D1" s="1165"/>
      <c r="E1" s="1165"/>
      <c r="F1" s="1165"/>
      <c r="G1" s="1165"/>
      <c r="H1" s="1165"/>
      <c r="I1" s="1165"/>
      <c r="J1" s="1165"/>
      <c r="K1" s="1165"/>
      <c r="L1" s="1165"/>
      <c r="M1" s="1165"/>
      <c r="N1" s="808" t="str">
        <f>IF(Index!$B$61="na","NA","")</f>
        <v/>
      </c>
    </row>
    <row r="2" spans="1:16" ht="15" customHeight="1">
      <c r="A2" s="1198" t="str">
        <f>+Index!$A$2</f>
        <v>2023 Year-End ACFR Package</v>
      </c>
      <c r="B2" s="1198"/>
      <c r="C2" s="1198"/>
      <c r="D2" s="1198"/>
      <c r="E2" s="1198"/>
      <c r="F2" s="1198"/>
      <c r="G2" s="1198"/>
      <c r="H2" s="1198"/>
      <c r="I2" s="1198"/>
      <c r="J2" s="1198"/>
      <c r="K2" s="1198"/>
      <c r="L2" s="1198"/>
      <c r="M2" s="1198"/>
      <c r="N2" s="808"/>
    </row>
    <row r="3" spans="1:16" ht="15" customHeight="1">
      <c r="A3" s="1198" t="s">
        <v>1001</v>
      </c>
      <c r="B3" s="1198"/>
      <c r="C3" s="1198"/>
      <c r="D3" s="1198"/>
      <c r="E3" s="1198"/>
      <c r="F3" s="1198"/>
      <c r="G3" s="1198"/>
      <c r="H3" s="1198"/>
      <c r="I3" s="1198"/>
      <c r="J3" s="1198"/>
      <c r="K3" s="1198"/>
      <c r="L3" s="1198"/>
      <c r="M3" s="1198"/>
      <c r="N3" s="808"/>
    </row>
    <row r="4" spans="1:16" s="502" customFormat="1" ht="15" customHeight="1">
      <c r="A4" s="1198" t="s">
        <v>985</v>
      </c>
      <c r="B4" s="1198"/>
      <c r="C4" s="1198"/>
      <c r="D4" s="1198"/>
      <c r="E4" s="1198"/>
      <c r="F4" s="1198"/>
      <c r="G4" s="1198"/>
      <c r="H4" s="1198"/>
      <c r="I4" s="1198"/>
      <c r="J4" s="1198"/>
      <c r="K4" s="1198"/>
      <c r="L4" s="1198"/>
      <c r="M4" s="1198"/>
      <c r="N4" s="503"/>
      <c r="O4" s="503"/>
      <c r="P4" s="503"/>
    </row>
    <row r="5" spans="1:16" s="502" customFormat="1" ht="15" customHeight="1">
      <c r="A5" s="1202" t="s">
        <v>1002</v>
      </c>
      <c r="B5" s="1202"/>
      <c r="C5" s="1202"/>
      <c r="D5" s="1202"/>
      <c r="E5" s="1202"/>
      <c r="F5" s="1202"/>
      <c r="G5" s="1202"/>
      <c r="H5" s="1202"/>
      <c r="I5" s="1202"/>
      <c r="J5" s="1202"/>
      <c r="K5" s="1202"/>
      <c r="L5" s="1202"/>
      <c r="M5" s="1202"/>
      <c r="N5" s="1202"/>
      <c r="O5" s="503"/>
      <c r="P5" s="503"/>
    </row>
    <row r="6" spans="1:16" s="502" customFormat="1" ht="6" customHeight="1">
      <c r="A6" s="1014"/>
      <c r="B6" s="1014"/>
      <c r="C6" s="1014"/>
      <c r="D6" s="1014"/>
      <c r="E6" s="1014"/>
      <c r="F6" s="1014"/>
      <c r="G6" s="1014"/>
      <c r="H6" s="1014"/>
      <c r="I6" s="1014"/>
      <c r="J6" s="1014"/>
      <c r="K6" s="1014"/>
      <c r="L6" s="1014"/>
      <c r="M6" s="1014"/>
      <c r="N6" s="503"/>
      <c r="O6" s="503"/>
      <c r="P6" s="503"/>
    </row>
    <row r="7" spans="1:16" ht="15" customHeight="1">
      <c r="A7" s="269" t="s">
        <v>479</v>
      </c>
      <c r="B7" s="370"/>
      <c r="C7" s="1015" t="str">
        <f>+Index!$D$10</f>
        <v>C0</v>
      </c>
      <c r="D7" s="270"/>
      <c r="E7" s="270"/>
      <c r="F7" s="271" t="s">
        <v>481</v>
      </c>
      <c r="G7" s="1199" t="str">
        <f>CONCATENATE(Index!$D$11," ",Index!$D$12)</f>
        <v xml:space="preserve"> </v>
      </c>
      <c r="H7" s="1199"/>
      <c r="I7" s="1199"/>
      <c r="J7" s="1199"/>
      <c r="K7" s="1199"/>
      <c r="L7" s="1199"/>
      <c r="M7" s="1019"/>
    </row>
    <row r="8" spans="1:16" ht="15" customHeight="1">
      <c r="A8" s="269" t="s">
        <v>480</v>
      </c>
      <c r="B8" s="270"/>
      <c r="C8" s="1200" t="str">
        <f>+Index!$D$9</f>
        <v>Alamance Community College</v>
      </c>
      <c r="D8" s="1200"/>
      <c r="E8" s="1200"/>
      <c r="F8" s="1200"/>
      <c r="G8" s="1200"/>
      <c r="H8" s="1200"/>
      <c r="I8" s="1200"/>
      <c r="J8" s="1200"/>
      <c r="K8" s="1200"/>
      <c r="L8" s="1200"/>
      <c r="M8" s="259"/>
    </row>
    <row r="9" spans="1:16" ht="15" customHeight="1" thickBot="1">
      <c r="A9" s="652"/>
      <c r="B9" s="652"/>
      <c r="C9" s="652"/>
      <c r="D9" s="652"/>
      <c r="E9" s="652"/>
      <c r="F9" s="653"/>
      <c r="G9" s="652"/>
      <c r="H9" s="652"/>
      <c r="I9" s="652"/>
      <c r="J9" s="652"/>
      <c r="K9" s="652"/>
      <c r="L9" s="652"/>
      <c r="M9" s="652"/>
    </row>
    <row r="10" spans="1:16" ht="15" customHeight="1" thickBot="1">
      <c r="A10" s="664" t="s">
        <v>1003</v>
      </c>
      <c r="B10" s="654"/>
      <c r="C10" s="655"/>
      <c r="D10" s="654"/>
      <c r="E10" s="655"/>
      <c r="F10" s="656"/>
      <c r="G10" s="1201" t="s">
        <v>1004</v>
      </c>
      <c r="H10" s="1201"/>
      <c r="I10" s="1201"/>
      <c r="J10" s="1201"/>
      <c r="K10" s="1201"/>
      <c r="L10" s="656"/>
      <c r="M10" s="259"/>
    </row>
    <row r="11" spans="1:16" ht="14.25" customHeight="1">
      <c r="A11" s="665" t="s">
        <v>1005</v>
      </c>
      <c r="B11" s="268"/>
      <c r="C11" s="657" t="s">
        <v>1005</v>
      </c>
      <c r="D11" s="268"/>
      <c r="E11" s="268"/>
      <c r="F11" s="268"/>
      <c r="G11" s="899"/>
      <c r="H11" s="899"/>
      <c r="I11" s="794" t="s">
        <v>990</v>
      </c>
      <c r="J11" s="660"/>
      <c r="K11" s="794" t="s">
        <v>991</v>
      </c>
      <c r="L11" s="268"/>
      <c r="M11" s="660"/>
      <c r="N11" s="258" t="s">
        <v>146</v>
      </c>
    </row>
    <row r="12" spans="1:16" ht="12.75" customHeight="1" thickBot="1">
      <c r="A12" s="1018" t="s">
        <v>992</v>
      </c>
      <c r="B12" s="259"/>
      <c r="C12" s="1018" t="s">
        <v>993</v>
      </c>
      <c r="D12" s="259"/>
      <c r="E12" s="661" t="s">
        <v>994</v>
      </c>
      <c r="F12" s="656"/>
      <c r="G12" s="661" t="s">
        <v>995</v>
      </c>
      <c r="H12" s="901"/>
      <c r="I12" s="795" t="s">
        <v>996</v>
      </c>
      <c r="J12" s="660"/>
      <c r="K12" s="795" t="s">
        <v>997</v>
      </c>
      <c r="L12" s="656"/>
      <c r="M12" s="661" t="s">
        <v>998</v>
      </c>
    </row>
    <row r="13" spans="1:16" ht="20.25" customHeight="1">
      <c r="A13" s="475"/>
      <c r="B13" s="656"/>
      <c r="C13" s="254"/>
      <c r="D13" s="259"/>
      <c r="E13" s="255"/>
      <c r="F13" s="259"/>
      <c r="G13" s="989"/>
      <c r="H13" s="307"/>
      <c r="I13" s="989"/>
      <c r="J13" s="232"/>
      <c r="K13" s="980"/>
      <c r="L13" s="259"/>
      <c r="M13" s="254"/>
    </row>
    <row r="14" spans="1:16" ht="20.100000000000001" customHeight="1">
      <c r="A14" s="475"/>
      <c r="B14" s="656"/>
      <c r="C14" s="254"/>
      <c r="D14" s="259"/>
      <c r="E14" s="255"/>
      <c r="F14" s="259"/>
      <c r="G14" s="989"/>
      <c r="H14" s="307"/>
      <c r="I14" s="989"/>
      <c r="J14" s="232"/>
      <c r="K14" s="980"/>
      <c r="L14" s="259"/>
      <c r="M14" s="254"/>
    </row>
    <row r="15" spans="1:16" ht="20.100000000000001" customHeight="1">
      <c r="A15" s="475"/>
      <c r="B15" s="656"/>
      <c r="C15" s="254"/>
      <c r="D15" s="259"/>
      <c r="E15" s="255"/>
      <c r="F15" s="259"/>
      <c r="G15" s="989"/>
      <c r="H15" s="307"/>
      <c r="I15" s="989"/>
      <c r="J15" s="232"/>
      <c r="K15" s="980"/>
      <c r="L15" s="259"/>
      <c r="M15" s="254"/>
    </row>
    <row r="16" spans="1:16" ht="20.100000000000001" customHeight="1">
      <c r="A16" s="475"/>
      <c r="B16" s="656"/>
      <c r="C16" s="254"/>
      <c r="D16" s="259"/>
      <c r="E16" s="255"/>
      <c r="F16" s="259"/>
      <c r="G16" s="989"/>
      <c r="H16" s="307"/>
      <c r="I16" s="989"/>
      <c r="J16" s="232"/>
      <c r="K16" s="980"/>
      <c r="L16" s="259"/>
      <c r="M16" s="254"/>
    </row>
    <row r="17" spans="1:13" ht="20.100000000000001" customHeight="1">
      <c r="A17" s="475"/>
      <c r="B17" s="656"/>
      <c r="C17" s="254"/>
      <c r="D17" s="259"/>
      <c r="E17" s="255"/>
      <c r="F17" s="259"/>
      <c r="G17" s="989"/>
      <c r="H17" s="307"/>
      <c r="I17" s="989"/>
      <c r="J17" s="232"/>
      <c r="K17" s="980"/>
      <c r="L17" s="259"/>
      <c r="M17" s="254"/>
    </row>
    <row r="18" spans="1:13" ht="20.100000000000001" customHeight="1">
      <c r="A18" s="475"/>
      <c r="B18" s="656"/>
      <c r="C18" s="254"/>
      <c r="D18" s="259"/>
      <c r="E18" s="255"/>
      <c r="F18" s="259"/>
      <c r="G18" s="989"/>
      <c r="H18" s="307"/>
      <c r="I18" s="989"/>
      <c r="J18" s="232"/>
      <c r="K18" s="980"/>
      <c r="L18" s="259"/>
      <c r="M18" s="254"/>
    </row>
    <row r="19" spans="1:13" ht="20.100000000000001" customHeight="1">
      <c r="A19" s="475"/>
      <c r="B19" s="656"/>
      <c r="C19" s="254"/>
      <c r="D19" s="259"/>
      <c r="E19" s="255"/>
      <c r="F19" s="259"/>
      <c r="G19" s="989"/>
      <c r="H19" s="307"/>
      <c r="I19" s="989"/>
      <c r="J19" s="232"/>
      <c r="K19" s="980"/>
      <c r="L19" s="259"/>
      <c r="M19" s="254"/>
    </row>
    <row r="20" spans="1:13" ht="20.100000000000001" customHeight="1">
      <c r="A20" s="475"/>
      <c r="B20" s="656"/>
      <c r="C20" s="254"/>
      <c r="D20" s="259"/>
      <c r="E20" s="255"/>
      <c r="F20" s="259"/>
      <c r="G20" s="989"/>
      <c r="H20" s="307"/>
      <c r="I20" s="989"/>
      <c r="J20" s="232"/>
      <c r="K20" s="980"/>
      <c r="L20" s="259"/>
      <c r="M20" s="254"/>
    </row>
    <row r="21" spans="1:13" ht="20.100000000000001" customHeight="1" thickBot="1">
      <c r="A21" s="902"/>
      <c r="B21" s="656"/>
      <c r="C21" s="656" t="s">
        <v>999</v>
      </c>
      <c r="D21" s="259"/>
      <c r="E21" s="662">
        <f>SUM(E13:E20)</f>
        <v>0</v>
      </c>
      <c r="F21" s="259"/>
      <c r="G21" s="663" t="s">
        <v>1006</v>
      </c>
      <c r="H21" s="656"/>
      <c r="I21" s="259"/>
      <c r="J21" s="259"/>
      <c r="K21" s="259"/>
      <c r="L21" s="259"/>
      <c r="M21" s="259"/>
    </row>
    <row r="22" spans="1:13" ht="20.100000000000001" customHeight="1">
      <c r="A22" s="666"/>
      <c r="B22" s="656"/>
      <c r="C22" s="259"/>
      <c r="D22" s="259"/>
      <c r="E22" s="667"/>
      <c r="F22" s="259"/>
      <c r="G22" s="1190" t="str">
        <f>IF(E21='ExhA&amp;B'!D15," ","Problem: does not agree to Exhibit A Due from State of NC Component Units")</f>
        <v xml:space="preserve"> </v>
      </c>
      <c r="H22" s="1190"/>
      <c r="I22" s="1190"/>
      <c r="J22" s="1190"/>
      <c r="K22" s="1190"/>
      <c r="L22" s="1190"/>
      <c r="M22" s="1190"/>
    </row>
    <row r="23" spans="1:13" ht="20.100000000000001" customHeight="1">
      <c r="A23" s="656"/>
      <c r="B23" s="656"/>
      <c r="C23" s="259"/>
      <c r="D23" s="259"/>
      <c r="E23" s="667"/>
      <c r="F23" s="259"/>
      <c r="G23" s="307"/>
      <c r="H23" s="307"/>
      <c r="I23" s="307"/>
      <c r="J23" s="307"/>
      <c r="K23" s="307"/>
      <c r="L23" s="259"/>
      <c r="M23" s="259"/>
    </row>
    <row r="24" spans="1:13" ht="20.100000000000001" customHeight="1" thickBot="1">
      <c r="A24" s="1203" t="s">
        <v>1007</v>
      </c>
      <c r="B24" s="1203"/>
      <c r="C24" s="1203"/>
      <c r="D24" s="1203"/>
      <c r="E24" s="1203"/>
      <c r="F24" s="259"/>
      <c r="G24" s="307"/>
      <c r="H24" s="307"/>
      <c r="I24" s="307"/>
      <c r="J24" s="307"/>
      <c r="K24" s="307"/>
      <c r="L24" s="259"/>
      <c r="M24" s="259"/>
    </row>
    <row r="25" spans="1:13" ht="20.100000000000001" customHeight="1">
      <c r="A25" s="253"/>
      <c r="B25" s="656"/>
      <c r="C25" s="254"/>
      <c r="D25" s="259"/>
      <c r="E25" s="255"/>
      <c r="F25" s="259"/>
      <c r="G25" s="989"/>
      <c r="H25" s="307"/>
      <c r="I25" s="989"/>
      <c r="J25" s="232"/>
      <c r="K25" s="980"/>
      <c r="L25" s="259"/>
      <c r="M25" s="254"/>
    </row>
    <row r="26" spans="1:13" ht="20.100000000000001" customHeight="1">
      <c r="A26" s="253"/>
      <c r="B26" s="656"/>
      <c r="C26" s="254"/>
      <c r="D26" s="259"/>
      <c r="E26" s="255"/>
      <c r="F26" s="259"/>
      <c r="G26" s="989"/>
      <c r="H26" s="307"/>
      <c r="I26" s="989"/>
      <c r="J26" s="232"/>
      <c r="K26" s="980"/>
      <c r="L26" s="259"/>
      <c r="M26" s="254"/>
    </row>
    <row r="27" spans="1:13" ht="20.100000000000001" customHeight="1">
      <c r="A27" s="253"/>
      <c r="B27" s="656"/>
      <c r="C27" s="254"/>
      <c r="D27" s="259"/>
      <c r="E27" s="255"/>
      <c r="F27" s="259"/>
      <c r="G27" s="989"/>
      <c r="H27" s="307"/>
      <c r="I27" s="989"/>
      <c r="J27" s="232"/>
      <c r="K27" s="980"/>
      <c r="L27" s="259"/>
      <c r="M27" s="254"/>
    </row>
    <row r="28" spans="1:13" ht="20.100000000000001" customHeight="1">
      <c r="A28" s="253"/>
      <c r="B28" s="656"/>
      <c r="C28" s="254"/>
      <c r="D28" s="259"/>
      <c r="E28" s="255"/>
      <c r="F28" s="259"/>
      <c r="G28" s="989"/>
      <c r="H28" s="307"/>
      <c r="I28" s="989"/>
      <c r="J28" s="232"/>
      <c r="K28" s="980"/>
      <c r="L28" s="259"/>
      <c r="M28" s="254"/>
    </row>
    <row r="29" spans="1:13" ht="20.100000000000001" customHeight="1">
      <c r="A29" s="253"/>
      <c r="B29" s="656"/>
      <c r="C29" s="254"/>
      <c r="D29" s="259"/>
      <c r="E29" s="255"/>
      <c r="F29" s="259"/>
      <c r="G29" s="989"/>
      <c r="H29" s="307"/>
      <c r="I29" s="989"/>
      <c r="J29" s="232"/>
      <c r="K29" s="980"/>
      <c r="L29" s="259"/>
      <c r="M29" s="254"/>
    </row>
    <row r="30" spans="1:13" ht="20.100000000000001" customHeight="1" thickBot="1">
      <c r="A30" s="259"/>
      <c r="B30" s="656"/>
      <c r="C30" s="656" t="s">
        <v>999</v>
      </c>
      <c r="D30" s="259"/>
      <c r="E30" s="662">
        <f>SUM(E25:E29)</f>
        <v>0</v>
      </c>
      <c r="F30" s="259"/>
      <c r="G30" s="663" t="s">
        <v>1008</v>
      </c>
      <c r="H30" s="656"/>
      <c r="I30" s="259"/>
      <c r="J30" s="259"/>
      <c r="K30" s="259"/>
      <c r="L30" s="259"/>
      <c r="M30" s="259"/>
    </row>
    <row r="31" spans="1:13" ht="20.100000000000001" customHeight="1">
      <c r="A31" s="656" t="s">
        <v>146</v>
      </c>
      <c r="B31" s="656"/>
      <c r="C31" s="259"/>
      <c r="D31" s="656"/>
      <c r="E31" s="259"/>
      <c r="F31" s="259"/>
      <c r="G31" s="1190" t="str">
        <f>IF(E30='ExhA&amp;B'!D30," ","Problem: does not agree to Exhibit A Restricted Due from State of NC Comp Units")</f>
        <v xml:space="preserve"> </v>
      </c>
      <c r="H31" s="1190"/>
      <c r="I31" s="1190"/>
      <c r="J31" s="1190"/>
      <c r="K31" s="1190"/>
      <c r="L31" s="1190"/>
      <c r="M31" s="1190"/>
    </row>
    <row r="32" spans="1:13" ht="25.65" customHeight="1">
      <c r="A32" s="259"/>
      <c r="B32" s="259"/>
      <c r="C32" s="259"/>
      <c r="D32" s="259"/>
      <c r="E32" s="259"/>
      <c r="F32" s="259"/>
      <c r="G32" s="259"/>
      <c r="H32" s="259"/>
      <c r="I32" s="259"/>
      <c r="J32" s="259"/>
      <c r="K32" s="259"/>
      <c r="L32" s="259"/>
      <c r="M32" s="259"/>
    </row>
    <row r="33" spans="1:14" ht="25.65" customHeight="1"/>
    <row r="34" spans="1:14" ht="25.65" customHeight="1"/>
    <row r="35" spans="1:14" ht="25.65" customHeight="1"/>
    <row r="36" spans="1:14" ht="20.85" customHeight="1"/>
    <row r="37" spans="1:14" ht="20.85" customHeight="1"/>
    <row r="38" spans="1:14" ht="20.85" customHeight="1"/>
    <row r="39" spans="1:14" ht="20.85" customHeight="1"/>
    <row r="40" spans="1:14" ht="20.85" customHeight="1"/>
    <row r="41" spans="1:14" ht="20.85" customHeight="1"/>
    <row r="42" spans="1:14" ht="20.85" customHeight="1">
      <c r="A42" s="257" t="s">
        <v>146</v>
      </c>
      <c r="B42" s="257"/>
      <c r="C42" s="257"/>
      <c r="D42" s="257"/>
      <c r="E42" s="257"/>
      <c r="F42" s="257"/>
    </row>
    <row r="43" spans="1:14" ht="20.85" customHeight="1">
      <c r="A43" s="257" t="s">
        <v>146</v>
      </c>
      <c r="B43" s="257"/>
      <c r="G43" s="258" t="s">
        <v>146</v>
      </c>
      <c r="H43" s="258"/>
      <c r="N43" s="257" t="s">
        <v>146</v>
      </c>
    </row>
    <row r="44" spans="1:14" ht="20.85" customHeight="1"/>
    <row r="45" spans="1:14" ht="20.85" customHeight="1"/>
    <row r="46" spans="1:14" ht="20.85" customHeight="1"/>
    <row r="47" spans="1:14" ht="20.85" customHeight="1"/>
    <row r="48" spans="1:14" ht="20.85" customHeight="1"/>
    <row r="49" spans="1:14" ht="20.85" customHeight="1"/>
    <row r="50" spans="1:14" ht="20.85" customHeight="1">
      <c r="A50" s="251" t="s">
        <v>146</v>
      </c>
    </row>
    <row r="51" spans="1:14" ht="20.85" customHeight="1"/>
    <row r="52" spans="1:14" ht="20.85" customHeight="1"/>
    <row r="53" spans="1:14" ht="20.85" customHeight="1">
      <c r="A53" s="257" t="s">
        <v>146</v>
      </c>
      <c r="B53" s="257"/>
      <c r="G53" s="258" t="s">
        <v>146</v>
      </c>
      <c r="H53" s="258"/>
      <c r="N53" s="257" t="s">
        <v>146</v>
      </c>
    </row>
  </sheetData>
  <sheetProtection algorithmName="SHA-512" hashValue="ceE0USHxDjFmM4BV9/4WzlWtgiM1n6rmoHNNUgbYRFSfL0b9rv+SR+9VYoM5qqvyNjYhVw4aX6NJI09ymmJokQ==" saltValue="sVWDrh8lxZrk/OQcFmJlYg==" spinCount="100000" sheet="1" objects="1" scenarios="1" autoFilter="0"/>
  <dataConsolidate/>
  <mergeCells count="11">
    <mergeCell ref="G31:M31"/>
    <mergeCell ref="A2:M2"/>
    <mergeCell ref="A3:M3"/>
    <mergeCell ref="G7:L7"/>
    <mergeCell ref="C8:L8"/>
    <mergeCell ref="A5:N5"/>
    <mergeCell ref="A1:M1"/>
    <mergeCell ref="G10:K10"/>
    <mergeCell ref="G22:M22"/>
    <mergeCell ref="A24:E24"/>
    <mergeCell ref="A4:M4"/>
  </mergeCells>
  <phoneticPr fontId="43" type="noConversion"/>
  <conditionalFormatting sqref="N1:N3 A21:A22">
    <cfRule type="cellIs" dxfId="9" priority="1" stopIfTrue="1" operator="equal">
      <formula>"na"</formula>
    </cfRule>
  </conditionalFormatting>
  <dataValidations count="2">
    <dataValidation type="list" allowBlank="1" showInputMessage="1" showErrorMessage="1" sqref="A13:A20 A25:A29" xr:uid="{00000000-0002-0000-1400-000000000000}">
      <formula1>Listfor525and530</formula1>
    </dataValidation>
    <dataValidation type="textLength" operator="equal" allowBlank="1" showInputMessage="1" showErrorMessage="1" errorTitle="Invalid data!" error="GASB number must be 4 digits.  " sqref="C13:C20 C25:C29" xr:uid="{44B7913D-FA15-42E7-95D2-435546906DFB}">
      <formula1>4</formula1>
    </dataValidation>
  </dataValidations>
  <hyperlinks>
    <hyperlink ref="A1:M1" location="Index!A1" display="Index!A1" xr:uid="{00000000-0004-0000-1400-000000000000}"/>
  </hyperlinks>
  <printOptions horizontalCentered="1"/>
  <pageMargins left="0.5" right="0.25" top="0.5" bottom="0.25" header="0.5" footer="0.25"/>
  <pageSetup scale="8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52"/>
  <sheetViews>
    <sheetView showGridLines="0" zoomScaleNormal="100" workbookViewId="0">
      <selection activeCell="L13" sqref="L13"/>
    </sheetView>
  </sheetViews>
  <sheetFormatPr defaultColWidth="10.7109375" defaultRowHeight="15.6"/>
  <cols>
    <col min="1" max="1" width="16.140625" style="251" customWidth="1"/>
    <col min="2" max="2" width="2" style="251" customWidth="1"/>
    <col min="3" max="3" width="14.140625" style="251" customWidth="1"/>
    <col min="4" max="4" width="2" style="251" customWidth="1"/>
    <col min="5" max="5" width="17.7109375" style="251" customWidth="1"/>
    <col min="6" max="6" width="2.140625" style="251" customWidth="1"/>
    <col min="7" max="7" width="25.85546875" style="251" customWidth="1"/>
    <col min="8" max="8" width="2.85546875" style="251" customWidth="1"/>
    <col min="9" max="9" width="2" style="251" customWidth="1"/>
    <col min="10" max="10" width="20.42578125" style="251" customWidth="1"/>
    <col min="11" max="11" width="2" style="251" customWidth="1"/>
    <col min="12" max="12" width="21.28515625" style="251" customWidth="1"/>
    <col min="13" max="13" width="2" style="251" customWidth="1"/>
    <col min="14" max="14" width="49.140625" style="251" customWidth="1"/>
    <col min="15" max="15" width="6.42578125" style="251" customWidth="1"/>
    <col min="16" max="16384" width="10.7109375" style="251"/>
  </cols>
  <sheetData>
    <row r="1" spans="1:15" ht="25.2" customHeight="1">
      <c r="A1" s="1165" t="str">
        <f>+Index!$A$1</f>
        <v>Office of the State Controller</v>
      </c>
      <c r="B1" s="1165"/>
      <c r="C1" s="1165"/>
      <c r="D1" s="1165"/>
      <c r="E1" s="1165"/>
      <c r="F1" s="1165"/>
      <c r="G1" s="1165"/>
      <c r="H1" s="1165"/>
      <c r="I1" s="1165"/>
      <c r="J1" s="1165"/>
      <c r="K1" s="1165"/>
      <c r="L1" s="1165"/>
      <c r="M1" s="1165"/>
      <c r="N1" s="1165"/>
      <c r="O1" s="808" t="str">
        <f>IF(Index!$B$62="na","NA","")</f>
        <v/>
      </c>
    </row>
    <row r="2" spans="1:15" ht="15" customHeight="1">
      <c r="A2" s="1198" t="str">
        <f>+Index!$A$2</f>
        <v>2023 Year-End ACFR Package</v>
      </c>
      <c r="B2" s="1198"/>
      <c r="C2" s="1198"/>
      <c r="D2" s="1198"/>
      <c r="E2" s="1198"/>
      <c r="F2" s="1198"/>
      <c r="G2" s="1198"/>
      <c r="H2" s="1198"/>
      <c r="I2" s="1198"/>
      <c r="J2" s="1198"/>
      <c r="K2" s="1198"/>
      <c r="L2" s="1198"/>
      <c r="M2" s="1198"/>
      <c r="N2" s="1198"/>
      <c r="O2" s="808"/>
    </row>
    <row r="3" spans="1:15" ht="15" customHeight="1">
      <c r="A3" s="1198" t="s">
        <v>1009</v>
      </c>
      <c r="B3" s="1198"/>
      <c r="C3" s="1198"/>
      <c r="D3" s="1198"/>
      <c r="E3" s="1198"/>
      <c r="F3" s="1198"/>
      <c r="G3" s="1198"/>
      <c r="H3" s="1198"/>
      <c r="I3" s="1198"/>
      <c r="J3" s="1198"/>
      <c r="K3" s="1198"/>
      <c r="L3" s="1198"/>
      <c r="M3" s="1198"/>
      <c r="N3" s="1198"/>
      <c r="O3" s="808"/>
    </row>
    <row r="4" spans="1:15" s="502" customFormat="1" ht="15" customHeight="1">
      <c r="A4" s="1198" t="s">
        <v>985</v>
      </c>
      <c r="B4" s="1198"/>
      <c r="C4" s="1198"/>
      <c r="D4" s="1198"/>
      <c r="E4" s="1198"/>
      <c r="F4" s="1198"/>
      <c r="G4" s="1198"/>
      <c r="H4" s="1198"/>
      <c r="I4" s="1198"/>
      <c r="J4" s="1198"/>
      <c r="K4" s="1198"/>
      <c r="L4" s="1198"/>
      <c r="M4" s="1198"/>
      <c r="N4" s="1198"/>
      <c r="O4" s="503"/>
    </row>
    <row r="5" spans="1:15" s="502" customFormat="1" ht="15" customHeight="1">
      <c r="A5" s="1202" t="s">
        <v>986</v>
      </c>
      <c r="B5" s="1202"/>
      <c r="C5" s="1202"/>
      <c r="D5" s="1202"/>
      <c r="E5" s="1202"/>
      <c r="F5" s="1202"/>
      <c r="G5" s="1202"/>
      <c r="H5" s="1202"/>
      <c r="I5" s="1202"/>
      <c r="J5" s="1202"/>
      <c r="K5" s="1202"/>
      <c r="L5" s="1202"/>
      <c r="M5" s="1202"/>
      <c r="N5" s="1202"/>
      <c r="O5" s="503"/>
    </row>
    <row r="6" spans="1:15" s="502" customFormat="1" ht="7.5" customHeight="1">
      <c r="A6" s="1014"/>
      <c r="B6" s="1014"/>
      <c r="C6" s="1014"/>
      <c r="D6" s="1014"/>
      <c r="E6" s="1014"/>
      <c r="F6" s="1014"/>
      <c r="G6" s="1014"/>
      <c r="H6" s="1014"/>
      <c r="I6" s="1014"/>
      <c r="J6" s="1014"/>
      <c r="K6" s="1014"/>
      <c r="L6" s="1014"/>
      <c r="M6" s="1014"/>
      <c r="N6" s="1014"/>
      <c r="O6" s="503"/>
    </row>
    <row r="7" spans="1:15" ht="15" customHeight="1">
      <c r="A7" s="269" t="s">
        <v>479</v>
      </c>
      <c r="B7" s="370"/>
      <c r="C7" s="1015" t="str">
        <f>+Index!$D$10</f>
        <v>C0</v>
      </c>
      <c r="D7" s="270"/>
      <c r="E7" s="270"/>
      <c r="F7" s="271" t="s">
        <v>481</v>
      </c>
      <c r="G7" s="1199" t="str">
        <f>CONCATENATE(Index!$D$11," ",Index!$D$12)</f>
        <v xml:space="preserve"> </v>
      </c>
      <c r="H7" s="1199"/>
      <c r="I7" s="1199"/>
      <c r="J7" s="1199"/>
      <c r="K7" s="1199"/>
      <c r="L7" s="1199"/>
      <c r="M7" s="1199"/>
      <c r="N7" s="1019"/>
    </row>
    <row r="8" spans="1:15" ht="15" customHeight="1">
      <c r="A8" s="269" t="s">
        <v>480</v>
      </c>
      <c r="B8" s="270"/>
      <c r="C8" s="1200" t="str">
        <f>+Index!$D$9</f>
        <v>Alamance Community College</v>
      </c>
      <c r="D8" s="1200"/>
      <c r="E8" s="1200"/>
      <c r="F8" s="1200"/>
      <c r="G8" s="1200"/>
      <c r="H8" s="1200"/>
      <c r="I8" s="1200"/>
      <c r="J8" s="1200"/>
      <c r="K8" s="1200"/>
      <c r="L8" s="1200"/>
      <c r="M8" s="1200"/>
      <c r="N8" s="259"/>
    </row>
    <row r="9" spans="1:15" ht="15" customHeight="1" thickBot="1">
      <c r="A9" s="652"/>
      <c r="B9" s="652"/>
      <c r="C9" s="652"/>
      <c r="D9" s="652"/>
      <c r="E9" s="652"/>
      <c r="F9" s="653"/>
      <c r="G9" s="652"/>
      <c r="H9" s="652"/>
      <c r="I9" s="652"/>
      <c r="J9" s="652"/>
      <c r="K9" s="652"/>
      <c r="L9" s="652"/>
      <c r="M9" s="652"/>
      <c r="N9" s="652"/>
    </row>
    <row r="10" spans="1:15" ht="16.2" thickBot="1">
      <c r="A10" s="796" t="s">
        <v>1010</v>
      </c>
      <c r="B10" s="654"/>
      <c r="C10" s="655"/>
      <c r="D10" s="654"/>
      <c r="E10" s="655"/>
      <c r="F10" s="656"/>
      <c r="G10" s="1201" t="s">
        <v>988</v>
      </c>
      <c r="H10" s="1201"/>
      <c r="I10" s="1201"/>
      <c r="J10" s="1201"/>
      <c r="K10" s="1201"/>
      <c r="L10" s="1201"/>
      <c r="M10" s="656"/>
      <c r="N10" s="259"/>
    </row>
    <row r="11" spans="1:15" ht="15.75" customHeight="1">
      <c r="A11" s="657" t="s">
        <v>989</v>
      </c>
      <c r="B11" s="268"/>
      <c r="C11" s="657" t="s">
        <v>989</v>
      </c>
      <c r="D11" s="268"/>
      <c r="E11" s="268"/>
      <c r="F11" s="268"/>
      <c r="G11" s="899"/>
      <c r="H11" s="899"/>
      <c r="I11" s="660"/>
      <c r="J11" s="794" t="s">
        <v>990</v>
      </c>
      <c r="K11" s="268"/>
      <c r="L11" s="794" t="s">
        <v>991</v>
      </c>
      <c r="M11" s="268"/>
      <c r="N11" s="268"/>
      <c r="O11" s="258" t="s">
        <v>146</v>
      </c>
    </row>
    <row r="12" spans="1:15" ht="17.25" customHeight="1" thickBot="1">
      <c r="A12" s="1018" t="s">
        <v>992</v>
      </c>
      <c r="B12" s="259"/>
      <c r="C12" s="1018" t="s">
        <v>993</v>
      </c>
      <c r="D12" s="259"/>
      <c r="E12" s="661" t="s">
        <v>994</v>
      </c>
      <c r="F12" s="656"/>
      <c r="G12" s="661" t="s">
        <v>995</v>
      </c>
      <c r="H12" s="900"/>
      <c r="I12" s="660"/>
      <c r="J12" s="795" t="s">
        <v>996</v>
      </c>
      <c r="K12" s="268"/>
      <c r="L12" s="795" t="s">
        <v>997</v>
      </c>
      <c r="M12" s="656"/>
      <c r="N12" s="661" t="s">
        <v>998</v>
      </c>
    </row>
    <row r="13" spans="1:15" ht="20.100000000000001" customHeight="1">
      <c r="A13" s="475"/>
      <c r="B13" s="656"/>
      <c r="C13" s="254"/>
      <c r="D13" s="259"/>
      <c r="E13" s="255"/>
      <c r="F13" s="259"/>
      <c r="G13" s="989"/>
      <c r="H13" s="989"/>
      <c r="I13" s="307"/>
      <c r="J13" s="989"/>
      <c r="K13" s="307"/>
      <c r="L13" s="980"/>
      <c r="M13" s="259"/>
      <c r="N13" s="254"/>
    </row>
    <row r="14" spans="1:15" ht="20.100000000000001" customHeight="1">
      <c r="A14" s="475"/>
      <c r="B14" s="656"/>
      <c r="C14" s="254"/>
      <c r="D14" s="259"/>
      <c r="E14" s="255"/>
      <c r="F14" s="259"/>
      <c r="G14" s="989"/>
      <c r="H14" s="989"/>
      <c r="I14" s="307"/>
      <c r="J14" s="989"/>
      <c r="K14" s="307"/>
      <c r="L14" s="980"/>
      <c r="M14" s="259"/>
      <c r="N14" s="254"/>
    </row>
    <row r="15" spans="1:15" ht="20.100000000000001" customHeight="1">
      <c r="A15" s="475"/>
      <c r="B15" s="656"/>
      <c r="C15" s="254"/>
      <c r="D15" s="259"/>
      <c r="E15" s="255"/>
      <c r="F15" s="259"/>
      <c r="G15" s="989"/>
      <c r="H15" s="989"/>
      <c r="I15" s="307"/>
      <c r="J15" s="989"/>
      <c r="K15" s="307"/>
      <c r="L15" s="980"/>
      <c r="M15" s="259"/>
      <c r="N15" s="254"/>
    </row>
    <row r="16" spans="1:15" ht="20.100000000000001" customHeight="1">
      <c r="A16" s="475"/>
      <c r="B16" s="656"/>
      <c r="C16" s="254"/>
      <c r="D16" s="259"/>
      <c r="E16" s="255"/>
      <c r="F16" s="259"/>
      <c r="G16" s="989"/>
      <c r="H16" s="989"/>
      <c r="I16" s="307"/>
      <c r="J16" s="989"/>
      <c r="K16" s="307"/>
      <c r="L16" s="980"/>
      <c r="M16" s="259"/>
      <c r="N16" s="254"/>
    </row>
    <row r="17" spans="1:16" ht="20.100000000000001" customHeight="1">
      <c r="A17" s="475"/>
      <c r="B17" s="656"/>
      <c r="C17" s="254"/>
      <c r="D17" s="259"/>
      <c r="E17" s="255"/>
      <c r="F17" s="259"/>
      <c r="G17" s="989"/>
      <c r="H17" s="989"/>
      <c r="I17" s="307"/>
      <c r="J17" s="989"/>
      <c r="K17" s="307"/>
      <c r="L17" s="980"/>
      <c r="M17" s="259"/>
      <c r="N17" s="254"/>
      <c r="P17" s="256"/>
    </row>
    <row r="18" spans="1:16" ht="20.100000000000001" customHeight="1">
      <c r="A18" s="475"/>
      <c r="B18" s="656"/>
      <c r="C18" s="254"/>
      <c r="D18" s="259"/>
      <c r="E18" s="255"/>
      <c r="F18" s="259"/>
      <c r="G18" s="989"/>
      <c r="H18" s="989"/>
      <c r="I18" s="307"/>
      <c r="J18" s="989"/>
      <c r="K18" s="307"/>
      <c r="L18" s="980"/>
      <c r="M18" s="259"/>
      <c r="N18" s="254"/>
    </row>
    <row r="19" spans="1:16" ht="20.100000000000001" customHeight="1">
      <c r="A19" s="475"/>
      <c r="B19" s="656"/>
      <c r="C19" s="254"/>
      <c r="D19" s="259"/>
      <c r="E19" s="255"/>
      <c r="F19" s="259"/>
      <c r="G19" s="989"/>
      <c r="H19" s="989"/>
      <c r="I19" s="307"/>
      <c r="J19" s="989"/>
      <c r="K19" s="307"/>
      <c r="L19" s="980"/>
      <c r="M19" s="259"/>
      <c r="N19" s="254"/>
    </row>
    <row r="20" spans="1:16" ht="20.100000000000001" customHeight="1">
      <c r="A20" s="475"/>
      <c r="B20" s="656"/>
      <c r="C20" s="254"/>
      <c r="D20" s="259"/>
      <c r="E20" s="255"/>
      <c r="F20" s="259"/>
      <c r="G20" s="989"/>
      <c r="H20" s="989"/>
      <c r="I20" s="307"/>
      <c r="J20" s="989"/>
      <c r="K20" s="307"/>
      <c r="L20" s="980"/>
      <c r="M20" s="259"/>
      <c r="N20" s="254"/>
    </row>
    <row r="21" spans="1:16" ht="20.100000000000001" customHeight="1">
      <c r="A21" s="475"/>
      <c r="B21" s="656"/>
      <c r="C21" s="254"/>
      <c r="D21" s="259"/>
      <c r="E21" s="255"/>
      <c r="F21" s="259"/>
      <c r="G21" s="989"/>
      <c r="H21" s="989"/>
      <c r="I21" s="307"/>
      <c r="J21" s="989"/>
      <c r="K21" s="307"/>
      <c r="L21" s="980"/>
      <c r="M21" s="259"/>
      <c r="N21" s="254"/>
    </row>
    <row r="22" spans="1:16" ht="20.100000000000001" customHeight="1">
      <c r="A22" s="475"/>
      <c r="B22" s="656"/>
      <c r="C22" s="254"/>
      <c r="D22" s="259"/>
      <c r="E22" s="255"/>
      <c r="F22" s="259"/>
      <c r="G22" s="989"/>
      <c r="H22" s="989"/>
      <c r="I22" s="307"/>
      <c r="J22" s="989"/>
      <c r="K22" s="307"/>
      <c r="L22" s="980"/>
      <c r="M22" s="259"/>
      <c r="N22" s="254"/>
    </row>
    <row r="23" spans="1:16" ht="20.100000000000001" customHeight="1">
      <c r="A23" s="475"/>
      <c r="B23" s="656"/>
      <c r="C23" s="254"/>
      <c r="D23" s="259"/>
      <c r="E23" s="255"/>
      <c r="F23" s="259"/>
      <c r="G23" s="989"/>
      <c r="H23" s="989"/>
      <c r="I23" s="307"/>
      <c r="J23" s="989"/>
      <c r="K23" s="307"/>
      <c r="L23" s="980"/>
      <c r="M23" s="259"/>
      <c r="N23" s="254"/>
    </row>
    <row r="24" spans="1:16" ht="20.100000000000001" customHeight="1">
      <c r="A24" s="475"/>
      <c r="B24" s="656"/>
      <c r="C24" s="254"/>
      <c r="D24" s="259"/>
      <c r="E24" s="255"/>
      <c r="F24" s="259"/>
      <c r="G24" s="989"/>
      <c r="H24" s="989"/>
      <c r="I24" s="307"/>
      <c r="J24" s="989"/>
      <c r="K24" s="307"/>
      <c r="L24" s="980"/>
      <c r="M24" s="259"/>
      <c r="N24" s="254"/>
    </row>
    <row r="25" spans="1:16" ht="20.100000000000001" customHeight="1">
      <c r="A25" s="475"/>
      <c r="B25" s="656"/>
      <c r="C25" s="254"/>
      <c r="D25" s="259"/>
      <c r="E25" s="255"/>
      <c r="F25" s="259"/>
      <c r="G25" s="989"/>
      <c r="H25" s="989"/>
      <c r="I25" s="307"/>
      <c r="J25" s="989"/>
      <c r="K25" s="307"/>
      <c r="L25" s="980"/>
      <c r="M25" s="259"/>
      <c r="N25" s="254"/>
    </row>
    <row r="26" spans="1:16" ht="20.100000000000001" customHeight="1">
      <c r="A26" s="475"/>
      <c r="B26" s="656"/>
      <c r="C26" s="254"/>
      <c r="D26" s="259"/>
      <c r="E26" s="255"/>
      <c r="F26" s="259"/>
      <c r="G26" s="989"/>
      <c r="H26" s="989"/>
      <c r="I26" s="307"/>
      <c r="J26" s="989"/>
      <c r="K26" s="307"/>
      <c r="L26" s="980"/>
      <c r="M26" s="259"/>
      <c r="N26" s="254"/>
    </row>
    <row r="27" spans="1:16" ht="20.100000000000001" customHeight="1">
      <c r="A27" s="475"/>
      <c r="B27" s="656"/>
      <c r="C27" s="254"/>
      <c r="D27" s="259"/>
      <c r="E27" s="255"/>
      <c r="F27" s="259"/>
      <c r="G27" s="989"/>
      <c r="H27" s="989"/>
      <c r="I27" s="307"/>
      <c r="J27" s="989"/>
      <c r="K27" s="307"/>
      <c r="L27" s="980"/>
      <c r="M27" s="259"/>
      <c r="N27" s="254"/>
    </row>
    <row r="28" spans="1:16" ht="20.100000000000001" customHeight="1">
      <c r="A28" s="475"/>
      <c r="B28" s="656"/>
      <c r="C28" s="254"/>
      <c r="D28" s="259"/>
      <c r="E28" s="255"/>
      <c r="F28" s="259"/>
      <c r="G28" s="989"/>
      <c r="H28" s="989"/>
      <c r="I28" s="307"/>
      <c r="J28" s="989"/>
      <c r="K28" s="307"/>
      <c r="L28" s="980"/>
      <c r="M28" s="259"/>
      <c r="N28" s="254"/>
    </row>
    <row r="29" spans="1:16" ht="20.100000000000001" customHeight="1" thickBot="1">
      <c r="A29" s="259"/>
      <c r="B29" s="656"/>
      <c r="C29" s="656" t="s">
        <v>999</v>
      </c>
      <c r="D29" s="259"/>
      <c r="E29" s="662">
        <f>SUM(E13:E28)</f>
        <v>0</v>
      </c>
      <c r="F29" s="259"/>
      <c r="G29" s="663" t="s">
        <v>1011</v>
      </c>
      <c r="H29" s="259"/>
      <c r="I29" s="259"/>
      <c r="J29" s="259"/>
      <c r="K29" s="656"/>
      <c r="L29" s="656"/>
      <c r="M29" s="259"/>
      <c r="N29" s="259"/>
    </row>
    <row r="30" spans="1:16" ht="20.100000000000001" customHeight="1">
      <c r="A30" s="656" t="s">
        <v>146</v>
      </c>
      <c r="B30" s="656"/>
      <c r="C30" s="259"/>
      <c r="D30" s="656"/>
      <c r="E30" s="259"/>
      <c r="F30" s="259"/>
      <c r="G30" s="1190" t="str">
        <f>IF(E29='ExhA&amp;B'!D54," ","Problem: does not agree to Exhibit A Due to State of NC Component Units")</f>
        <v xml:space="preserve"> </v>
      </c>
      <c r="H30" s="1190"/>
      <c r="I30" s="1190"/>
      <c r="J30" s="1190"/>
      <c r="K30" s="1190"/>
      <c r="L30" s="1190"/>
      <c r="M30" s="1190"/>
      <c r="N30" s="1190"/>
    </row>
    <row r="31" spans="1:16" ht="25.65" customHeight="1">
      <c r="A31" s="259"/>
      <c r="B31" s="259"/>
      <c r="C31" s="259"/>
      <c r="D31" s="259"/>
      <c r="E31" s="259"/>
      <c r="F31" s="259"/>
      <c r="G31" s="259"/>
      <c r="H31" s="259"/>
      <c r="I31" s="259"/>
      <c r="J31" s="259"/>
      <c r="K31" s="259"/>
      <c r="L31" s="259"/>
      <c r="M31" s="259"/>
      <c r="N31" s="259"/>
    </row>
    <row r="32" spans="1:16" ht="25.65" customHeight="1"/>
    <row r="33" spans="1:15" ht="25.65" customHeight="1"/>
    <row r="34" spans="1:15" ht="25.65" customHeight="1"/>
    <row r="35" spans="1:15" ht="20.85" customHeight="1"/>
    <row r="36" spans="1:15" ht="20.85" customHeight="1"/>
    <row r="37" spans="1:15" ht="20.85" customHeight="1"/>
    <row r="38" spans="1:15" ht="20.85" customHeight="1"/>
    <row r="39" spans="1:15" ht="20.85" customHeight="1"/>
    <row r="40" spans="1:15" ht="20.85" customHeight="1"/>
    <row r="41" spans="1:15" ht="20.85" customHeight="1">
      <c r="A41" s="257" t="s">
        <v>146</v>
      </c>
      <c r="B41" s="257"/>
      <c r="C41" s="257"/>
      <c r="D41" s="257"/>
      <c r="E41" s="257"/>
      <c r="F41" s="257"/>
      <c r="G41" s="257"/>
      <c r="H41" s="257" t="s">
        <v>146</v>
      </c>
      <c r="I41" s="257"/>
    </row>
    <row r="42" spans="1:15" ht="20.85" customHeight="1">
      <c r="A42" s="257" t="s">
        <v>146</v>
      </c>
      <c r="B42" s="257"/>
      <c r="H42" s="257" t="s">
        <v>146</v>
      </c>
      <c r="I42" s="257"/>
      <c r="J42" s="258" t="s">
        <v>146</v>
      </c>
      <c r="K42" s="258"/>
      <c r="L42" s="258"/>
      <c r="O42" s="257" t="s">
        <v>146</v>
      </c>
    </row>
    <row r="43" spans="1:15" ht="20.85" customHeight="1"/>
    <row r="44" spans="1:15" ht="20.85" customHeight="1"/>
    <row r="45" spans="1:15" ht="20.85" customHeight="1"/>
    <row r="46" spans="1:15" ht="20.85" customHeight="1"/>
    <row r="47" spans="1:15" ht="20.85" customHeight="1"/>
    <row r="48" spans="1:15" ht="20.85" customHeight="1"/>
    <row r="49" spans="1:15" ht="20.85" customHeight="1">
      <c r="A49" s="251" t="s">
        <v>146</v>
      </c>
    </row>
    <row r="50" spans="1:15" ht="20.85" customHeight="1"/>
    <row r="51" spans="1:15" ht="20.85" customHeight="1"/>
    <row r="52" spans="1:15" ht="20.85" customHeight="1">
      <c r="A52" s="257" t="s">
        <v>146</v>
      </c>
      <c r="B52" s="257"/>
      <c r="H52" s="257" t="s">
        <v>146</v>
      </c>
      <c r="I52" s="257"/>
      <c r="J52" s="258" t="s">
        <v>146</v>
      </c>
      <c r="K52" s="258"/>
      <c r="L52" s="258"/>
      <c r="O52" s="257" t="s">
        <v>146</v>
      </c>
    </row>
  </sheetData>
  <sheetProtection algorithmName="SHA-512" hashValue="P/g/pqUOYT22ZxceaaNbPALo/k/kRUq72BUciNqFvuy96OKFB0izmBhpYAlMWozb7BtNo4iqvWTNjG04d6It4A==" saltValue="T2Q5g9DbjEhL3s7cpPjZ4A==" spinCount="100000" sheet="1" objects="1" scenarios="1" autoFilter="0"/>
  <dataConsolidate/>
  <mergeCells count="9">
    <mergeCell ref="A1:N1"/>
    <mergeCell ref="A4:N4"/>
    <mergeCell ref="G10:L10"/>
    <mergeCell ref="G30:N30"/>
    <mergeCell ref="A2:N2"/>
    <mergeCell ref="A3:N3"/>
    <mergeCell ref="G7:M7"/>
    <mergeCell ref="C8:M8"/>
    <mergeCell ref="A5:N5"/>
  </mergeCells>
  <phoneticPr fontId="43" type="noConversion"/>
  <conditionalFormatting sqref="O1:O3">
    <cfRule type="cellIs" dxfId="8" priority="1" stopIfTrue="1" operator="equal">
      <formula>"na"</formula>
    </cfRule>
  </conditionalFormatting>
  <dataValidations count="2">
    <dataValidation type="list" allowBlank="1" showInputMessage="1" showErrorMessage="1" sqref="A13:A28" xr:uid="{00000000-0002-0000-1500-000000000000}">
      <formula1>Listfor525and530</formula1>
    </dataValidation>
    <dataValidation type="textLength" operator="equal" allowBlank="1" showInputMessage="1" showErrorMessage="1" errorTitle="Invalid data!" error="GASB number must be 4 digits.  " sqref="C13:C28" xr:uid="{176C3F60-78ED-4D47-AA34-6DA27E90747C}">
      <formula1>4</formula1>
    </dataValidation>
  </dataValidations>
  <hyperlinks>
    <hyperlink ref="A1:N1" location="Index!A1" display="Index!A1" xr:uid="{00000000-0004-0000-1500-000000000000}"/>
  </hyperlinks>
  <printOptions horizontalCentered="1"/>
  <pageMargins left="0.5" right="0.25" top="0.5" bottom="0.25" header="0.5" footer="0.25"/>
  <pageSetup scale="8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pageSetUpPr fitToPage="1"/>
  </sheetPr>
  <dimension ref="A1:T59"/>
  <sheetViews>
    <sheetView zoomScaleNormal="100" workbookViewId="0">
      <selection activeCell="K24" sqref="K24"/>
    </sheetView>
  </sheetViews>
  <sheetFormatPr defaultColWidth="9.28515625" defaultRowHeight="10.199999999999999"/>
  <cols>
    <col min="1" max="1" width="10.42578125" style="537" customWidth="1"/>
    <col min="2" max="2" width="20.85546875" style="537" customWidth="1"/>
    <col min="3" max="3" width="2.42578125" style="537" customWidth="1"/>
    <col min="4" max="4" width="21.85546875" style="537" customWidth="1"/>
    <col min="5" max="5" width="2" style="537" customWidth="1"/>
    <col min="6" max="7" width="25.85546875" style="537" customWidth="1"/>
    <col min="8" max="16384" width="9.28515625" style="537"/>
  </cols>
  <sheetData>
    <row r="1" spans="1:20" s="529" customFormat="1" ht="25.2" customHeight="1">
      <c r="A1" s="1121" t="str">
        <f>+Index!$A$1</f>
        <v>Office of the State Controller</v>
      </c>
      <c r="B1" s="1121"/>
      <c r="C1" s="1121"/>
      <c r="D1" s="1121"/>
      <c r="E1" s="1121"/>
      <c r="F1" s="1121"/>
      <c r="G1" s="1121"/>
      <c r="H1" s="1118"/>
      <c r="I1" s="808" t="str">
        <f>IF(Index!$B$63="na","NA","")</f>
        <v/>
      </c>
      <c r="J1" s="527"/>
      <c r="K1" s="527"/>
      <c r="L1" s="528"/>
      <c r="M1" s="528"/>
      <c r="N1" s="528"/>
      <c r="O1" s="528"/>
      <c r="P1" s="528"/>
      <c r="Q1" s="528"/>
      <c r="R1" s="528"/>
      <c r="S1" s="528"/>
      <c r="T1" s="528"/>
    </row>
    <row r="2" spans="1:20" s="529" customFormat="1" ht="15" customHeight="1">
      <c r="A2" s="1122" t="str">
        <f>+Index!$A$2</f>
        <v>2023 Year-End ACFR Package</v>
      </c>
      <c r="B2" s="1122"/>
      <c r="C2" s="1122"/>
      <c r="D2" s="1122"/>
      <c r="E2" s="1122"/>
      <c r="F2" s="1122"/>
      <c r="G2" s="1122"/>
      <c r="H2" s="1118"/>
      <c r="I2" s="527"/>
      <c r="J2" s="527"/>
      <c r="K2" s="527"/>
      <c r="L2" s="528"/>
      <c r="M2" s="528"/>
      <c r="N2" s="528"/>
      <c r="O2" s="528"/>
      <c r="P2" s="528"/>
      <c r="Q2" s="528"/>
      <c r="R2" s="528"/>
      <c r="S2" s="528"/>
      <c r="T2" s="528"/>
    </row>
    <row r="3" spans="1:20" s="529" customFormat="1" ht="15" customHeight="1">
      <c r="A3" s="1122" t="s">
        <v>1012</v>
      </c>
      <c r="B3" s="1122"/>
      <c r="C3" s="1122"/>
      <c r="D3" s="1122"/>
      <c r="E3" s="1122"/>
      <c r="F3" s="1122"/>
      <c r="G3" s="1122"/>
      <c r="H3" s="1118"/>
      <c r="I3" s="527"/>
      <c r="J3" s="527"/>
      <c r="K3" s="527"/>
      <c r="L3" s="528"/>
      <c r="M3" s="528"/>
      <c r="N3" s="528"/>
      <c r="O3" s="528"/>
      <c r="P3" s="528"/>
      <c r="Q3" s="528"/>
      <c r="R3" s="528"/>
      <c r="S3" s="528"/>
      <c r="T3" s="528"/>
    </row>
    <row r="4" spans="1:20" s="529" customFormat="1" ht="15" customHeight="1">
      <c r="A4" s="1003"/>
      <c r="B4" s="1003"/>
      <c r="C4" s="1003"/>
      <c r="D4" s="1003"/>
      <c r="E4" s="1003"/>
      <c r="F4" s="1003"/>
      <c r="G4" s="1003"/>
      <c r="H4" s="527"/>
      <c r="I4" s="527"/>
      <c r="J4" s="527"/>
      <c r="K4" s="527"/>
      <c r="L4" s="528"/>
      <c r="M4" s="528"/>
      <c r="N4" s="528"/>
      <c r="O4" s="528"/>
      <c r="P4" s="528"/>
      <c r="Q4" s="528"/>
      <c r="R4" s="528"/>
      <c r="S4" s="528"/>
      <c r="T4" s="528"/>
    </row>
    <row r="5" spans="1:20" s="533" customFormat="1" ht="15" customHeight="1">
      <c r="A5" s="870"/>
      <c r="B5" s="871"/>
      <c r="C5" s="530"/>
      <c r="D5" s="872" t="s">
        <v>479</v>
      </c>
      <c r="E5" s="872"/>
      <c r="F5" s="1123" t="str">
        <f>+Index!$D$10</f>
        <v>C0</v>
      </c>
      <c r="G5" s="1123"/>
      <c r="H5" s="531"/>
      <c r="I5" s="531"/>
      <c r="J5" s="532"/>
      <c r="K5" s="530"/>
      <c r="L5" s="528"/>
      <c r="M5" s="528"/>
      <c r="N5" s="528"/>
      <c r="O5" s="528"/>
      <c r="P5" s="528"/>
      <c r="Q5" s="528"/>
      <c r="R5" s="528"/>
      <c r="S5" s="528"/>
      <c r="T5" s="528"/>
    </row>
    <row r="6" spans="1:20" s="533" customFormat="1" ht="15" customHeight="1">
      <c r="A6" s="536"/>
      <c r="B6" s="871"/>
      <c r="D6" s="872" t="s">
        <v>480</v>
      </c>
      <c r="E6" s="872"/>
      <c r="F6" s="1119" t="str">
        <f>+Index!$D$9</f>
        <v>Alamance Community College</v>
      </c>
      <c r="G6" s="1119"/>
      <c r="H6" s="531"/>
      <c r="I6" s="531"/>
      <c r="J6" s="532"/>
      <c r="L6" s="528"/>
      <c r="M6" s="528"/>
      <c r="N6" s="528"/>
      <c r="O6" s="528"/>
      <c r="P6" s="528"/>
      <c r="Q6" s="528"/>
      <c r="R6" s="528"/>
      <c r="S6" s="528"/>
      <c r="T6" s="528"/>
    </row>
    <row r="7" spans="1:20" s="533" customFormat="1" ht="15" customHeight="1">
      <c r="D7" s="872" t="s">
        <v>481</v>
      </c>
      <c r="E7" s="872"/>
      <c r="F7" s="1119" t="str">
        <f>CONCATENATE(Index!$D$11," ",Index!$D$12)</f>
        <v xml:space="preserve"> </v>
      </c>
      <c r="G7" s="1119"/>
      <c r="H7" s="531"/>
      <c r="I7" s="531"/>
      <c r="J7" s="532"/>
      <c r="L7" s="528"/>
      <c r="M7" s="528"/>
      <c r="N7" s="528"/>
      <c r="O7" s="528"/>
      <c r="P7" s="528"/>
      <c r="Q7" s="528"/>
      <c r="R7" s="528"/>
      <c r="S7" s="528"/>
      <c r="T7" s="528"/>
    </row>
    <row r="8" spans="1:20" s="533" customFormat="1" ht="15" customHeight="1" thickBot="1">
      <c r="A8" s="534"/>
      <c r="B8" s="534"/>
      <c r="C8" s="534"/>
      <c r="D8" s="873"/>
      <c r="E8" s="873"/>
      <c r="F8" s="534"/>
      <c r="G8" s="535"/>
      <c r="H8" s="531"/>
      <c r="I8" s="531"/>
      <c r="J8" s="532"/>
      <c r="L8" s="528"/>
      <c r="M8" s="528"/>
      <c r="N8" s="528"/>
      <c r="O8" s="528"/>
      <c r="P8" s="528"/>
      <c r="Q8" s="528"/>
      <c r="R8" s="528"/>
      <c r="S8" s="528"/>
      <c r="T8" s="528"/>
    </row>
    <row r="9" spans="1:20" s="533" customFormat="1" ht="15" customHeight="1">
      <c r="H9" s="532"/>
      <c r="I9" s="532"/>
      <c r="J9" s="532"/>
      <c r="L9" s="528"/>
      <c r="M9" s="528"/>
      <c r="N9" s="528"/>
      <c r="O9" s="528"/>
      <c r="P9" s="528"/>
      <c r="Q9" s="528"/>
      <c r="R9" s="528"/>
      <c r="S9" s="528"/>
      <c r="T9" s="528"/>
    </row>
    <row r="10" spans="1:20" s="533" customFormat="1" ht="13.2">
      <c r="A10" s="669" t="s">
        <v>1013</v>
      </c>
      <c r="B10" s="669"/>
      <c r="C10" s="669"/>
      <c r="D10" s="669"/>
      <c r="E10" s="669"/>
      <c r="F10" s="669"/>
      <c r="G10" s="669"/>
      <c r="H10" s="537"/>
      <c r="I10" s="532"/>
      <c r="J10" s="532"/>
      <c r="L10" s="528"/>
      <c r="M10" s="528"/>
      <c r="N10" s="528"/>
      <c r="O10" s="528"/>
      <c r="P10" s="528"/>
      <c r="Q10" s="528"/>
      <c r="R10" s="528"/>
      <c r="S10" s="528"/>
      <c r="T10" s="528"/>
    </row>
    <row r="11" spans="1:20" s="533" customFormat="1" ht="13.2">
      <c r="A11" s="669" t="s">
        <v>1014</v>
      </c>
      <c r="B11" s="669"/>
      <c r="C11" s="669"/>
      <c r="D11" s="669"/>
      <c r="E11" s="669"/>
      <c r="F11" s="669"/>
      <c r="G11" s="669"/>
      <c r="H11" s="537"/>
      <c r="I11" s="532"/>
      <c r="J11" s="532"/>
      <c r="L11" s="528"/>
      <c r="M11" s="528"/>
      <c r="N11" s="528"/>
      <c r="O11" s="528"/>
      <c r="P11" s="528"/>
      <c r="Q11" s="528"/>
      <c r="R11" s="528"/>
      <c r="S11" s="528"/>
      <c r="T11" s="528"/>
    </row>
    <row r="12" spans="1:20" s="533" customFormat="1" ht="13.2">
      <c r="A12" s="669" t="s">
        <v>1015</v>
      </c>
      <c r="B12" s="669"/>
      <c r="C12" s="669"/>
      <c r="D12" s="669"/>
      <c r="E12" s="669"/>
      <c r="F12" s="669"/>
      <c r="G12" s="669"/>
      <c r="H12" s="537"/>
      <c r="I12" s="532"/>
      <c r="J12" s="532"/>
      <c r="L12" s="528"/>
      <c r="M12" s="528"/>
      <c r="N12" s="528"/>
      <c r="O12" s="528"/>
      <c r="P12" s="528"/>
      <c r="Q12" s="528"/>
      <c r="R12" s="528"/>
      <c r="S12" s="528"/>
      <c r="T12" s="528"/>
    </row>
    <row r="13" spans="1:20" ht="13.2">
      <c r="A13" s="669"/>
      <c r="B13" s="669"/>
      <c r="C13" s="669"/>
      <c r="D13" s="669"/>
      <c r="E13" s="669"/>
      <c r="F13" s="669"/>
      <c r="G13" s="669"/>
    </row>
    <row r="14" spans="1:20" ht="13.2">
      <c r="A14" s="670" t="s">
        <v>1016</v>
      </c>
      <c r="B14" s="669"/>
      <c r="C14" s="669"/>
      <c r="D14" s="669"/>
      <c r="E14" s="669"/>
      <c r="F14" s="672"/>
      <c r="G14" s="669"/>
    </row>
    <row r="15" spans="1:20" ht="13.2">
      <c r="A15" s="669" t="s">
        <v>1017</v>
      </c>
      <c r="B15" s="669"/>
      <c r="C15" s="669"/>
      <c r="D15" s="669"/>
      <c r="E15" s="669"/>
      <c r="F15" s="669"/>
      <c r="G15" s="669"/>
    </row>
    <row r="16" spans="1:20" ht="13.2">
      <c r="A16" s="669" t="s">
        <v>1018</v>
      </c>
      <c r="B16" s="669"/>
      <c r="C16" s="669"/>
      <c r="D16" s="669"/>
      <c r="E16" s="669"/>
      <c r="F16" s="669"/>
      <c r="G16" s="669"/>
    </row>
    <row r="17" spans="1:7">
      <c r="A17" s="671"/>
      <c r="B17" s="671"/>
      <c r="C17" s="671"/>
      <c r="D17" s="671"/>
      <c r="E17" s="671"/>
      <c r="F17" s="671"/>
      <c r="G17" s="671"/>
    </row>
    <row r="18" spans="1:7">
      <c r="A18" s="671"/>
      <c r="B18" s="671"/>
      <c r="C18" s="671"/>
      <c r="D18" s="671"/>
      <c r="E18" s="671"/>
      <c r="F18" s="671"/>
      <c r="G18" s="671"/>
    </row>
    <row r="19" spans="1:7">
      <c r="A19" s="671"/>
      <c r="B19" s="671"/>
      <c r="C19" s="671"/>
      <c r="D19" s="671"/>
      <c r="E19" s="671"/>
      <c r="F19" s="671"/>
      <c r="G19" s="671"/>
    </row>
    <row r="20" spans="1:7">
      <c r="A20" s="671"/>
      <c r="B20" s="671"/>
      <c r="C20" s="671"/>
      <c r="D20" s="671"/>
      <c r="E20" s="671"/>
      <c r="F20" s="671"/>
      <c r="G20" s="671"/>
    </row>
    <row r="21" spans="1:7">
      <c r="A21" s="671"/>
      <c r="B21" s="671"/>
      <c r="C21" s="671"/>
      <c r="D21" s="671"/>
      <c r="E21" s="671"/>
      <c r="F21" s="671"/>
      <c r="G21" s="671"/>
    </row>
    <row r="22" spans="1:7">
      <c r="A22" s="671"/>
      <c r="B22" s="671"/>
      <c r="C22" s="671"/>
      <c r="D22" s="671"/>
      <c r="E22" s="671"/>
      <c r="F22" s="671"/>
      <c r="G22" s="671"/>
    </row>
    <row r="23" spans="1:7">
      <c r="A23" s="671"/>
      <c r="B23" s="671"/>
      <c r="C23" s="671"/>
      <c r="D23" s="671"/>
      <c r="E23" s="671"/>
      <c r="F23" s="671"/>
      <c r="G23" s="671"/>
    </row>
    <row r="24" spans="1:7">
      <c r="A24" s="671"/>
      <c r="B24" s="671"/>
      <c r="C24" s="671"/>
      <c r="D24" s="671"/>
      <c r="E24" s="671"/>
      <c r="F24" s="671"/>
      <c r="G24" s="671"/>
    </row>
    <row r="25" spans="1:7" ht="13.8" thickBot="1">
      <c r="A25" s="534"/>
      <c r="B25" s="534"/>
      <c r="C25" s="534"/>
      <c r="D25" s="873"/>
      <c r="E25" s="873"/>
      <c r="F25" s="534"/>
      <c r="G25" s="535"/>
    </row>
    <row r="26" spans="1:7">
      <c r="A26" s="533"/>
      <c r="B26" s="533"/>
      <c r="C26" s="533"/>
      <c r="D26" s="533"/>
      <c r="E26" s="533"/>
      <c r="F26" s="533"/>
      <c r="G26" s="533"/>
    </row>
    <row r="27" spans="1:7" ht="13.2">
      <c r="A27" s="669" t="s">
        <v>1019</v>
      </c>
      <c r="B27" s="669"/>
      <c r="C27" s="669"/>
      <c r="D27" s="669"/>
      <c r="E27" s="669"/>
      <c r="F27" s="669"/>
      <c r="G27" s="669"/>
    </row>
    <row r="28" spans="1:7" ht="13.2">
      <c r="A28" s="669" t="s">
        <v>1014</v>
      </c>
      <c r="B28" s="669"/>
      <c r="C28" s="669"/>
      <c r="D28" s="669"/>
      <c r="E28" s="669"/>
      <c r="F28" s="669"/>
      <c r="G28" s="669"/>
    </row>
    <row r="29" spans="1:7" ht="13.2">
      <c r="A29" s="669" t="s">
        <v>1020</v>
      </c>
      <c r="B29" s="669"/>
      <c r="C29" s="669"/>
      <c r="D29" s="669"/>
      <c r="E29" s="669"/>
      <c r="F29" s="669"/>
      <c r="G29" s="669"/>
    </row>
    <row r="30" spans="1:7">
      <c r="A30" s="671"/>
      <c r="B30" s="671"/>
      <c r="C30" s="671"/>
      <c r="D30" s="671"/>
      <c r="E30" s="671"/>
      <c r="F30" s="671"/>
      <c r="G30" s="671"/>
    </row>
    <row r="31" spans="1:7" ht="13.2">
      <c r="A31" s="670" t="s">
        <v>1021</v>
      </c>
      <c r="B31" s="669"/>
      <c r="C31" s="669"/>
      <c r="D31" s="669"/>
      <c r="E31" s="669"/>
      <c r="F31" s="672"/>
      <c r="G31" s="669"/>
    </row>
    <row r="32" spans="1:7" ht="13.2">
      <c r="A32" s="669" t="s">
        <v>1022</v>
      </c>
      <c r="B32" s="669"/>
      <c r="C32" s="669"/>
      <c r="D32" s="669"/>
      <c r="E32" s="669"/>
      <c r="F32" s="669"/>
      <c r="G32" s="669"/>
    </row>
    <row r="33" spans="1:7" ht="13.2">
      <c r="A33" s="669" t="s">
        <v>1018</v>
      </c>
      <c r="B33" s="669"/>
      <c r="C33" s="669"/>
      <c r="D33" s="669"/>
      <c r="E33" s="669"/>
      <c r="F33" s="669"/>
      <c r="G33" s="669"/>
    </row>
    <row r="34" spans="1:7">
      <c r="A34" s="671"/>
      <c r="B34" s="671"/>
      <c r="C34" s="671"/>
      <c r="D34" s="671"/>
      <c r="E34" s="671"/>
      <c r="F34" s="671"/>
      <c r="G34" s="671"/>
    </row>
    <row r="35" spans="1:7">
      <c r="A35" s="671"/>
      <c r="B35" s="671"/>
      <c r="C35" s="671"/>
      <c r="D35" s="671"/>
      <c r="E35" s="671"/>
      <c r="F35" s="671"/>
      <c r="G35" s="671"/>
    </row>
    <row r="36" spans="1:7">
      <c r="A36" s="671"/>
      <c r="B36" s="671"/>
      <c r="C36" s="671"/>
      <c r="D36" s="671"/>
      <c r="E36" s="671"/>
      <c r="F36" s="671"/>
      <c r="G36" s="671"/>
    </row>
    <row r="37" spans="1:7">
      <c r="A37" s="671"/>
      <c r="B37" s="671"/>
      <c r="C37" s="671"/>
      <c r="D37" s="671"/>
      <c r="E37" s="671"/>
      <c r="F37" s="671"/>
      <c r="G37" s="671"/>
    </row>
    <row r="38" spans="1:7">
      <c r="A38" s="671"/>
      <c r="B38" s="671"/>
      <c r="C38" s="671"/>
      <c r="D38" s="671"/>
      <c r="E38" s="671"/>
      <c r="F38" s="671"/>
      <c r="G38" s="671"/>
    </row>
    <row r="39" spans="1:7">
      <c r="A39" s="671"/>
      <c r="B39" s="671"/>
      <c r="C39" s="671"/>
      <c r="D39" s="671"/>
      <c r="E39" s="671"/>
      <c r="F39" s="671"/>
      <c r="G39" s="671"/>
    </row>
    <row r="40" spans="1:7">
      <c r="A40" s="671"/>
      <c r="B40" s="671"/>
      <c r="C40" s="671"/>
      <c r="D40" s="671"/>
      <c r="E40" s="671"/>
      <c r="F40" s="671"/>
      <c r="G40" s="671"/>
    </row>
    <row r="41" spans="1:7">
      <c r="A41" s="671"/>
      <c r="B41" s="671"/>
      <c r="C41" s="671"/>
      <c r="D41" s="671"/>
      <c r="E41" s="671"/>
      <c r="F41" s="671"/>
      <c r="G41" s="671"/>
    </row>
    <row r="42" spans="1:7" ht="13.8" thickBot="1">
      <c r="A42" s="534"/>
      <c r="B42" s="534"/>
      <c r="C42" s="534"/>
      <c r="D42" s="873"/>
      <c r="E42" s="873"/>
      <c r="F42" s="534"/>
      <c r="G42" s="535"/>
    </row>
    <row r="43" spans="1:7">
      <c r="A43" s="533"/>
      <c r="B43" s="533"/>
      <c r="C43" s="533"/>
      <c r="D43" s="533"/>
      <c r="E43" s="533"/>
      <c r="F43" s="533"/>
      <c r="G43" s="533"/>
    </row>
    <row r="44" spans="1:7" ht="13.2">
      <c r="A44" s="669" t="s">
        <v>1023</v>
      </c>
      <c r="B44" s="669"/>
      <c r="C44" s="669"/>
      <c r="D44" s="669"/>
      <c r="E44" s="669"/>
      <c r="F44" s="669"/>
      <c r="G44" s="669"/>
    </row>
    <row r="45" spans="1:7" ht="13.2">
      <c r="A45" s="669" t="s">
        <v>1014</v>
      </c>
      <c r="B45" s="669"/>
      <c r="C45" s="669"/>
      <c r="D45" s="669"/>
      <c r="E45" s="669"/>
      <c r="F45" s="669"/>
      <c r="G45" s="669"/>
    </row>
    <row r="46" spans="1:7" ht="13.2">
      <c r="A46" s="669" t="s">
        <v>1024</v>
      </c>
      <c r="B46" s="669"/>
      <c r="C46" s="669"/>
      <c r="D46" s="669"/>
      <c r="E46" s="669"/>
      <c r="F46" s="669"/>
      <c r="G46" s="669"/>
    </row>
    <row r="47" spans="1:7">
      <c r="A47" s="671"/>
      <c r="B47" s="671"/>
      <c r="C47" s="671"/>
      <c r="D47" s="671"/>
      <c r="E47" s="671"/>
      <c r="F47" s="671"/>
      <c r="G47" s="671"/>
    </row>
    <row r="48" spans="1:7" ht="13.2">
      <c r="A48" s="670" t="s">
        <v>1025</v>
      </c>
      <c r="B48" s="669"/>
      <c r="C48" s="669"/>
      <c r="D48" s="669"/>
      <c r="E48" s="669"/>
      <c r="F48" s="672"/>
      <c r="G48" s="669"/>
    </row>
    <row r="49" spans="1:7" ht="13.2">
      <c r="A49" s="669" t="s">
        <v>1022</v>
      </c>
      <c r="B49" s="669"/>
      <c r="C49" s="669"/>
      <c r="D49" s="669"/>
      <c r="E49" s="669"/>
      <c r="F49" s="669"/>
      <c r="G49" s="669"/>
    </row>
    <row r="50" spans="1:7" ht="13.2">
      <c r="A50" s="669" t="s">
        <v>1018</v>
      </c>
      <c r="B50" s="669"/>
      <c r="C50" s="669"/>
      <c r="D50" s="669"/>
      <c r="E50" s="669"/>
      <c r="F50" s="669"/>
      <c r="G50" s="669"/>
    </row>
    <row r="51" spans="1:7">
      <c r="A51" s="671"/>
      <c r="B51" s="671"/>
      <c r="C51" s="671"/>
      <c r="D51" s="671"/>
      <c r="E51" s="671"/>
      <c r="F51" s="671"/>
      <c r="G51" s="671"/>
    </row>
    <row r="52" spans="1:7">
      <c r="A52" s="671"/>
      <c r="B52" s="671"/>
      <c r="C52" s="671"/>
      <c r="D52" s="671"/>
      <c r="E52" s="671"/>
      <c r="F52" s="671"/>
      <c r="G52" s="671"/>
    </row>
    <row r="53" spans="1:7">
      <c r="A53" s="671"/>
      <c r="B53" s="671"/>
      <c r="C53" s="671"/>
      <c r="D53" s="671"/>
      <c r="E53" s="671"/>
      <c r="F53" s="671"/>
      <c r="G53" s="671"/>
    </row>
    <row r="54" spans="1:7">
      <c r="A54" s="671"/>
      <c r="B54" s="671"/>
      <c r="C54" s="671"/>
      <c r="D54" s="671"/>
      <c r="E54" s="671"/>
      <c r="F54" s="671"/>
      <c r="G54" s="671"/>
    </row>
    <row r="55" spans="1:7">
      <c r="A55" s="671"/>
      <c r="B55" s="671"/>
      <c r="C55" s="671"/>
      <c r="D55" s="671"/>
      <c r="E55" s="671"/>
      <c r="F55" s="671"/>
      <c r="G55" s="671"/>
    </row>
    <row r="56" spans="1:7">
      <c r="A56" s="671"/>
      <c r="B56" s="671"/>
      <c r="C56" s="671"/>
      <c r="D56" s="671"/>
      <c r="E56" s="671"/>
      <c r="F56" s="671"/>
      <c r="G56" s="671"/>
    </row>
    <row r="57" spans="1:7">
      <c r="A57" s="671"/>
      <c r="B57" s="671"/>
      <c r="C57" s="671"/>
      <c r="D57" s="671"/>
      <c r="E57" s="671"/>
      <c r="F57" s="671"/>
      <c r="G57" s="671"/>
    </row>
    <row r="58" spans="1:7">
      <c r="A58" s="671"/>
      <c r="B58" s="671"/>
      <c r="C58" s="671"/>
      <c r="D58" s="671"/>
      <c r="E58" s="671"/>
      <c r="F58" s="671"/>
      <c r="G58" s="671"/>
    </row>
    <row r="59" spans="1:7">
      <c r="A59" s="671"/>
      <c r="B59" s="671"/>
      <c r="C59" s="671"/>
      <c r="D59" s="671"/>
      <c r="E59" s="671"/>
      <c r="F59" s="671"/>
      <c r="G59" s="671"/>
    </row>
  </sheetData>
  <sheetProtection algorithmName="SHA-512" hashValue="B3a8KPMJ0QfRlts+pejzIcUmUiqmo99kwr65T2e0ZSP737qUFgB7wWisVYmkN3KEzT7NrV4euiP7lEZPchgImg==" saltValue="hkGNV90iNJIBFQF/kcuBrQ==" spinCount="100000" sheet="1" objects="1" scenarios="1" autoFilter="0"/>
  <mergeCells count="7">
    <mergeCell ref="F7:G7"/>
    <mergeCell ref="A1:G1"/>
    <mergeCell ref="H1:H3"/>
    <mergeCell ref="A2:G2"/>
    <mergeCell ref="A3:G3"/>
    <mergeCell ref="F5:G5"/>
    <mergeCell ref="F6:G6"/>
  </mergeCells>
  <conditionalFormatting sqref="H1:H3">
    <cfRule type="cellIs" dxfId="7" priority="3" stopIfTrue="1" operator="equal">
      <formula>"na"</formula>
    </cfRule>
  </conditionalFormatting>
  <conditionalFormatting sqref="I1">
    <cfRule type="cellIs" dxfId="6" priority="1" stopIfTrue="1" operator="equal">
      <formula>"na"</formula>
    </cfRule>
  </conditionalFormatting>
  <hyperlinks>
    <hyperlink ref="A1:G1" location="Index!A1" display="Index!A1" xr:uid="{00000000-0004-0000-1600-000000000000}"/>
  </hyperlinks>
  <printOptions horizontalCentered="1"/>
  <pageMargins left="0.5" right="0.25" top="0.5" bottom="0.25" header="0.5" footer="0.2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J52"/>
  <sheetViews>
    <sheetView showGridLines="0" zoomScaleNormal="100" workbookViewId="0">
      <selection activeCell="K24" sqref="K24"/>
    </sheetView>
  </sheetViews>
  <sheetFormatPr defaultColWidth="10.7109375" defaultRowHeight="13.2"/>
  <cols>
    <col min="1" max="1" width="23.42578125" style="260" customWidth="1"/>
    <col min="2" max="2" width="10.7109375" style="260" customWidth="1"/>
    <col min="3" max="3" width="14.85546875" style="260" customWidth="1"/>
    <col min="4" max="4" width="10.7109375" style="260" customWidth="1"/>
    <col min="5" max="5" width="24.42578125" style="260" customWidth="1"/>
    <col min="6" max="6" width="2" style="260" customWidth="1"/>
    <col min="7" max="7" width="13.42578125" style="260" customWidth="1"/>
    <col min="8" max="8" width="1.7109375" style="260" customWidth="1"/>
    <col min="9" max="9" width="7.85546875" style="260" customWidth="1"/>
    <col min="10" max="16384" width="10.7109375" style="260"/>
  </cols>
  <sheetData>
    <row r="1" spans="1:9" ht="15" customHeight="1">
      <c r="A1" s="1165" t="str">
        <f>+Index!$A$1</f>
        <v>Office of the State Controller</v>
      </c>
      <c r="B1" s="1165"/>
      <c r="C1" s="1165"/>
      <c r="D1" s="1165"/>
      <c r="E1" s="1165"/>
      <c r="F1" s="1165"/>
      <c r="G1" s="1165"/>
      <c r="H1" s="1165"/>
      <c r="I1" s="1075"/>
    </row>
    <row r="2" spans="1:9" ht="15" customHeight="1">
      <c r="A2" s="1166" t="str">
        <f>+Index!$A$2</f>
        <v>2023 Year-End ACFR Package</v>
      </c>
      <c r="B2" s="1166"/>
      <c r="C2" s="1166"/>
      <c r="D2" s="1166"/>
      <c r="E2" s="1166"/>
      <c r="F2" s="1166"/>
      <c r="G2" s="1166"/>
      <c r="H2" s="1166"/>
      <c r="I2" s="1075"/>
    </row>
    <row r="3" spans="1:9" ht="15" customHeight="1">
      <c r="A3" s="1166" t="s">
        <v>1026</v>
      </c>
      <c r="B3" s="1166"/>
      <c r="C3" s="1166"/>
      <c r="D3" s="1166"/>
      <c r="E3" s="1166"/>
      <c r="F3" s="1166"/>
      <c r="G3" s="1166"/>
      <c r="H3" s="1166"/>
      <c r="I3" s="1075"/>
    </row>
    <row r="4" spans="1:9" ht="15" customHeight="1">
      <c r="A4" s="1166"/>
      <c r="B4" s="1166"/>
      <c r="C4" s="1166"/>
      <c r="D4" s="1166"/>
      <c r="E4" s="1166"/>
      <c r="F4" s="1166"/>
      <c r="G4" s="1166"/>
      <c r="H4" s="1166"/>
      <c r="I4" s="990"/>
    </row>
    <row r="5" spans="1:9" ht="15" customHeight="1">
      <c r="A5" s="511"/>
      <c r="B5" s="511"/>
      <c r="C5" s="511"/>
      <c r="D5" s="511"/>
      <c r="E5" s="511"/>
      <c r="F5" s="511"/>
      <c r="G5" s="511"/>
      <c r="H5" s="512"/>
    </row>
    <row r="6" spans="1:9" ht="15" customHeight="1">
      <c r="A6" s="1016"/>
      <c r="B6" s="1016"/>
      <c r="C6" s="1016"/>
      <c r="D6" s="513" t="s">
        <v>479</v>
      </c>
      <c r="E6" s="1219" t="str">
        <f>+Index!$D$10</f>
        <v>C0</v>
      </c>
      <c r="F6" s="1219"/>
      <c r="G6" s="1219"/>
      <c r="H6" s="1219"/>
    </row>
    <row r="7" spans="1:9" ht="15" customHeight="1">
      <c r="A7" s="1016"/>
      <c r="B7" s="1016"/>
      <c r="C7" s="1016"/>
      <c r="D7" s="513" t="s">
        <v>480</v>
      </c>
      <c r="E7" s="1217" t="str">
        <f>+Index!$D$9</f>
        <v>Alamance Community College</v>
      </c>
      <c r="F7" s="1217"/>
      <c r="G7" s="1217"/>
      <c r="H7" s="1217"/>
    </row>
    <row r="8" spans="1:9" ht="15" customHeight="1">
      <c r="A8" s="1016"/>
      <c r="B8" s="1016"/>
      <c r="C8" s="1016"/>
      <c r="D8" s="513" t="s">
        <v>1027</v>
      </c>
      <c r="E8" s="1218" t="str">
        <f>CONCATENATE(Index!$D$11," ",Index!$D$12)</f>
        <v xml:space="preserve"> </v>
      </c>
      <c r="F8" s="1218"/>
      <c r="G8" s="1218"/>
      <c r="H8" s="1218"/>
    </row>
    <row r="9" spans="1:9" ht="15" customHeight="1" thickBot="1">
      <c r="A9" s="261"/>
      <c r="B9" s="261"/>
      <c r="C9" s="261"/>
      <c r="D9" s="261"/>
      <c r="E9" s="261"/>
      <c r="F9" s="262"/>
      <c r="G9" s="263"/>
      <c r="H9" s="263"/>
    </row>
    <row r="10" spans="1:9" ht="9" customHeight="1">
      <c r="F10" s="471"/>
      <c r="G10" s="472"/>
      <c r="H10" s="472"/>
    </row>
    <row r="11" spans="1:9" ht="15" customHeight="1">
      <c r="A11" s="557" t="s">
        <v>1028</v>
      </c>
      <c r="B11" s="558"/>
      <c r="C11" s="558"/>
      <c r="D11" s="558"/>
      <c r="E11" s="559"/>
      <c r="F11" s="471"/>
      <c r="G11" s="472"/>
      <c r="H11" s="472"/>
    </row>
    <row r="12" spans="1:9" ht="6.75" customHeight="1">
      <c r="A12" s="1016"/>
      <c r="B12" s="1016"/>
      <c r="C12" s="1016"/>
      <c r="D12" s="1016"/>
      <c r="E12" s="1016"/>
      <c r="F12" s="1016"/>
      <c r="G12" s="1016"/>
      <c r="H12" s="1016"/>
    </row>
    <row r="13" spans="1:9" ht="15" customHeight="1">
      <c r="A13" s="36" t="s">
        <v>1029</v>
      </c>
      <c r="B13" s="1016"/>
      <c r="C13" s="1016"/>
      <c r="D13" s="1016"/>
      <c r="E13" s="1016"/>
      <c r="F13" s="1016"/>
      <c r="G13" s="1016"/>
      <c r="H13" s="1016"/>
    </row>
    <row r="14" spans="1:9" ht="15" customHeight="1">
      <c r="A14" s="36" t="s">
        <v>1030</v>
      </c>
      <c r="B14" s="1016"/>
      <c r="C14" s="1016"/>
      <c r="D14" s="1016"/>
      <c r="E14" s="1016"/>
      <c r="F14" s="1016"/>
      <c r="G14" s="1016"/>
      <c r="H14" s="1016"/>
    </row>
    <row r="15" spans="1:9" ht="15" customHeight="1">
      <c r="A15" s="36" t="s">
        <v>1031</v>
      </c>
      <c r="B15" s="1016"/>
      <c r="C15" s="1016"/>
      <c r="D15" s="1016"/>
      <c r="E15" s="1016"/>
      <c r="F15" s="1016"/>
      <c r="G15" s="1016"/>
      <c r="H15" s="1016"/>
    </row>
    <row r="16" spans="1:9" ht="15" customHeight="1">
      <c r="A16" s="36" t="s">
        <v>1032</v>
      </c>
      <c r="B16" s="1016"/>
      <c r="C16" s="1016"/>
      <c r="D16" s="1016"/>
      <c r="E16" s="1016"/>
      <c r="F16" s="1016"/>
      <c r="G16" s="1016"/>
      <c r="H16" s="1016"/>
    </row>
    <row r="17" spans="1:10" ht="15" customHeight="1">
      <c r="A17" s="32" t="s">
        <v>1033</v>
      </c>
      <c r="B17" s="1016"/>
      <c r="C17" s="1016"/>
      <c r="D17" s="1016"/>
      <c r="E17" s="1016"/>
      <c r="F17" s="1016"/>
      <c r="G17" s="1016"/>
      <c r="H17" s="1016"/>
    </row>
    <row r="18" spans="1:10" ht="15" customHeight="1">
      <c r="A18" s="32" t="s">
        <v>1034</v>
      </c>
      <c r="B18" s="1016"/>
      <c r="C18" s="1016"/>
      <c r="D18" s="1016"/>
      <c r="E18" s="1016"/>
      <c r="F18" s="1016"/>
      <c r="G18" s="1016"/>
      <c r="H18" s="1016"/>
    </row>
    <row r="19" spans="1:10" ht="15" customHeight="1">
      <c r="A19" s="1016"/>
      <c r="B19" s="1016"/>
      <c r="C19" s="1016"/>
      <c r="D19" s="1016"/>
      <c r="E19" s="1016"/>
      <c r="F19" s="1016"/>
      <c r="G19" s="1016"/>
      <c r="H19" s="1016"/>
    </row>
    <row r="20" spans="1:10" ht="15" customHeight="1">
      <c r="A20" s="588" t="s">
        <v>1035</v>
      </c>
      <c r="B20" s="1016"/>
      <c r="C20" s="1016"/>
      <c r="D20" s="1016"/>
      <c r="E20" s="1016"/>
      <c r="F20" s="1016"/>
      <c r="G20" s="1016"/>
      <c r="H20" s="1016"/>
    </row>
    <row r="21" spans="1:10" ht="15" customHeight="1">
      <c r="A21" s="1016" t="s">
        <v>1036</v>
      </c>
      <c r="B21" s="1016"/>
      <c r="C21" s="1016"/>
      <c r="D21" s="1016"/>
      <c r="E21" s="1016"/>
      <c r="F21" s="1016"/>
      <c r="G21" s="1016"/>
      <c r="H21" s="1016"/>
    </row>
    <row r="22" spans="1:10" ht="15" customHeight="1">
      <c r="A22" s="1016" t="s">
        <v>1037</v>
      </c>
      <c r="B22" s="1016"/>
      <c r="C22" s="1016"/>
      <c r="D22" s="1016"/>
      <c r="E22" s="1016"/>
      <c r="F22" s="1016"/>
      <c r="G22" s="1016"/>
      <c r="H22" s="1016"/>
    </row>
    <row r="23" spans="1:10" ht="15" customHeight="1">
      <c r="A23" s="588" t="s">
        <v>1038</v>
      </c>
      <c r="B23" s="1016"/>
      <c r="C23" s="1016"/>
      <c r="D23" s="1016"/>
      <c r="E23" s="1016"/>
      <c r="F23" s="1016"/>
      <c r="G23" s="1016"/>
      <c r="H23" s="1016"/>
    </row>
    <row r="24" spans="1:10" ht="15" customHeight="1">
      <c r="A24" s="588" t="s">
        <v>1039</v>
      </c>
      <c r="B24" s="1016"/>
      <c r="C24" s="1016"/>
      <c r="D24" s="1016"/>
      <c r="E24" s="1016"/>
      <c r="F24" s="1016"/>
      <c r="G24" s="1016"/>
      <c r="H24" s="1016"/>
    </row>
    <row r="25" spans="1:10" ht="15" customHeight="1">
      <c r="A25" s="1016"/>
      <c r="B25" s="1016"/>
      <c r="C25" s="1016"/>
      <c r="D25" s="1016"/>
      <c r="E25" s="1016"/>
      <c r="F25" s="1016"/>
      <c r="G25" s="1016"/>
      <c r="H25" s="1016"/>
    </row>
    <row r="26" spans="1:10" ht="15" customHeight="1">
      <c r="A26" s="588" t="s">
        <v>1040</v>
      </c>
      <c r="B26" s="1016"/>
      <c r="C26" s="1016"/>
      <c r="D26" s="1016"/>
      <c r="E26" s="1016"/>
      <c r="F26" s="1016"/>
      <c r="G26" s="1016"/>
      <c r="H26" s="1016"/>
    </row>
    <row r="27" spans="1:10" ht="15" customHeight="1">
      <c r="A27" s="1016" t="s">
        <v>1041</v>
      </c>
      <c r="B27" s="1016"/>
      <c r="C27" s="1016"/>
      <c r="D27" s="1016"/>
      <c r="E27" s="1016"/>
      <c r="F27" s="1016"/>
      <c r="G27" s="1016"/>
      <c r="H27" s="1016"/>
    </row>
    <row r="28" spans="1:10" ht="15" customHeight="1">
      <c r="A28" s="1016" t="s">
        <v>1042</v>
      </c>
      <c r="B28" s="1016"/>
      <c r="C28" s="1016"/>
      <c r="D28" s="1016"/>
      <c r="E28" s="1016"/>
      <c r="F28" s="1016"/>
      <c r="G28" s="1016"/>
      <c r="H28" s="1016"/>
    </row>
    <row r="29" spans="1:10" ht="15" customHeight="1">
      <c r="A29" s="1016"/>
      <c r="B29" s="1016"/>
      <c r="C29" s="1016"/>
      <c r="D29" s="1016"/>
      <c r="E29" s="1016"/>
      <c r="F29" s="1016"/>
      <c r="G29" s="1016"/>
      <c r="H29" s="1016"/>
    </row>
    <row r="30" spans="1:10" ht="15" customHeight="1">
      <c r="A30" s="1214" t="s">
        <v>1043</v>
      </c>
      <c r="B30" s="1215"/>
      <c r="C30" s="1215"/>
      <c r="D30" s="1215"/>
      <c r="E30" s="1216"/>
      <c r="F30" s="1016"/>
      <c r="G30" s="1214" t="s">
        <v>1044</v>
      </c>
      <c r="H30" s="1216"/>
    </row>
    <row r="31" spans="1:10" ht="15" customHeight="1">
      <c r="A31" s="1212" t="s">
        <v>1045</v>
      </c>
      <c r="B31" s="1212"/>
      <c r="C31" s="1212"/>
      <c r="D31" s="1212"/>
      <c r="E31" s="1212"/>
      <c r="G31" s="1206"/>
      <c r="H31" s="1206"/>
      <c r="I31" s="1204" t="str">
        <f>IF(ISBLANK($G$31)=TRUE,"Amount Missing"," ")</f>
        <v>Amount Missing</v>
      </c>
      <c r="J31" s="1205"/>
    </row>
    <row r="32" spans="1:10" ht="24" customHeight="1">
      <c r="A32" s="1212" t="s">
        <v>1046</v>
      </c>
      <c r="B32" s="1212"/>
      <c r="C32" s="1212"/>
      <c r="D32" s="1212"/>
      <c r="E32" s="1212"/>
      <c r="G32" s="1206"/>
      <c r="H32" s="1206"/>
    </row>
    <row r="33" spans="1:8" ht="15" customHeight="1">
      <c r="A33" s="1210"/>
      <c r="B33" s="1210"/>
      <c r="C33" s="1210"/>
      <c r="D33" s="1210"/>
      <c r="E33" s="1210"/>
      <c r="G33" s="1213"/>
      <c r="H33" s="1213"/>
    </row>
    <row r="34" spans="1:8" ht="15" customHeight="1">
      <c r="A34" s="1210"/>
      <c r="B34" s="1210"/>
      <c r="C34" s="1210"/>
      <c r="D34" s="1210"/>
      <c r="E34" s="1210"/>
      <c r="G34" s="1206"/>
      <c r="H34" s="1206"/>
    </row>
    <row r="35" spans="1:8" ht="15" customHeight="1">
      <c r="A35" s="1211"/>
      <c r="B35" s="1211"/>
      <c r="C35" s="1211"/>
      <c r="D35" s="1211"/>
      <c r="E35" s="1211"/>
      <c r="G35" s="1206"/>
      <c r="H35" s="1206"/>
    </row>
    <row r="36" spans="1:8" ht="15" customHeight="1">
      <c r="A36" s="1210"/>
      <c r="B36" s="1210"/>
      <c r="C36" s="1210"/>
      <c r="D36" s="1210"/>
      <c r="E36" s="1210"/>
      <c r="G36" s="1206"/>
      <c r="H36" s="1206"/>
    </row>
    <row r="37" spans="1:8" ht="15" customHeight="1">
      <c r="A37" s="1210"/>
      <c r="B37" s="1210"/>
      <c r="C37" s="1210"/>
      <c r="D37" s="1210"/>
      <c r="E37" s="1210"/>
      <c r="G37" s="1206"/>
      <c r="H37" s="1206"/>
    </row>
    <row r="38" spans="1:8" ht="15" customHeight="1">
      <c r="A38" s="1210"/>
      <c r="B38" s="1210"/>
      <c r="C38" s="1210"/>
      <c r="D38" s="1210"/>
      <c r="E38" s="1210"/>
      <c r="G38" s="1206"/>
      <c r="H38" s="1206"/>
    </row>
    <row r="39" spans="1:8" ht="15" customHeight="1">
      <c r="A39" s="1210"/>
      <c r="B39" s="1210"/>
      <c r="C39" s="1210"/>
      <c r="D39" s="1210"/>
      <c r="E39" s="1210"/>
      <c r="G39" s="1206"/>
      <c r="H39" s="1206"/>
    </row>
    <row r="40" spans="1:8" ht="15" customHeight="1">
      <c r="A40" s="1210"/>
      <c r="B40" s="1210"/>
      <c r="C40" s="1210"/>
      <c r="D40" s="1210"/>
      <c r="E40" s="1210"/>
      <c r="G40" s="1206"/>
      <c r="H40" s="1206"/>
    </row>
    <row r="41" spans="1:8" ht="15" customHeight="1">
      <c r="A41" s="1210"/>
      <c r="B41" s="1210"/>
      <c r="C41" s="1210"/>
      <c r="D41" s="1210"/>
      <c r="E41" s="1210"/>
      <c r="G41" s="1206"/>
      <c r="H41" s="1206"/>
    </row>
    <row r="42" spans="1:8" ht="15" customHeight="1">
      <c r="G42" s="265"/>
      <c r="H42" s="265"/>
    </row>
    <row r="43" spans="1:8" ht="15" customHeight="1">
      <c r="G43" s="265"/>
      <c r="H43" s="265"/>
    </row>
    <row r="45" spans="1:8">
      <c r="A45" s="311"/>
      <c r="B45" s="308"/>
      <c r="C45" s="308"/>
      <c r="D45" s="308"/>
      <c r="E45" s="308"/>
      <c r="F45" s="264"/>
      <c r="G45" s="264"/>
    </row>
    <row r="46" spans="1:8">
      <c r="A46" s="309"/>
      <c r="B46" s="308"/>
      <c r="C46" s="308"/>
      <c r="D46" s="308"/>
      <c r="E46" s="308"/>
    </row>
    <row r="47" spans="1:8">
      <c r="A47" s="309"/>
      <c r="B47" s="308"/>
      <c r="C47" s="308"/>
      <c r="D47" s="308"/>
      <c r="E47" s="308"/>
      <c r="G47" s="1209"/>
      <c r="H47" s="1209"/>
    </row>
    <row r="48" spans="1:8">
      <c r="A48" s="309"/>
      <c r="B48" s="308"/>
      <c r="C48" s="308"/>
      <c r="D48" s="308"/>
      <c r="E48" s="308"/>
      <c r="G48" s="1017"/>
      <c r="H48" s="1017"/>
    </row>
    <row r="49" spans="1:8">
      <c r="A49" s="309"/>
      <c r="B49" s="308"/>
      <c r="C49" s="308"/>
      <c r="D49" s="310"/>
      <c r="E49" s="310"/>
      <c r="G49" s="1209"/>
      <c r="H49" s="1209"/>
    </row>
    <row r="50" spans="1:8">
      <c r="A50" s="309"/>
      <c r="B50" s="308"/>
      <c r="C50" s="308"/>
      <c r="D50" s="310"/>
      <c r="E50" s="310"/>
      <c r="F50" s="1016"/>
      <c r="G50" s="1207"/>
      <c r="H50" s="1208"/>
    </row>
    <row r="51" spans="1:8">
      <c r="A51" s="309"/>
      <c r="B51" s="308"/>
      <c r="C51" s="308"/>
      <c r="D51" s="310"/>
      <c r="E51" s="310"/>
      <c r="F51" s="1016"/>
      <c r="G51" s="1016"/>
      <c r="H51" s="1016"/>
    </row>
    <row r="52" spans="1:8">
      <c r="A52" s="309"/>
      <c r="B52" s="308"/>
      <c r="C52" s="308"/>
      <c r="D52" s="308"/>
      <c r="E52" s="308"/>
      <c r="F52" s="1016"/>
      <c r="G52" s="1016"/>
      <c r="H52" s="1016"/>
    </row>
  </sheetData>
  <sheetProtection algorithmName="SHA-512" hashValue="G7CoAz8/jwq4DMJkDhezKecyA2yZfS83rEn6CUAeItQ28ME1Rt0yzLJ39QF0Z4kWaqmD9vNZpx9pMCh2eVZyVA==" saltValue="F4vT/1bkqe5/0KI1Sw4SrQ==" spinCount="100000" sheet="1" objects="1" scenarios="1" autoFilter="0"/>
  <mergeCells count="36">
    <mergeCell ref="I1:I3"/>
    <mergeCell ref="A1:H1"/>
    <mergeCell ref="A2:H2"/>
    <mergeCell ref="A3:H3"/>
    <mergeCell ref="E6:H6"/>
    <mergeCell ref="A30:E30"/>
    <mergeCell ref="G30:H30"/>
    <mergeCell ref="A4:H4"/>
    <mergeCell ref="E7:H7"/>
    <mergeCell ref="E8:H8"/>
    <mergeCell ref="A31:E31"/>
    <mergeCell ref="A33:E33"/>
    <mergeCell ref="G37:H37"/>
    <mergeCell ref="G33:H33"/>
    <mergeCell ref="A40:E40"/>
    <mergeCell ref="A32:E32"/>
    <mergeCell ref="G32:H32"/>
    <mergeCell ref="G38:H38"/>
    <mergeCell ref="A34:E34"/>
    <mergeCell ref="G34:H34"/>
    <mergeCell ref="G31:H31"/>
    <mergeCell ref="A41:E41"/>
    <mergeCell ref="G40:H40"/>
    <mergeCell ref="A39:E39"/>
    <mergeCell ref="A35:E35"/>
    <mergeCell ref="G35:H35"/>
    <mergeCell ref="A36:E36"/>
    <mergeCell ref="A38:E38"/>
    <mergeCell ref="G36:H36"/>
    <mergeCell ref="A37:E37"/>
    <mergeCell ref="I31:J31"/>
    <mergeCell ref="G39:H39"/>
    <mergeCell ref="G50:H50"/>
    <mergeCell ref="G41:H41"/>
    <mergeCell ref="G49:H49"/>
    <mergeCell ref="G47:H47"/>
  </mergeCells>
  <phoneticPr fontId="43" type="noConversion"/>
  <conditionalFormatting sqref="I1:I4">
    <cfRule type="cellIs" dxfId="5" priority="3" stopIfTrue="1" operator="equal">
      <formula>"na"</formula>
    </cfRule>
  </conditionalFormatting>
  <conditionalFormatting sqref="I31">
    <cfRule type="containsText" dxfId="4" priority="1" stopIfTrue="1" operator="containsText" text="Valuation Missing">
      <formula>NOT(ISERROR(SEARCH("Valuation Missing",I31)))</formula>
    </cfRule>
  </conditionalFormatting>
  <hyperlinks>
    <hyperlink ref="A1:H1" location="Index!A1" display="Index!A1" xr:uid="{00000000-0004-0000-1700-000000000000}"/>
  </hyperlinks>
  <printOptions horizontalCentered="1"/>
  <pageMargins left="0.5" right="0.25" top="0.5" bottom="0.25" header="0.5" footer="0.2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N50"/>
  <sheetViews>
    <sheetView showGridLines="0" zoomScaleNormal="100" workbookViewId="0">
      <selection activeCell="K24" sqref="K24"/>
    </sheetView>
  </sheetViews>
  <sheetFormatPr defaultColWidth="10.7109375" defaultRowHeight="15.6"/>
  <cols>
    <col min="1" max="1" width="18.28515625" style="251" customWidth="1"/>
    <col min="2" max="2" width="16.28515625" style="251" customWidth="1"/>
    <col min="3" max="3" width="2" style="251" customWidth="1"/>
    <col min="4" max="4" width="17.7109375" style="251" customWidth="1"/>
    <col min="5" max="5" width="2.140625" style="251" customWidth="1"/>
    <col min="6" max="6" width="15" style="251" customWidth="1"/>
    <col min="7" max="7" width="10.7109375" style="251" hidden="1" customWidth="1"/>
    <col min="8" max="8" width="15.85546875" style="251" customWidth="1"/>
    <col min="9" max="9" width="2" style="251" customWidth="1"/>
    <col min="10" max="10" width="15.42578125" style="251" customWidth="1"/>
    <col min="11" max="11" width="2" style="251" customWidth="1"/>
    <col min="12" max="12" width="52.7109375" style="251" customWidth="1"/>
    <col min="13" max="13" width="8.42578125" style="251" customWidth="1"/>
    <col min="14" max="14" width="24.42578125" style="251" customWidth="1"/>
    <col min="15" max="16384" width="10.7109375" style="251"/>
  </cols>
  <sheetData>
    <row r="1" spans="1:14" ht="25.2" customHeight="1">
      <c r="A1" s="1165" t="str">
        <f>+Index!$A$1</f>
        <v>Office of the State Controller</v>
      </c>
      <c r="B1" s="1165"/>
      <c r="C1" s="1165"/>
      <c r="D1" s="1165"/>
      <c r="E1" s="1165"/>
      <c r="F1" s="1165"/>
      <c r="G1" s="1165"/>
      <c r="H1" s="1165"/>
      <c r="I1" s="1165"/>
      <c r="J1" s="1165"/>
      <c r="K1" s="1165"/>
      <c r="L1" s="1165"/>
      <c r="M1" s="666" t="str">
        <f>IF(Index!$B$65="na","NA","")</f>
        <v/>
      </c>
      <c r="N1" s="268"/>
    </row>
    <row r="2" spans="1:14" ht="15" customHeight="1">
      <c r="A2" s="1198" t="str">
        <f>+Index!$A$2</f>
        <v>2023 Year-End ACFR Package</v>
      </c>
      <c r="B2" s="1198"/>
      <c r="C2" s="1198"/>
      <c r="D2" s="1198"/>
      <c r="E2" s="1198"/>
      <c r="F2" s="1198"/>
      <c r="G2" s="1198"/>
      <c r="H2" s="1198"/>
      <c r="I2" s="1198"/>
      <c r="J2" s="1198"/>
      <c r="K2" s="1198"/>
      <c r="L2" s="1198"/>
      <c r="M2" s="666"/>
      <c r="N2" s="268"/>
    </row>
    <row r="3" spans="1:14" ht="15" customHeight="1">
      <c r="A3" s="1198" t="s">
        <v>1047</v>
      </c>
      <c r="B3" s="1198"/>
      <c r="C3" s="1198"/>
      <c r="D3" s="1198"/>
      <c r="E3" s="1198"/>
      <c r="F3" s="1198"/>
      <c r="G3" s="1198"/>
      <c r="H3" s="1198"/>
      <c r="I3" s="1198"/>
      <c r="J3" s="1198"/>
      <c r="K3" s="1198"/>
      <c r="L3" s="1198"/>
      <c r="M3" s="666"/>
      <c r="N3" s="268"/>
    </row>
    <row r="4" spans="1:14" ht="15" customHeight="1">
      <c r="A4" s="1222" t="s">
        <v>1048</v>
      </c>
      <c r="B4" s="1222"/>
      <c r="C4" s="1222"/>
      <c r="D4" s="1222"/>
      <c r="E4" s="1222"/>
      <c r="F4" s="1222"/>
      <c r="G4" s="1222"/>
      <c r="H4" s="1222"/>
      <c r="I4" s="1222"/>
      <c r="J4" s="1222"/>
      <c r="K4" s="1222"/>
      <c r="L4" s="1222"/>
      <c r="M4" s="1222"/>
      <c r="N4" s="1222"/>
    </row>
    <row r="5" spans="1:14" ht="15" customHeight="1">
      <c r="A5" s="269" t="s">
        <v>479</v>
      </c>
      <c r="B5" s="1015" t="str">
        <f>+Index!$D$10</f>
        <v>C0</v>
      </c>
      <c r="C5" s="270"/>
      <c r="D5" s="270"/>
      <c r="E5" s="271" t="s">
        <v>481</v>
      </c>
      <c r="F5" s="1200" t="str">
        <f>CONCATENATE(Index!$D$11," ",Index!$D$12)</f>
        <v xml:space="preserve"> </v>
      </c>
      <c r="G5" s="1200"/>
      <c r="H5" s="1200"/>
      <c r="I5" s="1200"/>
      <c r="J5" s="1200"/>
      <c r="K5" s="1200"/>
      <c r="L5" s="1019"/>
      <c r="M5" s="268"/>
      <c r="N5" s="268"/>
    </row>
    <row r="6" spans="1:14" ht="15" customHeight="1">
      <c r="A6" s="269" t="s">
        <v>480</v>
      </c>
      <c r="B6" s="1200" t="str">
        <f>+Index!$D$9</f>
        <v>Alamance Community College</v>
      </c>
      <c r="C6" s="1200"/>
      <c r="D6" s="1200"/>
      <c r="E6" s="1200"/>
      <c r="F6" s="1200"/>
      <c r="G6" s="1200"/>
      <c r="H6" s="1200"/>
      <c r="I6" s="1200"/>
      <c r="J6" s="1200"/>
      <c r="K6" s="1200"/>
      <c r="L6" s="259"/>
      <c r="M6" s="268"/>
      <c r="N6" s="268"/>
    </row>
    <row r="7" spans="1:14" ht="15" customHeight="1" thickBot="1">
      <c r="A7" s="652"/>
      <c r="B7" s="652"/>
      <c r="C7" s="652"/>
      <c r="D7" s="652"/>
      <c r="E7" s="653"/>
      <c r="F7" s="652"/>
      <c r="G7" s="652"/>
      <c r="H7" s="652"/>
      <c r="I7" s="652"/>
      <c r="J7" s="652"/>
      <c r="K7" s="652"/>
      <c r="L7" s="652"/>
      <c r="M7" s="268"/>
      <c r="N7" s="268"/>
    </row>
    <row r="8" spans="1:14" ht="16.2" thickBot="1">
      <c r="A8" s="668" t="s">
        <v>1049</v>
      </c>
      <c r="B8" s="655"/>
      <c r="C8" s="654"/>
      <c r="D8" s="655"/>
      <c r="E8" s="656"/>
      <c r="F8" s="654" t="s">
        <v>1050</v>
      </c>
      <c r="G8" s="654" t="s">
        <v>146</v>
      </c>
      <c r="H8" s="655"/>
      <c r="I8" s="654"/>
      <c r="J8" s="655"/>
      <c r="K8" s="656"/>
      <c r="L8" s="259"/>
      <c r="M8" s="268"/>
      <c r="N8" s="268"/>
    </row>
    <row r="9" spans="1:14" ht="15.75" customHeight="1">
      <c r="A9" s="657"/>
      <c r="B9" s="657"/>
      <c r="C9" s="268"/>
      <c r="D9" s="268"/>
      <c r="E9" s="268"/>
      <c r="F9" s="268"/>
      <c r="G9" s="268"/>
      <c r="H9" s="268"/>
      <c r="I9" s="268"/>
      <c r="J9" s="657" t="s">
        <v>1051</v>
      </c>
      <c r="K9" s="268"/>
      <c r="L9" s="268"/>
      <c r="M9" s="268"/>
      <c r="N9" s="268"/>
    </row>
    <row r="10" spans="1:14" ht="17.25" customHeight="1" thickBot="1">
      <c r="A10" s="1221" t="s">
        <v>1052</v>
      </c>
      <c r="B10" s="1221"/>
      <c r="C10" s="259"/>
      <c r="D10" s="1018" t="s">
        <v>994</v>
      </c>
      <c r="E10" s="656"/>
      <c r="F10" s="1221" t="s">
        <v>995</v>
      </c>
      <c r="G10" s="1221"/>
      <c r="H10" s="1221"/>
      <c r="I10" s="259"/>
      <c r="J10" s="1018" t="s">
        <v>1053</v>
      </c>
      <c r="K10" s="656"/>
      <c r="L10" s="1018" t="s">
        <v>998</v>
      </c>
      <c r="M10" s="268"/>
      <c r="N10" s="268"/>
    </row>
    <row r="11" spans="1:14" ht="20.100000000000001" customHeight="1">
      <c r="A11" s="1223"/>
      <c r="B11" s="1223"/>
      <c r="C11" s="259"/>
      <c r="D11" s="255"/>
      <c r="E11" s="259"/>
      <c r="F11" s="989"/>
      <c r="G11" s="673"/>
      <c r="H11" s="989"/>
      <c r="I11" s="307"/>
      <c r="J11" s="989"/>
      <c r="K11" s="259"/>
      <c r="L11" s="254"/>
      <c r="M11" s="268"/>
      <c r="N11" s="268"/>
    </row>
    <row r="12" spans="1:14" ht="20.100000000000001" customHeight="1">
      <c r="A12" s="1220"/>
      <c r="B12" s="1220"/>
      <c r="C12" s="259"/>
      <c r="D12" s="255"/>
      <c r="E12" s="259"/>
      <c r="F12" s="989"/>
      <c r="G12" s="673"/>
      <c r="H12" s="989"/>
      <c r="I12" s="307"/>
      <c r="J12" s="989"/>
      <c r="K12" s="259"/>
      <c r="L12" s="254"/>
      <c r="M12" s="268"/>
      <c r="N12" s="268"/>
    </row>
    <row r="13" spans="1:14" ht="20.100000000000001" customHeight="1">
      <c r="A13" s="1220"/>
      <c r="B13" s="1220"/>
      <c r="C13" s="259"/>
      <c r="D13" s="255"/>
      <c r="E13" s="259"/>
      <c r="F13" s="989"/>
      <c r="G13" s="673"/>
      <c r="H13" s="989"/>
      <c r="I13" s="307"/>
      <c r="J13" s="989"/>
      <c r="K13" s="259"/>
      <c r="L13" s="254"/>
      <c r="M13" s="268"/>
      <c r="N13" s="268"/>
    </row>
    <row r="14" spans="1:14" ht="20.100000000000001" customHeight="1">
      <c r="A14" s="1220"/>
      <c r="B14" s="1220"/>
      <c r="C14" s="259"/>
      <c r="D14" s="255"/>
      <c r="E14" s="259"/>
      <c r="F14" s="989"/>
      <c r="G14" s="673"/>
      <c r="H14" s="989"/>
      <c r="I14" s="307"/>
      <c r="J14" s="989"/>
      <c r="K14" s="259"/>
      <c r="L14" s="254"/>
      <c r="M14" s="268"/>
      <c r="N14" s="268"/>
    </row>
    <row r="15" spans="1:14" ht="20.100000000000001" customHeight="1">
      <c r="A15" s="1220"/>
      <c r="B15" s="1220"/>
      <c r="C15" s="259"/>
      <c r="D15" s="255"/>
      <c r="E15" s="259"/>
      <c r="F15" s="989"/>
      <c r="G15" s="673"/>
      <c r="H15" s="989"/>
      <c r="I15" s="307"/>
      <c r="J15" s="989"/>
      <c r="K15" s="259"/>
      <c r="L15" s="254"/>
      <c r="M15" s="674"/>
      <c r="N15" s="268"/>
    </row>
    <row r="16" spans="1:14" ht="20.100000000000001" customHeight="1">
      <c r="A16" s="1220"/>
      <c r="B16" s="1220"/>
      <c r="C16" s="259"/>
      <c r="D16" s="255"/>
      <c r="E16" s="259"/>
      <c r="F16" s="989"/>
      <c r="G16" s="673"/>
      <c r="H16" s="989"/>
      <c r="I16" s="307"/>
      <c r="J16" s="989"/>
      <c r="K16" s="259"/>
      <c r="L16" s="254"/>
      <c r="M16" s="268"/>
      <c r="N16" s="268"/>
    </row>
    <row r="17" spans="1:14" ht="20.100000000000001" customHeight="1">
      <c r="A17" s="1220"/>
      <c r="B17" s="1220"/>
      <c r="C17" s="259"/>
      <c r="D17" s="255"/>
      <c r="E17" s="259"/>
      <c r="F17" s="989"/>
      <c r="G17" s="673"/>
      <c r="H17" s="989"/>
      <c r="I17" s="307"/>
      <c r="J17" s="989"/>
      <c r="K17" s="259"/>
      <c r="L17" s="254"/>
      <c r="M17" s="268"/>
      <c r="N17" s="268"/>
    </row>
    <row r="18" spans="1:14" ht="20.100000000000001" customHeight="1">
      <c r="A18" s="1220"/>
      <c r="B18" s="1220"/>
      <c r="C18" s="259"/>
      <c r="D18" s="255"/>
      <c r="E18" s="259"/>
      <c r="F18" s="989"/>
      <c r="G18" s="673"/>
      <c r="H18" s="989"/>
      <c r="I18" s="307"/>
      <c r="J18" s="989"/>
      <c r="K18" s="259"/>
      <c r="L18" s="254"/>
      <c r="M18" s="268"/>
      <c r="N18" s="268"/>
    </row>
    <row r="19" spans="1:14" ht="20.100000000000001" customHeight="1">
      <c r="A19" s="1220"/>
      <c r="B19" s="1220"/>
      <c r="C19" s="259"/>
      <c r="D19" s="255"/>
      <c r="E19" s="259"/>
      <c r="F19" s="989"/>
      <c r="G19" s="673"/>
      <c r="H19" s="989"/>
      <c r="I19" s="307"/>
      <c r="J19" s="989"/>
      <c r="K19" s="259"/>
      <c r="L19" s="254"/>
      <c r="M19" s="268"/>
      <c r="N19" s="268"/>
    </row>
    <row r="20" spans="1:14" ht="20.100000000000001" customHeight="1">
      <c r="A20" s="1220"/>
      <c r="B20" s="1220"/>
      <c r="C20" s="259"/>
      <c r="D20" s="255"/>
      <c r="E20" s="259"/>
      <c r="F20" s="989"/>
      <c r="G20" s="673"/>
      <c r="H20" s="989"/>
      <c r="I20" s="307"/>
      <c r="J20" s="989"/>
      <c r="K20" s="259"/>
      <c r="L20" s="254"/>
      <c r="M20" s="268"/>
      <c r="N20" s="268"/>
    </row>
    <row r="21" spans="1:14" ht="20.100000000000001" customHeight="1">
      <c r="A21" s="1220"/>
      <c r="B21" s="1220"/>
      <c r="C21" s="259"/>
      <c r="D21" s="255"/>
      <c r="E21" s="259"/>
      <c r="F21" s="989"/>
      <c r="G21" s="673"/>
      <c r="H21" s="989"/>
      <c r="I21" s="307"/>
      <c r="J21" s="989"/>
      <c r="K21" s="259"/>
      <c r="L21" s="254"/>
      <c r="M21" s="268"/>
      <c r="N21" s="268"/>
    </row>
    <row r="22" spans="1:14" ht="20.100000000000001" customHeight="1">
      <c r="A22" s="1220"/>
      <c r="B22" s="1220"/>
      <c r="C22" s="259"/>
      <c r="D22" s="255"/>
      <c r="E22" s="259"/>
      <c r="F22" s="989"/>
      <c r="G22" s="673"/>
      <c r="H22" s="989"/>
      <c r="I22" s="307"/>
      <c r="J22" s="989"/>
      <c r="K22" s="259"/>
      <c r="L22" s="254"/>
      <c r="M22" s="268"/>
      <c r="N22" s="268"/>
    </row>
    <row r="23" spans="1:14" ht="20.100000000000001" customHeight="1">
      <c r="A23" s="1220"/>
      <c r="B23" s="1220"/>
      <c r="C23" s="259"/>
      <c r="D23" s="255"/>
      <c r="E23" s="259"/>
      <c r="F23" s="989"/>
      <c r="G23" s="673"/>
      <c r="H23" s="989"/>
      <c r="I23" s="307"/>
      <c r="J23" s="989"/>
      <c r="K23" s="259"/>
      <c r="L23" s="254"/>
      <c r="M23" s="268"/>
      <c r="N23" s="268"/>
    </row>
    <row r="24" spans="1:14" ht="20.100000000000001" customHeight="1">
      <c r="A24" s="1220"/>
      <c r="B24" s="1220"/>
      <c r="C24" s="259"/>
      <c r="D24" s="255"/>
      <c r="E24" s="259"/>
      <c r="F24" s="989"/>
      <c r="G24" s="673"/>
      <c r="H24" s="989"/>
      <c r="I24" s="307"/>
      <c r="J24" s="989"/>
      <c r="K24" s="259"/>
      <c r="L24" s="254"/>
      <c r="M24" s="268"/>
      <c r="N24" s="268"/>
    </row>
    <row r="25" spans="1:14" ht="20.100000000000001" customHeight="1">
      <c r="A25" s="1220"/>
      <c r="B25" s="1220"/>
      <c r="C25" s="259"/>
      <c r="D25" s="255"/>
      <c r="E25" s="259"/>
      <c r="F25" s="989"/>
      <c r="G25" s="673"/>
      <c r="H25" s="989"/>
      <c r="I25" s="307"/>
      <c r="J25" s="989"/>
      <c r="K25" s="259"/>
      <c r="L25" s="254"/>
      <c r="M25" s="268"/>
      <c r="N25" s="268"/>
    </row>
    <row r="26" spans="1:14" ht="20.100000000000001" customHeight="1">
      <c r="A26" s="1220"/>
      <c r="B26" s="1220"/>
      <c r="C26" s="259"/>
      <c r="D26" s="255"/>
      <c r="E26" s="259"/>
      <c r="F26" s="989"/>
      <c r="G26" s="673"/>
      <c r="H26" s="989"/>
      <c r="I26" s="307"/>
      <c r="J26" s="989"/>
      <c r="K26" s="259"/>
      <c r="L26" s="254"/>
      <c r="M26" s="268"/>
      <c r="N26" s="268"/>
    </row>
    <row r="27" spans="1:14" ht="20.100000000000001" customHeight="1" thickBot="1">
      <c r="A27" s="259"/>
      <c r="B27" s="656" t="s">
        <v>999</v>
      </c>
      <c r="C27" s="259"/>
      <c r="D27" s="662">
        <f>SUM(D11:D26)</f>
        <v>0</v>
      </c>
      <c r="E27" s="259"/>
      <c r="F27" s="663" t="s">
        <v>1054</v>
      </c>
      <c r="G27" s="259"/>
      <c r="H27" s="259"/>
      <c r="I27" s="656"/>
      <c r="J27" s="259"/>
      <c r="K27" s="259"/>
      <c r="L27" s="259"/>
      <c r="M27" s="268"/>
      <c r="N27" s="268"/>
    </row>
    <row r="28" spans="1:14" ht="20.100000000000001" customHeight="1">
      <c r="A28" s="656" t="s">
        <v>146</v>
      </c>
      <c r="B28" s="259"/>
      <c r="C28" s="656"/>
      <c r="D28" s="259"/>
      <c r="E28" s="259"/>
      <c r="F28" s="1190" t="str">
        <f>IF('ExhA&amp;B'!D16='616'!D27," ","Problem: does not agree to Exhibit A Due from College Component Units")</f>
        <v xml:space="preserve"> </v>
      </c>
      <c r="G28" s="1190"/>
      <c r="H28" s="1190"/>
      <c r="I28" s="1190"/>
      <c r="J28" s="1190"/>
      <c r="K28" s="1190"/>
      <c r="L28" s="1190"/>
      <c r="M28" s="268"/>
      <c r="N28" s="268"/>
    </row>
    <row r="29" spans="1:14" ht="25.65" customHeight="1">
      <c r="A29" s="259"/>
      <c r="B29" s="259"/>
      <c r="C29" s="259"/>
      <c r="D29" s="259"/>
      <c r="E29" s="259"/>
      <c r="F29" s="259"/>
      <c r="G29" s="259"/>
      <c r="H29" s="259"/>
      <c r="I29" s="259"/>
      <c r="J29" s="259"/>
      <c r="K29" s="259"/>
      <c r="L29" s="259"/>
      <c r="M29" s="268"/>
      <c r="N29" s="268"/>
    </row>
    <row r="30" spans="1:14" ht="25.65" customHeight="1"/>
    <row r="31" spans="1:14" ht="25.65" customHeight="1"/>
    <row r="32" spans="1:14" ht="25.65" customHeight="1"/>
    <row r="33" spans="1:9" ht="20.85" customHeight="1"/>
    <row r="34" spans="1:9" ht="20.85" customHeight="1"/>
    <row r="35" spans="1:9" ht="20.85" customHeight="1"/>
    <row r="36" spans="1:9" ht="20.85" customHeight="1"/>
    <row r="37" spans="1:9" ht="20.85" customHeight="1"/>
    <row r="38" spans="1:9" ht="20.85" customHeight="1"/>
    <row r="39" spans="1:9" ht="20.85" customHeight="1">
      <c r="A39" s="257" t="s">
        <v>146</v>
      </c>
      <c r="B39" s="257"/>
      <c r="C39" s="257"/>
      <c r="D39" s="257"/>
      <c r="E39" s="257"/>
      <c r="F39" s="257"/>
      <c r="G39" s="257" t="s">
        <v>146</v>
      </c>
    </row>
    <row r="40" spans="1:9" ht="20.85" customHeight="1">
      <c r="A40" s="257" t="s">
        <v>146</v>
      </c>
      <c r="G40" s="257" t="s">
        <v>146</v>
      </c>
      <c r="H40" s="258" t="s">
        <v>146</v>
      </c>
      <c r="I40" s="258"/>
    </row>
    <row r="41" spans="1:9" ht="20.85" customHeight="1"/>
    <row r="42" spans="1:9" ht="20.85" customHeight="1"/>
    <row r="43" spans="1:9" ht="20.85" customHeight="1"/>
    <row r="44" spans="1:9" ht="20.85" customHeight="1"/>
    <row r="45" spans="1:9" ht="20.85" customHeight="1"/>
    <row r="46" spans="1:9" ht="20.85" customHeight="1"/>
    <row r="47" spans="1:9" ht="20.85" customHeight="1">
      <c r="A47" s="251" t="s">
        <v>146</v>
      </c>
    </row>
    <row r="48" spans="1:9" ht="20.85" customHeight="1"/>
    <row r="49" spans="1:9" ht="20.85" customHeight="1"/>
    <row r="50" spans="1:9" ht="20.85" customHeight="1">
      <c r="A50" s="257" t="s">
        <v>146</v>
      </c>
      <c r="G50" s="257" t="s">
        <v>146</v>
      </c>
      <c r="H50" s="258" t="s">
        <v>146</v>
      </c>
      <c r="I50" s="258"/>
    </row>
  </sheetData>
  <sheetProtection algorithmName="SHA-512" hashValue="0LXH5znYyfBtJjtkhv6KRV+a3z8Oz+Z0dPf6SfkFJy9Qkz6lvzto+4jD3MI2+PnRXmyn3gK3D7Pbg4TTWwpYSg==" saltValue="XO2jZ0AZHbslZKuh2AIgbA==" spinCount="100000" sheet="1" objects="1" scenarios="1" autoFilter="0"/>
  <dataConsolidate/>
  <mergeCells count="25">
    <mergeCell ref="F28:L28"/>
    <mergeCell ref="A1:L1"/>
    <mergeCell ref="A2:L2"/>
    <mergeCell ref="A3:L3"/>
    <mergeCell ref="A10:B10"/>
    <mergeCell ref="A4:N4"/>
    <mergeCell ref="F10:H10"/>
    <mergeCell ref="F5:K5"/>
    <mergeCell ref="B6:K6"/>
    <mergeCell ref="A11:B11"/>
    <mergeCell ref="A12:B12"/>
    <mergeCell ref="A13:B13"/>
    <mergeCell ref="A14:B14"/>
    <mergeCell ref="A15:B15"/>
    <mergeCell ref="A16:B16"/>
    <mergeCell ref="A17:B17"/>
    <mergeCell ref="A23:B23"/>
    <mergeCell ref="A24:B24"/>
    <mergeCell ref="A25:B25"/>
    <mergeCell ref="A26:B26"/>
    <mergeCell ref="A18:B18"/>
    <mergeCell ref="A19:B19"/>
    <mergeCell ref="A20:B20"/>
    <mergeCell ref="A21:B21"/>
    <mergeCell ref="A22:B22"/>
  </mergeCells>
  <phoneticPr fontId="0" type="noConversion"/>
  <conditionalFormatting sqref="M1:M3">
    <cfRule type="cellIs" dxfId="3" priority="1" stopIfTrue="1" operator="equal">
      <formula>"na"</formula>
    </cfRule>
  </conditionalFormatting>
  <hyperlinks>
    <hyperlink ref="A1:L1" location="Index!A1" display="Index!A1" xr:uid="{00000000-0004-0000-1800-000000000000}"/>
  </hyperlinks>
  <printOptions horizontalCentered="1"/>
  <pageMargins left="0.5" right="0.25" top="0.5" bottom="0.25" header="0.5" footer="0.25"/>
  <pageSetup scale="8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W57"/>
  <sheetViews>
    <sheetView showGridLines="0" topLeftCell="B1" zoomScale="95" zoomScaleNormal="95" workbookViewId="0">
      <selection activeCell="K24" sqref="K24"/>
    </sheetView>
  </sheetViews>
  <sheetFormatPr defaultColWidth="19.42578125" defaultRowHeight="13.2"/>
  <cols>
    <col min="1" max="1" width="0" style="296" hidden="1" customWidth="1"/>
    <col min="2" max="2" width="24.140625" style="296" customWidth="1"/>
    <col min="3" max="3" width="1" style="296" customWidth="1"/>
    <col min="4" max="4" width="21.140625" style="296" bestFit="1" customWidth="1"/>
    <col min="5" max="5" width="1" style="296" customWidth="1"/>
    <col min="6" max="6" width="17.7109375" style="296" bestFit="1" customWidth="1"/>
    <col min="7" max="7" width="1" style="296" customWidth="1"/>
    <col min="8" max="8" width="17.7109375" style="296" bestFit="1" customWidth="1"/>
    <col min="9" max="9" width="1" style="296" customWidth="1"/>
    <col min="10" max="10" width="12.42578125" style="296" bestFit="1" customWidth="1"/>
    <col min="11" max="11" width="1" style="296" customWidth="1"/>
    <col min="12" max="12" width="10.42578125" style="296" customWidth="1"/>
    <col min="13" max="13" width="2.140625" style="296" customWidth="1"/>
    <col min="14" max="14" width="6.85546875" style="296" customWidth="1"/>
    <col min="15" max="15" width="2" style="296" customWidth="1"/>
    <col min="16" max="16" width="11.42578125" style="296" customWidth="1"/>
    <col min="17" max="17" width="2" style="296" customWidth="1"/>
    <col min="18" max="18" width="10.85546875" style="296" customWidth="1"/>
    <col min="19" max="21" width="2" style="296" customWidth="1"/>
    <col min="22" max="22" width="16" style="296" customWidth="1"/>
    <col min="23" max="23" width="5.42578125" style="296" customWidth="1"/>
    <col min="24" max="16384" width="19.42578125" style="296"/>
  </cols>
  <sheetData>
    <row r="1" spans="2:23" s="283" customFormat="1" ht="25.2" customHeight="1">
      <c r="B1" s="1113" t="str">
        <f>+Index!$A$1</f>
        <v>Office of the State Controller</v>
      </c>
      <c r="C1" s="1113"/>
      <c r="D1" s="1113"/>
      <c r="E1" s="1113"/>
      <c r="F1" s="1113"/>
      <c r="G1" s="1113"/>
      <c r="H1" s="1113"/>
      <c r="I1" s="1113"/>
      <c r="J1" s="1113"/>
      <c r="K1" s="1113"/>
      <c r="L1" s="1113"/>
      <c r="M1" s="1113"/>
      <c r="N1" s="1113"/>
      <c r="O1" s="1113"/>
      <c r="P1" s="1113"/>
      <c r="Q1" s="1113"/>
      <c r="R1" s="1113"/>
      <c r="S1" s="1113"/>
      <c r="T1" s="1113"/>
      <c r="U1" s="1113"/>
      <c r="V1" s="1113"/>
      <c r="W1" s="666" t="str">
        <f>IF(Index!$B$66="na","NA","")</f>
        <v/>
      </c>
    </row>
    <row r="2" spans="2:23" s="283" customFormat="1" ht="15" customHeight="1">
      <c r="B2" s="1114" t="str">
        <f>+Index!$A$2</f>
        <v>2023 Year-End ACFR Package</v>
      </c>
      <c r="C2" s="1114"/>
      <c r="D2" s="1114"/>
      <c r="E2" s="1114"/>
      <c r="F2" s="1114"/>
      <c r="G2" s="1114"/>
      <c r="H2" s="1114"/>
      <c r="I2" s="1114"/>
      <c r="J2" s="1114"/>
      <c r="K2" s="1114"/>
      <c r="L2" s="1114"/>
      <c r="M2" s="1114"/>
      <c r="N2" s="1114"/>
      <c r="O2" s="1114"/>
      <c r="P2" s="1114"/>
      <c r="Q2" s="1114"/>
      <c r="R2" s="1114"/>
      <c r="S2" s="1114"/>
      <c r="T2" s="1114"/>
      <c r="U2" s="1114"/>
      <c r="V2" s="1114"/>
      <c r="W2" s="666"/>
    </row>
    <row r="3" spans="2:23" s="283" customFormat="1" ht="15" customHeight="1">
      <c r="B3" s="1226" t="s">
        <v>1055</v>
      </c>
      <c r="C3" s="1226"/>
      <c r="D3" s="1226"/>
      <c r="E3" s="1226"/>
      <c r="F3" s="1226"/>
      <c r="G3" s="1226"/>
      <c r="H3" s="1226"/>
      <c r="I3" s="1226"/>
      <c r="J3" s="1226"/>
      <c r="K3" s="1226"/>
      <c r="L3" s="1226"/>
      <c r="M3" s="1226"/>
      <c r="N3" s="1226"/>
      <c r="O3" s="1226"/>
      <c r="P3" s="1226"/>
      <c r="Q3" s="1226"/>
      <c r="R3" s="1226"/>
      <c r="S3" s="1226"/>
      <c r="T3" s="1226"/>
      <c r="U3" s="1226"/>
      <c r="V3" s="1226"/>
      <c r="W3" s="666"/>
    </row>
    <row r="4" spans="2:23" s="284" customFormat="1" ht="15" customHeight="1">
      <c r="E4" s="514"/>
      <c r="F4" s="514"/>
      <c r="G4" s="514"/>
      <c r="H4" s="270"/>
      <c r="I4" s="271"/>
      <c r="J4" s="1227"/>
      <c r="K4" s="1227"/>
      <c r="L4" s="1227"/>
      <c r="M4" s="1227"/>
      <c r="N4" s="1227"/>
      <c r="O4" s="1227"/>
      <c r="P4" s="514"/>
      <c r="Q4" s="514"/>
      <c r="R4" s="514"/>
      <c r="S4" s="514"/>
      <c r="T4" s="514"/>
      <c r="U4" s="514"/>
    </row>
    <row r="5" spans="2:23" s="284" customFormat="1" ht="15" customHeight="1">
      <c r="B5" s="269" t="s">
        <v>479</v>
      </c>
      <c r="C5" s="370"/>
      <c r="D5" s="1020" t="str">
        <f>+Index!$D$10</f>
        <v>C0</v>
      </c>
      <c r="E5" s="515"/>
      <c r="F5" s="515"/>
      <c r="G5" s="515"/>
      <c r="H5" s="270"/>
      <c r="I5" s="271" t="s">
        <v>481</v>
      </c>
      <c r="J5" s="1199" t="str">
        <f>CONCATENATE(Index!$D$11," ",Index!$D$12)</f>
        <v xml:space="preserve"> </v>
      </c>
      <c r="K5" s="1199"/>
      <c r="L5" s="1199"/>
      <c r="M5" s="1199"/>
      <c r="N5" s="1199"/>
      <c r="O5" s="1199"/>
      <c r="P5" s="516"/>
      <c r="Q5" s="517"/>
      <c r="R5" s="517"/>
      <c r="S5" s="517"/>
      <c r="T5" s="517"/>
      <c r="U5" s="517"/>
      <c r="V5" s="517"/>
    </row>
    <row r="6" spans="2:23" s="284" customFormat="1" ht="15" customHeight="1">
      <c r="B6" s="269" t="s">
        <v>480</v>
      </c>
      <c r="C6" s="270"/>
      <c r="D6" s="1228" t="str">
        <f>+Index!$D$9</f>
        <v>Alamance Community College</v>
      </c>
      <c r="E6" s="1228"/>
      <c r="F6" s="1228"/>
      <c r="G6" s="1228"/>
      <c r="H6" s="1228"/>
      <c r="I6" s="1228"/>
      <c r="J6" s="1228"/>
      <c r="K6" s="1228"/>
      <c r="L6" s="1228"/>
      <c r="M6" s="1228"/>
      <c r="N6" s="518"/>
      <c r="O6" s="518"/>
      <c r="P6" s="518"/>
      <c r="Q6" s="518"/>
      <c r="R6" s="518"/>
      <c r="S6" s="518"/>
      <c r="T6" s="518"/>
      <c r="U6" s="518"/>
      <c r="V6" s="518"/>
    </row>
    <row r="7" spans="2:23" s="284" customFormat="1" ht="15" customHeight="1" thickBot="1">
      <c r="B7" s="519"/>
      <c r="C7" s="520"/>
      <c r="D7" s="520"/>
      <c r="E7" s="520"/>
      <c r="F7" s="520"/>
      <c r="G7" s="520"/>
      <c r="H7" s="521"/>
      <c r="I7" s="521"/>
      <c r="J7" s="521"/>
      <c r="K7" s="521"/>
      <c r="L7" s="521"/>
      <c r="M7" s="521"/>
      <c r="N7" s="521"/>
      <c r="O7" s="521"/>
      <c r="P7" s="521"/>
      <c r="Q7" s="521"/>
      <c r="R7" s="521"/>
      <c r="S7" s="521"/>
      <c r="T7" s="521"/>
      <c r="U7" s="521"/>
      <c r="V7" s="521"/>
    </row>
    <row r="8" spans="2:23" s="284" customFormat="1" ht="15" customHeight="1"/>
    <row r="9" spans="2:23" s="284" customFormat="1" ht="15" customHeight="1"/>
    <row r="10" spans="2:23" s="284" customFormat="1" ht="15" customHeight="1"/>
    <row r="11" spans="2:23" s="284" customFormat="1" ht="15" customHeight="1"/>
    <row r="12" spans="2:23" s="284" customFormat="1" ht="15" customHeight="1"/>
    <row r="13" spans="2:23" s="284" customFormat="1" ht="15" customHeight="1"/>
    <row r="14" spans="2:23" s="284" customFormat="1" ht="36.75" customHeight="1">
      <c r="B14" s="285" t="s">
        <v>1056</v>
      </c>
      <c r="C14" s="286"/>
      <c r="D14" s="285" t="s">
        <v>1057</v>
      </c>
      <c r="E14" s="286"/>
      <c r="F14" s="285" t="s">
        <v>1058</v>
      </c>
      <c r="G14" s="286"/>
      <c r="H14" s="285" t="s">
        <v>1059</v>
      </c>
      <c r="I14" s="286"/>
      <c r="J14" s="285" t="s">
        <v>1060</v>
      </c>
      <c r="K14" s="286"/>
      <c r="L14" s="1224" t="s">
        <v>1061</v>
      </c>
      <c r="M14" s="1224"/>
      <c r="N14" s="1224"/>
      <c r="O14" s="1224"/>
      <c r="P14" s="1224"/>
      <c r="Q14" s="1224"/>
      <c r="R14" s="1224"/>
      <c r="S14" s="1224"/>
      <c r="T14" s="1224"/>
      <c r="U14" s="1224"/>
      <c r="V14" s="1224"/>
    </row>
    <row r="15" spans="2:23" s="284" customFormat="1" ht="36" customHeight="1">
      <c r="B15" s="300"/>
      <c r="D15" s="287"/>
      <c r="E15" s="288"/>
      <c r="F15" s="287"/>
      <c r="G15" s="288"/>
      <c r="H15" s="289">
        <f t="shared" ref="H15:H23" si="0">+D15-F15</f>
        <v>0</v>
      </c>
      <c r="I15" s="290"/>
      <c r="J15" s="291" t="str">
        <f t="shared" ref="J15:J23" si="1">IF(ISERROR(+H15/F15),"",H15/F15)</f>
        <v/>
      </c>
      <c r="L15" s="1225"/>
      <c r="M15" s="1225"/>
      <c r="N15" s="1225"/>
      <c r="O15" s="1225"/>
      <c r="P15" s="1225"/>
      <c r="Q15" s="1225"/>
      <c r="R15" s="1225"/>
      <c r="S15" s="1225"/>
      <c r="T15" s="1225"/>
      <c r="U15" s="1225"/>
      <c r="V15" s="1225"/>
    </row>
    <row r="16" spans="2:23" s="284" customFormat="1" ht="36.75" customHeight="1">
      <c r="B16" s="300"/>
      <c r="D16" s="287"/>
      <c r="E16" s="288"/>
      <c r="F16" s="287"/>
      <c r="G16" s="288"/>
      <c r="H16" s="289">
        <f t="shared" si="0"/>
        <v>0</v>
      </c>
      <c r="I16" s="290"/>
      <c r="J16" s="291" t="str">
        <f t="shared" si="1"/>
        <v/>
      </c>
      <c r="L16" s="1225"/>
      <c r="M16" s="1225"/>
      <c r="N16" s="1225"/>
      <c r="O16" s="1225"/>
      <c r="P16" s="1225"/>
      <c r="Q16" s="1225"/>
      <c r="R16" s="1225"/>
      <c r="S16" s="1225"/>
      <c r="T16" s="1225"/>
      <c r="U16" s="1225"/>
      <c r="V16" s="1225"/>
    </row>
    <row r="17" spans="1:22" s="284" customFormat="1" ht="36.75" customHeight="1">
      <c r="B17" s="300"/>
      <c r="D17" s="287"/>
      <c r="E17" s="288"/>
      <c r="F17" s="287"/>
      <c r="G17" s="288"/>
      <c r="H17" s="289">
        <f t="shared" si="0"/>
        <v>0</v>
      </c>
      <c r="I17" s="290"/>
      <c r="J17" s="291" t="str">
        <f t="shared" si="1"/>
        <v/>
      </c>
      <c r="L17" s="1225"/>
      <c r="M17" s="1225"/>
      <c r="N17" s="1225"/>
      <c r="O17" s="1225"/>
      <c r="P17" s="1225"/>
      <c r="Q17" s="1225"/>
      <c r="R17" s="1225"/>
      <c r="S17" s="1225"/>
      <c r="T17" s="1225"/>
      <c r="U17" s="1225"/>
      <c r="V17" s="1225"/>
    </row>
    <row r="18" spans="1:22" s="284" customFormat="1" ht="36.75" customHeight="1">
      <c r="B18" s="300"/>
      <c r="D18" s="287"/>
      <c r="E18" s="288"/>
      <c r="F18" s="287"/>
      <c r="G18" s="288"/>
      <c r="H18" s="289">
        <f t="shared" si="0"/>
        <v>0</v>
      </c>
      <c r="I18" s="290"/>
      <c r="J18" s="291" t="str">
        <f t="shared" si="1"/>
        <v/>
      </c>
      <c r="L18" s="1225"/>
      <c r="M18" s="1225"/>
      <c r="N18" s="1225"/>
      <c r="O18" s="1225"/>
      <c r="P18" s="1225"/>
      <c r="Q18" s="1225"/>
      <c r="R18" s="1225"/>
      <c r="S18" s="1225"/>
      <c r="T18" s="1225"/>
      <c r="U18" s="1225"/>
      <c r="V18" s="1225"/>
    </row>
    <row r="19" spans="1:22" s="284" customFormat="1" ht="37.5" customHeight="1">
      <c r="B19" s="300"/>
      <c r="D19" s="287"/>
      <c r="E19" s="288"/>
      <c r="F19" s="287"/>
      <c r="G19" s="288"/>
      <c r="H19" s="289">
        <f t="shared" si="0"/>
        <v>0</v>
      </c>
      <c r="I19" s="290"/>
      <c r="J19" s="291" t="str">
        <f t="shared" si="1"/>
        <v/>
      </c>
      <c r="L19" s="1225"/>
      <c r="M19" s="1225"/>
      <c r="N19" s="1225"/>
      <c r="O19" s="1225"/>
      <c r="P19" s="1225"/>
      <c r="Q19" s="1225"/>
      <c r="R19" s="1225"/>
      <c r="S19" s="1225"/>
      <c r="T19" s="1225"/>
      <c r="U19" s="1225"/>
      <c r="V19" s="1225"/>
    </row>
    <row r="20" spans="1:22" s="284" customFormat="1" ht="36.75" customHeight="1">
      <c r="B20" s="300"/>
      <c r="D20" s="287"/>
      <c r="E20" s="288"/>
      <c r="F20" s="287"/>
      <c r="G20" s="288"/>
      <c r="H20" s="289">
        <f t="shared" si="0"/>
        <v>0</v>
      </c>
      <c r="I20" s="290"/>
      <c r="J20" s="291" t="str">
        <f t="shared" si="1"/>
        <v/>
      </c>
      <c r="L20" s="1225"/>
      <c r="M20" s="1225"/>
      <c r="N20" s="1225"/>
      <c r="O20" s="1225"/>
      <c r="P20" s="1225"/>
      <c r="Q20" s="1225"/>
      <c r="R20" s="1225"/>
      <c r="S20" s="1225"/>
      <c r="T20" s="1225"/>
      <c r="U20" s="1225"/>
      <c r="V20" s="1225"/>
    </row>
    <row r="21" spans="1:22" s="284" customFormat="1" ht="36" customHeight="1">
      <c r="B21" s="300"/>
      <c r="D21" s="287"/>
      <c r="E21" s="288"/>
      <c r="F21" s="287"/>
      <c r="G21" s="288"/>
      <c r="H21" s="289">
        <f t="shared" si="0"/>
        <v>0</v>
      </c>
      <c r="I21" s="290"/>
      <c r="J21" s="291" t="str">
        <f t="shared" si="1"/>
        <v/>
      </c>
      <c r="L21" s="1225"/>
      <c r="M21" s="1225"/>
      <c r="N21" s="1225"/>
      <c r="O21" s="1225"/>
      <c r="P21" s="1225"/>
      <c r="Q21" s="1225"/>
      <c r="R21" s="1225"/>
      <c r="S21" s="1225"/>
      <c r="T21" s="1225"/>
      <c r="U21" s="1225"/>
      <c r="V21" s="1225"/>
    </row>
    <row r="22" spans="1:22" s="284" customFormat="1" ht="36.75" customHeight="1">
      <c r="B22" s="300"/>
      <c r="D22" s="287"/>
      <c r="E22" s="288"/>
      <c r="F22" s="287"/>
      <c r="G22" s="288"/>
      <c r="H22" s="289">
        <f t="shared" si="0"/>
        <v>0</v>
      </c>
      <c r="I22" s="290"/>
      <c r="J22" s="291" t="str">
        <f t="shared" si="1"/>
        <v/>
      </c>
      <c r="L22" s="1225"/>
      <c r="M22" s="1225"/>
      <c r="N22" s="1225"/>
      <c r="O22" s="1225"/>
      <c r="P22" s="1225"/>
      <c r="Q22" s="1225"/>
      <c r="R22" s="1225"/>
      <c r="S22" s="1225"/>
      <c r="T22" s="1225"/>
      <c r="U22" s="1225"/>
      <c r="V22" s="1225"/>
    </row>
    <row r="23" spans="1:22" s="284" customFormat="1" ht="36.75" customHeight="1">
      <c r="B23" s="300"/>
      <c r="D23" s="287"/>
      <c r="E23" s="288"/>
      <c r="F23" s="287"/>
      <c r="G23" s="288"/>
      <c r="H23" s="289">
        <f t="shared" si="0"/>
        <v>0</v>
      </c>
      <c r="I23" s="290"/>
      <c r="J23" s="291" t="str">
        <f t="shared" si="1"/>
        <v/>
      </c>
      <c r="L23" s="1225"/>
      <c r="M23" s="1225"/>
      <c r="N23" s="1225"/>
      <c r="O23" s="1225"/>
      <c r="P23" s="1225"/>
      <c r="Q23" s="1225"/>
      <c r="R23" s="1225"/>
      <c r="S23" s="1225"/>
      <c r="T23" s="1225"/>
      <c r="U23" s="1225"/>
      <c r="V23" s="1225"/>
    </row>
    <row r="24" spans="1:22" s="284" customFormat="1" ht="15" customHeight="1">
      <c r="B24" s="292"/>
      <c r="D24" s="293"/>
      <c r="E24" s="288"/>
      <c r="F24" s="293"/>
      <c r="G24" s="288"/>
      <c r="H24" s="294"/>
      <c r="I24" s="290"/>
      <c r="J24" s="295"/>
      <c r="L24" s="1225"/>
      <c r="M24" s="1225"/>
      <c r="N24" s="1225"/>
      <c r="O24" s="1225"/>
      <c r="P24" s="1225"/>
      <c r="Q24" s="1225"/>
      <c r="R24" s="1225"/>
      <c r="S24" s="1225"/>
      <c r="T24" s="1225"/>
      <c r="U24" s="1225"/>
      <c r="V24" s="1225"/>
    </row>
    <row r="25" spans="1:22" s="284" customFormat="1" ht="15" customHeight="1">
      <c r="D25" s="288"/>
      <c r="E25" s="288"/>
      <c r="F25" s="288"/>
      <c r="G25" s="288"/>
      <c r="H25" s="288"/>
    </row>
    <row r="26" spans="1:22" s="284" customFormat="1" ht="15" customHeight="1"/>
    <row r="27" spans="1:22" s="284" customFormat="1" ht="21.75" customHeight="1">
      <c r="B27" s="292"/>
      <c r="C27" s="292"/>
      <c r="D27" s="292"/>
      <c r="E27" s="292"/>
      <c r="F27" s="292"/>
      <c r="G27" s="292"/>
      <c r="H27" s="292"/>
      <c r="I27" s="292"/>
      <c r="J27" s="292"/>
      <c r="K27" s="292"/>
      <c r="L27" s="292"/>
      <c r="M27" s="292"/>
      <c r="N27" s="292"/>
      <c r="O27" s="292"/>
      <c r="P27" s="292"/>
      <c r="Q27" s="292"/>
      <c r="R27" s="292"/>
      <c r="S27" s="292"/>
      <c r="T27" s="292"/>
      <c r="U27" s="292"/>
      <c r="V27" s="292"/>
    </row>
    <row r="28" spans="1:22" s="284" customFormat="1" ht="15" customHeight="1">
      <c r="B28" s="292"/>
      <c r="C28" s="292"/>
      <c r="D28" s="292"/>
      <c r="E28" s="292"/>
      <c r="F28" s="292"/>
      <c r="G28" s="292"/>
      <c r="H28" s="292"/>
      <c r="I28" s="292"/>
      <c r="J28" s="292"/>
      <c r="K28" s="292"/>
      <c r="L28" s="292"/>
      <c r="M28" s="292"/>
      <c r="N28" s="292"/>
      <c r="O28" s="292"/>
      <c r="P28" s="292"/>
      <c r="Q28" s="292"/>
      <c r="R28" s="292"/>
      <c r="S28" s="292"/>
      <c r="T28" s="292"/>
      <c r="U28" s="292"/>
      <c r="V28" s="292"/>
    </row>
    <row r="29" spans="1:22" ht="15.75" customHeight="1">
      <c r="A29" s="284"/>
      <c r="B29" s="284"/>
      <c r="C29" s="284"/>
      <c r="D29" s="284"/>
      <c r="E29" s="284"/>
      <c r="F29" s="284"/>
      <c r="G29" s="284"/>
      <c r="H29" s="284"/>
      <c r="I29" s="284"/>
      <c r="J29" s="284"/>
      <c r="K29" s="284"/>
      <c r="L29" s="284"/>
      <c r="M29" s="284"/>
      <c r="N29" s="284"/>
      <c r="O29" s="284"/>
      <c r="P29" s="297"/>
      <c r="Q29" s="297"/>
      <c r="R29" s="297"/>
      <c r="S29" s="297"/>
      <c r="T29" s="297"/>
      <c r="U29" s="297"/>
      <c r="V29" s="297"/>
    </row>
    <row r="30" spans="1:22" ht="15" customHeight="1">
      <c r="A30" s="298" t="str">
        <f ca="1">MID(CELL("filename",A10),FIND("]",CELL("filename",A10))+1,256)</f>
        <v>625</v>
      </c>
      <c r="B30" s="299"/>
      <c r="C30" s="284"/>
      <c r="D30" s="284"/>
      <c r="E30" s="284"/>
      <c r="F30" s="284"/>
      <c r="G30" s="284"/>
      <c r="H30" s="284"/>
      <c r="I30" s="284"/>
      <c r="J30" s="284"/>
      <c r="K30" s="284"/>
      <c r="L30" s="284"/>
      <c r="M30" s="284"/>
      <c r="N30" s="284"/>
      <c r="O30" s="284"/>
      <c r="P30" s="297"/>
      <c r="Q30" s="297"/>
      <c r="R30" s="297"/>
      <c r="S30" s="297"/>
      <c r="T30" s="297"/>
      <c r="U30" s="297"/>
      <c r="V30" s="297"/>
    </row>
    <row r="31" spans="1:22" ht="15" customHeight="1">
      <c r="A31" s="298" t="s">
        <v>657</v>
      </c>
      <c r="B31" s="299"/>
      <c r="C31" s="284"/>
      <c r="D31" s="284"/>
      <c r="E31" s="284"/>
      <c r="F31" s="284"/>
      <c r="G31" s="284"/>
      <c r="H31" s="284"/>
      <c r="I31" s="284"/>
      <c r="J31" s="284"/>
      <c r="K31" s="284"/>
      <c r="L31" s="284"/>
      <c r="M31" s="284"/>
      <c r="N31" s="284"/>
      <c r="O31" s="284"/>
      <c r="P31" s="297"/>
      <c r="Q31" s="297"/>
      <c r="R31" s="297"/>
      <c r="S31" s="297"/>
      <c r="T31" s="297"/>
      <c r="U31" s="297"/>
      <c r="V31" s="297"/>
    </row>
    <row r="32" spans="1:22" ht="15" customHeight="1">
      <c r="A32" s="298" t="s">
        <v>841</v>
      </c>
      <c r="B32" s="299"/>
      <c r="C32" s="284"/>
      <c r="D32" s="284"/>
      <c r="E32" s="284"/>
      <c r="F32" s="284"/>
      <c r="G32" s="284"/>
      <c r="H32" s="284"/>
      <c r="I32" s="284"/>
      <c r="J32" s="284"/>
      <c r="K32" s="284"/>
      <c r="L32" s="284"/>
      <c r="M32" s="284"/>
      <c r="N32" s="284"/>
      <c r="O32" s="284"/>
      <c r="P32" s="297"/>
      <c r="Q32" s="297"/>
      <c r="R32" s="297"/>
      <c r="S32" s="297"/>
      <c r="T32" s="297"/>
      <c r="U32" s="297"/>
      <c r="V32" s="297"/>
    </row>
    <row r="33" spans="1:22" ht="15" customHeight="1">
      <c r="A33" s="298" t="s">
        <v>842</v>
      </c>
      <c r="B33" s="298" t="e">
        <f t="shared" ref="B33:B40" ca="1" si="2">IF(ISNA(INDEX(ErrorTable,MATCH($A$30&amp;$A33&amp;FALSE,ErrorKey,0),6)),"",INDEX(ErrorTable,MATCH($A$30&amp;$A33&amp;FALSE,ErrorKey,0),6))</f>
        <v>#REF!</v>
      </c>
      <c r="C33" s="284"/>
      <c r="D33" s="284"/>
      <c r="E33" s="284"/>
      <c r="F33" s="284"/>
      <c r="G33" s="284"/>
      <c r="H33" s="284"/>
      <c r="I33" s="284"/>
      <c r="J33" s="284"/>
      <c r="K33" s="284"/>
      <c r="L33" s="284"/>
      <c r="M33" s="284"/>
      <c r="N33" s="284"/>
      <c r="O33" s="284"/>
      <c r="P33" s="297"/>
      <c r="Q33" s="297"/>
      <c r="R33" s="297"/>
      <c r="S33" s="297"/>
      <c r="T33" s="297"/>
      <c r="U33" s="297"/>
      <c r="V33" s="297"/>
    </row>
    <row r="34" spans="1:22" ht="15">
      <c r="A34" s="298" t="s">
        <v>843</v>
      </c>
      <c r="B34" s="298" t="e">
        <f t="shared" ca="1" si="2"/>
        <v>#REF!</v>
      </c>
      <c r="C34" s="284"/>
      <c r="D34" s="284"/>
      <c r="E34" s="284"/>
      <c r="F34" s="284"/>
      <c r="G34" s="284"/>
      <c r="H34" s="284"/>
      <c r="I34" s="284"/>
      <c r="J34" s="284"/>
      <c r="K34" s="284"/>
      <c r="L34" s="284"/>
      <c r="M34" s="284"/>
      <c r="N34" s="284"/>
      <c r="O34" s="284"/>
      <c r="P34" s="297"/>
      <c r="Q34" s="297"/>
      <c r="R34" s="297"/>
      <c r="S34" s="297"/>
      <c r="T34" s="297"/>
      <c r="U34" s="297"/>
      <c r="V34" s="297"/>
    </row>
    <row r="35" spans="1:22" ht="15">
      <c r="A35" s="298" t="s">
        <v>844</v>
      </c>
      <c r="B35" s="298" t="e">
        <f t="shared" ca="1" si="2"/>
        <v>#REF!</v>
      </c>
      <c r="C35" s="284"/>
      <c r="D35" s="284"/>
      <c r="E35" s="284"/>
      <c r="F35" s="284"/>
      <c r="G35" s="284"/>
      <c r="H35" s="284"/>
      <c r="I35" s="284"/>
      <c r="J35" s="284"/>
      <c r="K35" s="284"/>
      <c r="L35" s="284"/>
      <c r="M35" s="284"/>
      <c r="N35" s="284"/>
      <c r="O35" s="284"/>
      <c r="P35" s="297"/>
      <c r="Q35" s="297"/>
      <c r="R35" s="297"/>
      <c r="S35" s="297"/>
      <c r="T35" s="297"/>
      <c r="U35" s="297"/>
      <c r="V35" s="297"/>
    </row>
    <row r="36" spans="1:22" ht="15">
      <c r="A36" s="298" t="s">
        <v>845</v>
      </c>
      <c r="B36" s="298" t="e">
        <f t="shared" ca="1" si="2"/>
        <v>#REF!</v>
      </c>
      <c r="C36" s="284"/>
      <c r="D36" s="284"/>
      <c r="E36" s="284"/>
      <c r="F36" s="284"/>
      <c r="G36" s="284"/>
      <c r="H36" s="284"/>
      <c r="I36" s="284"/>
      <c r="J36" s="284"/>
      <c r="K36" s="284"/>
      <c r="L36" s="284"/>
      <c r="M36" s="284"/>
      <c r="N36" s="284"/>
      <c r="O36" s="284"/>
      <c r="P36" s="297"/>
      <c r="Q36" s="297"/>
      <c r="R36" s="297"/>
      <c r="S36" s="297"/>
      <c r="T36" s="297"/>
      <c r="U36" s="297"/>
      <c r="V36" s="297"/>
    </row>
    <row r="37" spans="1:22" ht="15">
      <c r="A37" s="298" t="s">
        <v>846</v>
      </c>
      <c r="B37" s="298" t="e">
        <f t="shared" ca="1" si="2"/>
        <v>#REF!</v>
      </c>
      <c r="C37" s="284"/>
      <c r="D37" s="284"/>
      <c r="E37" s="284"/>
      <c r="F37" s="284"/>
      <c r="G37" s="284"/>
      <c r="H37" s="284"/>
      <c r="I37" s="284"/>
      <c r="J37" s="284"/>
      <c r="K37" s="284"/>
      <c r="L37" s="284"/>
      <c r="M37" s="284"/>
      <c r="N37" s="284"/>
      <c r="O37" s="284"/>
      <c r="P37" s="297"/>
      <c r="Q37" s="297"/>
      <c r="R37" s="297"/>
      <c r="S37" s="297"/>
      <c r="T37" s="297"/>
      <c r="U37" s="297"/>
      <c r="V37" s="297"/>
    </row>
    <row r="38" spans="1:22" ht="15">
      <c r="A38" s="298" t="s">
        <v>847</v>
      </c>
      <c r="B38" s="298" t="e">
        <f t="shared" ca="1" si="2"/>
        <v>#REF!</v>
      </c>
      <c r="C38" s="284"/>
      <c r="D38" s="284"/>
      <c r="E38" s="284"/>
      <c r="F38" s="284"/>
      <c r="G38" s="284"/>
      <c r="H38" s="284"/>
      <c r="I38" s="284"/>
      <c r="J38" s="284"/>
      <c r="K38" s="284"/>
      <c r="L38" s="284"/>
      <c r="M38" s="284"/>
      <c r="N38" s="284"/>
      <c r="O38" s="284"/>
      <c r="P38" s="297"/>
      <c r="Q38" s="297"/>
      <c r="R38" s="297"/>
      <c r="S38" s="297"/>
      <c r="T38" s="297"/>
      <c r="U38" s="297"/>
      <c r="V38" s="297"/>
    </row>
    <row r="39" spans="1:22" ht="15">
      <c r="A39" s="298" t="s">
        <v>848</v>
      </c>
      <c r="B39" s="298" t="e">
        <f t="shared" ca="1" si="2"/>
        <v>#REF!</v>
      </c>
      <c r="C39" s="284"/>
      <c r="D39" s="284"/>
      <c r="E39" s="284"/>
      <c r="F39" s="284"/>
      <c r="G39" s="284"/>
      <c r="H39" s="284"/>
      <c r="I39" s="284"/>
      <c r="J39" s="284"/>
      <c r="K39" s="284"/>
      <c r="L39" s="284"/>
      <c r="M39" s="284"/>
      <c r="N39" s="284"/>
      <c r="O39" s="284"/>
      <c r="P39" s="297"/>
      <c r="Q39" s="297"/>
      <c r="R39" s="297"/>
      <c r="S39" s="297"/>
      <c r="T39" s="297"/>
      <c r="U39" s="297"/>
      <c r="V39" s="297"/>
    </row>
    <row r="40" spans="1:22" ht="15">
      <c r="A40" s="298" t="s">
        <v>849</v>
      </c>
      <c r="B40" s="298" t="e">
        <f t="shared" ca="1" si="2"/>
        <v>#REF!</v>
      </c>
      <c r="C40" s="284"/>
      <c r="D40" s="284"/>
      <c r="E40" s="284"/>
      <c r="F40" s="284"/>
      <c r="G40" s="284"/>
      <c r="H40" s="284"/>
      <c r="I40" s="284"/>
      <c r="J40" s="284"/>
      <c r="K40" s="284"/>
      <c r="L40" s="284"/>
      <c r="M40" s="284"/>
      <c r="N40" s="284"/>
      <c r="O40" s="284"/>
      <c r="P40" s="297"/>
      <c r="Q40" s="297"/>
      <c r="R40" s="297"/>
      <c r="S40" s="297"/>
      <c r="T40" s="297"/>
      <c r="U40" s="297"/>
      <c r="V40" s="297"/>
    </row>
    <row r="41" spans="1:22">
      <c r="A41" s="284"/>
      <c r="B41" s="284"/>
      <c r="C41" s="284"/>
      <c r="D41" s="284"/>
      <c r="E41" s="284"/>
      <c r="F41" s="284"/>
      <c r="G41" s="284"/>
      <c r="H41" s="284"/>
      <c r="I41" s="284"/>
      <c r="J41" s="284"/>
      <c r="K41" s="284"/>
      <c r="L41" s="284"/>
      <c r="M41" s="284"/>
      <c r="N41" s="284"/>
      <c r="O41" s="284"/>
      <c r="P41" s="297"/>
      <c r="Q41" s="297"/>
      <c r="R41" s="297"/>
      <c r="S41" s="297"/>
      <c r="T41" s="297"/>
      <c r="U41" s="297"/>
      <c r="V41" s="297"/>
    </row>
    <row r="42" spans="1:22">
      <c r="A42" s="284"/>
      <c r="B42" s="284"/>
      <c r="C42" s="284"/>
      <c r="D42" s="284"/>
      <c r="E42" s="284"/>
      <c r="F42" s="284"/>
      <c r="G42" s="284"/>
      <c r="H42" s="284"/>
      <c r="I42" s="284"/>
      <c r="J42" s="284"/>
      <c r="K42" s="284"/>
      <c r="L42" s="284"/>
      <c r="M42" s="284"/>
      <c r="N42" s="284"/>
      <c r="O42" s="284"/>
      <c r="P42" s="297"/>
      <c r="Q42" s="297"/>
      <c r="R42" s="297"/>
      <c r="S42" s="297"/>
      <c r="T42" s="297"/>
      <c r="U42" s="297"/>
      <c r="V42" s="297"/>
    </row>
    <row r="43" spans="1:22">
      <c r="A43" s="284"/>
      <c r="B43" s="284"/>
      <c r="C43" s="284"/>
      <c r="D43" s="284"/>
      <c r="E43" s="284"/>
      <c r="F43" s="284"/>
      <c r="G43" s="284"/>
      <c r="H43" s="284"/>
      <c r="I43" s="284"/>
      <c r="J43" s="284"/>
      <c r="K43" s="284"/>
      <c r="L43" s="284"/>
      <c r="M43" s="284"/>
      <c r="N43" s="284"/>
      <c r="O43" s="284"/>
      <c r="P43" s="297"/>
      <c r="Q43" s="297"/>
      <c r="R43" s="297"/>
      <c r="S43" s="297"/>
      <c r="T43" s="297"/>
      <c r="U43" s="297"/>
      <c r="V43" s="297"/>
    </row>
    <row r="44" spans="1:22">
      <c r="A44" s="284"/>
      <c r="B44" s="284"/>
      <c r="C44" s="284"/>
      <c r="D44" s="284"/>
      <c r="E44" s="284"/>
      <c r="F44" s="284"/>
      <c r="G44" s="284"/>
      <c r="H44" s="284"/>
      <c r="I44" s="284"/>
      <c r="J44" s="284"/>
      <c r="K44" s="284"/>
      <c r="L44" s="284"/>
      <c r="M44" s="284"/>
      <c r="N44" s="284"/>
      <c r="O44" s="284"/>
      <c r="P44" s="297"/>
      <c r="Q44" s="297"/>
      <c r="R44" s="297"/>
      <c r="S44" s="297"/>
      <c r="T44" s="297"/>
      <c r="U44" s="297"/>
      <c r="V44" s="297"/>
    </row>
    <row r="45" spans="1:22">
      <c r="A45" s="284"/>
      <c r="B45" s="284"/>
      <c r="C45" s="284"/>
      <c r="D45" s="284"/>
      <c r="E45" s="284"/>
      <c r="F45" s="284"/>
      <c r="G45" s="284"/>
      <c r="H45" s="284"/>
      <c r="I45" s="284"/>
      <c r="J45" s="284"/>
      <c r="K45" s="284"/>
      <c r="L45" s="284"/>
      <c r="M45" s="284"/>
      <c r="N45" s="284"/>
      <c r="O45" s="284"/>
      <c r="P45" s="297"/>
      <c r="Q45" s="297"/>
      <c r="R45" s="297"/>
      <c r="S45" s="297"/>
      <c r="T45" s="297"/>
      <c r="U45" s="297"/>
      <c r="V45" s="297"/>
    </row>
    <row r="46" spans="1:22">
      <c r="A46" s="284"/>
      <c r="B46" s="284"/>
      <c r="C46" s="284"/>
      <c r="D46" s="284"/>
      <c r="E46" s="284"/>
      <c r="F46" s="284"/>
      <c r="G46" s="284"/>
      <c r="H46" s="284"/>
      <c r="I46" s="284"/>
      <c r="J46" s="284"/>
      <c r="K46" s="284"/>
      <c r="L46" s="284"/>
      <c r="M46" s="284"/>
      <c r="N46" s="284"/>
      <c r="O46" s="284"/>
      <c r="P46" s="297"/>
      <c r="Q46" s="297"/>
      <c r="R46" s="297"/>
      <c r="S46" s="297"/>
      <c r="T46" s="297"/>
      <c r="U46" s="297"/>
      <c r="V46" s="297"/>
    </row>
    <row r="47" spans="1:22">
      <c r="A47" s="284"/>
      <c r="B47" s="284"/>
      <c r="C47" s="284"/>
      <c r="D47" s="284"/>
      <c r="E47" s="284"/>
      <c r="F47" s="284"/>
      <c r="G47" s="284"/>
      <c r="H47" s="284"/>
      <c r="I47" s="284"/>
      <c r="J47" s="284"/>
      <c r="K47" s="284"/>
      <c r="L47" s="284"/>
      <c r="M47" s="284"/>
      <c r="N47" s="284"/>
      <c r="O47" s="284"/>
      <c r="P47" s="297"/>
      <c r="Q47" s="297"/>
      <c r="R47" s="297"/>
      <c r="S47" s="297"/>
      <c r="T47" s="297"/>
      <c r="U47" s="297"/>
      <c r="V47" s="297"/>
    </row>
    <row r="48" spans="1:22">
      <c r="A48" s="284"/>
      <c r="B48" s="284"/>
      <c r="C48" s="284"/>
      <c r="D48" s="284"/>
      <c r="E48" s="284"/>
      <c r="F48" s="284"/>
      <c r="G48" s="284"/>
      <c r="H48" s="284"/>
      <c r="I48" s="284"/>
      <c r="J48" s="284"/>
      <c r="K48" s="284"/>
      <c r="L48" s="284"/>
      <c r="M48" s="284"/>
      <c r="N48" s="284"/>
      <c r="O48" s="284"/>
      <c r="P48" s="297"/>
      <c r="Q48" s="297"/>
      <c r="R48" s="297"/>
      <c r="S48" s="297"/>
      <c r="T48" s="297"/>
      <c r="U48" s="297"/>
      <c r="V48" s="297"/>
    </row>
    <row r="49" spans="16:22">
      <c r="P49" s="297"/>
      <c r="Q49" s="297"/>
      <c r="R49" s="297"/>
      <c r="S49" s="297"/>
      <c r="T49" s="297"/>
      <c r="U49" s="297"/>
      <c r="V49" s="297"/>
    </row>
    <row r="50" spans="16:22">
      <c r="P50" s="297"/>
      <c r="Q50" s="297"/>
      <c r="R50" s="297"/>
      <c r="S50" s="297"/>
      <c r="T50" s="297"/>
      <c r="U50" s="297"/>
      <c r="V50" s="297"/>
    </row>
    <row r="51" spans="16:22">
      <c r="P51" s="297"/>
      <c r="Q51" s="297"/>
      <c r="R51" s="297"/>
      <c r="S51" s="297"/>
      <c r="T51" s="297"/>
      <c r="U51" s="297"/>
      <c r="V51" s="297"/>
    </row>
    <row r="52" spans="16:22">
      <c r="P52" s="297"/>
      <c r="Q52" s="297"/>
      <c r="R52" s="297"/>
      <c r="S52" s="297"/>
      <c r="T52" s="297"/>
      <c r="U52" s="297"/>
      <c r="V52" s="297"/>
    </row>
    <row r="53" spans="16:22">
      <c r="P53" s="297"/>
      <c r="Q53" s="297"/>
      <c r="R53" s="297"/>
      <c r="S53" s="297"/>
      <c r="T53" s="297"/>
      <c r="U53" s="297"/>
      <c r="V53" s="297"/>
    </row>
    <row r="54" spans="16:22">
      <c r="P54" s="297"/>
      <c r="Q54" s="297"/>
      <c r="R54" s="297"/>
      <c r="S54" s="297"/>
      <c r="T54" s="297"/>
      <c r="U54" s="297"/>
      <c r="V54" s="297"/>
    </row>
    <row r="55" spans="16:22">
      <c r="P55" s="297"/>
      <c r="Q55" s="297"/>
      <c r="R55" s="297"/>
      <c r="S55" s="297"/>
      <c r="T55" s="297"/>
      <c r="U55" s="297"/>
      <c r="V55" s="297"/>
    </row>
    <row r="56" spans="16:22">
      <c r="P56" s="297"/>
      <c r="Q56" s="297"/>
      <c r="R56" s="297"/>
      <c r="S56" s="297"/>
      <c r="T56" s="297"/>
      <c r="U56" s="297"/>
      <c r="V56" s="297"/>
    </row>
    <row r="57" spans="16:22">
      <c r="P57" s="297"/>
      <c r="Q57" s="297"/>
      <c r="R57" s="297"/>
      <c r="S57" s="297"/>
      <c r="T57" s="297"/>
      <c r="U57" s="297"/>
      <c r="V57" s="297"/>
    </row>
  </sheetData>
  <sheetProtection algorithmName="SHA-512" hashValue="9GpeRL5B3+2MgtCrXYWEbSvl1JoiaoKLk2lkupDl0FJt5Jk6zLh5d7GwR8EmaU4reQYUoFu0W7VHDVs1+Ao7Yg==" saltValue="Ed0Q5C2uve346BJOWqkCMw==" spinCount="100000" sheet="1" objects="1" scenarios="1" autoFilter="0"/>
  <mergeCells count="17">
    <mergeCell ref="L24:V24"/>
    <mergeCell ref="J4:O4"/>
    <mergeCell ref="J5:O5"/>
    <mergeCell ref="D6:M6"/>
    <mergeCell ref="L16:V16"/>
    <mergeCell ref="L17:V17"/>
    <mergeCell ref="L18:V18"/>
    <mergeCell ref="L19:V19"/>
    <mergeCell ref="L22:V22"/>
    <mergeCell ref="L23:V23"/>
    <mergeCell ref="L20:V20"/>
    <mergeCell ref="L21:V21"/>
    <mergeCell ref="L14:V14"/>
    <mergeCell ref="L15:V15"/>
    <mergeCell ref="B1:V1"/>
    <mergeCell ref="B2:V2"/>
    <mergeCell ref="B3:V3"/>
  </mergeCells>
  <conditionalFormatting sqref="W1:W3">
    <cfRule type="cellIs" dxfId="2" priority="1" stopIfTrue="1" operator="equal">
      <formula>"na"</formula>
    </cfRule>
  </conditionalFormatting>
  <hyperlinks>
    <hyperlink ref="B1:N1" location="Index!A1" display="Index!A1" xr:uid="{00000000-0004-0000-1900-000000000000}"/>
  </hyperlinks>
  <printOptions horizontalCentered="1"/>
  <pageMargins left="0.5" right="0.25" top="0.5" bottom="0.25" header="0.5" footer="0.25"/>
  <pageSetup scale="9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A166"/>
  <sheetViews>
    <sheetView showGridLines="0" zoomScaleNormal="100" workbookViewId="0">
      <selection activeCell="K24" sqref="K24"/>
    </sheetView>
  </sheetViews>
  <sheetFormatPr defaultColWidth="9.28515625" defaultRowHeight="10.199999999999999"/>
  <cols>
    <col min="1" max="1" width="9.28515625" style="200" customWidth="1"/>
    <col min="2" max="2" width="3.4257812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12.85546875" style="200" customWidth="1"/>
    <col min="15" max="16384" width="9.28515625" style="200"/>
  </cols>
  <sheetData>
    <row r="1" spans="1:27" s="196" customFormat="1" ht="15" customHeight="1">
      <c r="A1" s="1113" t="str">
        <f>+Index!$A$1</f>
        <v>Office of the State Controller</v>
      </c>
      <c r="B1" s="1113"/>
      <c r="C1" s="1113"/>
      <c r="D1" s="1113"/>
      <c r="E1" s="1113"/>
      <c r="F1" s="1113"/>
      <c r="G1" s="1113"/>
      <c r="H1" s="1113"/>
      <c r="I1" s="1113"/>
      <c r="J1" s="1113"/>
      <c r="K1" s="1113"/>
      <c r="L1" s="1113"/>
      <c r="M1" s="1113"/>
      <c r="N1" s="1112"/>
      <c r="AA1" s="197"/>
    </row>
    <row r="2" spans="1:27" s="196" customFormat="1" ht="15" customHeight="1">
      <c r="A2" s="1114" t="str">
        <f>Index!A2</f>
        <v>2023 Year-End ACFR Package</v>
      </c>
      <c r="B2" s="1114"/>
      <c r="C2" s="1114"/>
      <c r="D2" s="1114"/>
      <c r="E2" s="1114"/>
      <c r="F2" s="1114"/>
      <c r="G2" s="1114"/>
      <c r="H2" s="1114"/>
      <c r="I2" s="1114"/>
      <c r="J2" s="1114"/>
      <c r="K2" s="1114"/>
      <c r="L2" s="1114"/>
      <c r="M2" s="1114"/>
      <c r="N2" s="1112"/>
    </row>
    <row r="3" spans="1:27" s="196" customFormat="1" ht="15" customHeight="1">
      <c r="A3" s="1229" t="s">
        <v>62</v>
      </c>
      <c r="B3" s="1229"/>
      <c r="C3" s="1229"/>
      <c r="D3" s="1229"/>
      <c r="E3" s="1229"/>
      <c r="F3" s="1229"/>
      <c r="G3" s="1229"/>
      <c r="H3" s="1229"/>
      <c r="I3" s="1229"/>
      <c r="J3" s="1229"/>
      <c r="K3" s="1229"/>
      <c r="L3" s="1229"/>
      <c r="M3" s="1229"/>
      <c r="N3" s="1112"/>
    </row>
    <row r="4" spans="1:27" s="318" customFormat="1" ht="15" customHeight="1">
      <c r="H4" s="319"/>
    </row>
    <row r="5" spans="1:27" s="318" customFormat="1" ht="15" customHeight="1">
      <c r="D5" s="319"/>
      <c r="I5" s="320" t="s">
        <v>479</v>
      </c>
      <c r="J5" s="1171" t="str">
        <f>+Index!$D$10</f>
        <v>C0</v>
      </c>
      <c r="K5" s="1171"/>
      <c r="L5" s="1171"/>
      <c r="M5" s="1171"/>
    </row>
    <row r="6" spans="1:27" s="318" customFormat="1" ht="15" customHeight="1">
      <c r="I6" s="320" t="s">
        <v>480</v>
      </c>
      <c r="J6" s="1137" t="str">
        <f>+Index!$D$9</f>
        <v>Alamance Community College</v>
      </c>
      <c r="K6" s="1137"/>
      <c r="L6" s="1137"/>
      <c r="M6" s="1137"/>
    </row>
    <row r="7" spans="1:27" s="318" customFormat="1" ht="15" customHeight="1">
      <c r="A7" s="318" t="s">
        <v>597</v>
      </c>
      <c r="D7" s="862" t="s">
        <v>493</v>
      </c>
      <c r="E7" s="863"/>
      <c r="I7" s="320" t="s">
        <v>481</v>
      </c>
      <c r="J7" s="1137" t="str">
        <f>CONCATENATE(Index!$D$11," ",Index!$D$12)</f>
        <v xml:space="preserve"> </v>
      </c>
      <c r="K7" s="1137"/>
      <c r="L7" s="1137"/>
      <c r="M7" s="1137"/>
    </row>
    <row r="8" spans="1:27" s="318" customFormat="1" ht="15" customHeight="1" thickBot="1">
      <c r="A8" s="321"/>
      <c r="B8" s="321"/>
      <c r="C8" s="321"/>
      <c r="D8" s="321"/>
      <c r="E8" s="321"/>
      <c r="F8" s="321"/>
      <c r="G8" s="321"/>
      <c r="H8" s="321"/>
      <c r="I8" s="321"/>
      <c r="J8" s="321"/>
      <c r="K8" s="321"/>
      <c r="L8" s="321"/>
      <c r="M8" s="321"/>
    </row>
    <row r="9" spans="1:27" s="318" customFormat="1" ht="12.75" customHeight="1">
      <c r="A9" s="322"/>
      <c r="B9" s="322"/>
      <c r="C9" s="322"/>
      <c r="D9" s="322"/>
      <c r="E9" s="322"/>
      <c r="F9" s="322"/>
      <c r="G9" s="322"/>
      <c r="H9" s="322"/>
      <c r="I9" s="322"/>
      <c r="J9" s="322"/>
      <c r="K9" s="322"/>
      <c r="L9" s="322"/>
      <c r="M9" s="322"/>
    </row>
    <row r="10" spans="1:27" ht="15" customHeight="1">
      <c r="A10" s="323" t="s">
        <v>1062</v>
      </c>
      <c r="B10" s="322"/>
      <c r="C10" s="1231" t="s">
        <v>979</v>
      </c>
      <c r="D10" s="1231"/>
      <c r="E10" s="1231"/>
      <c r="F10" s="1231"/>
      <c r="G10" s="1231"/>
      <c r="H10" s="1231"/>
      <c r="I10" s="1231"/>
      <c r="J10" s="1231"/>
      <c r="K10" s="1231"/>
      <c r="L10" s="1231"/>
      <c r="M10" s="1231"/>
    </row>
    <row r="11" spans="1:27" ht="15" customHeight="1">
      <c r="A11" s="324"/>
      <c r="B11" s="322"/>
      <c r="C11" s="1230"/>
      <c r="D11" s="1230"/>
      <c r="E11" s="1230"/>
      <c r="F11" s="1230"/>
      <c r="G11" s="1230"/>
      <c r="H11" s="1230"/>
      <c r="I11" s="1230"/>
      <c r="J11" s="1230"/>
      <c r="K11" s="1230"/>
      <c r="L11" s="1230"/>
      <c r="M11" s="1230"/>
    </row>
    <row r="12" spans="1:27" ht="15" customHeight="1">
      <c r="A12" s="324"/>
      <c r="B12" s="322"/>
      <c r="C12" s="1230"/>
      <c r="D12" s="1230"/>
      <c r="E12" s="1230"/>
      <c r="F12" s="1230"/>
      <c r="G12" s="1230"/>
      <c r="H12" s="1230"/>
      <c r="I12" s="1230"/>
      <c r="J12" s="1230"/>
      <c r="K12" s="1230"/>
      <c r="L12" s="1230"/>
      <c r="M12" s="1230"/>
    </row>
    <row r="13" spans="1:27" ht="15" customHeight="1">
      <c r="A13" s="324"/>
      <c r="B13" s="322"/>
      <c r="C13" s="1230"/>
      <c r="D13" s="1230"/>
      <c r="E13" s="1230"/>
      <c r="F13" s="1230"/>
      <c r="G13" s="1230"/>
      <c r="H13" s="1230"/>
      <c r="I13" s="1230"/>
      <c r="J13" s="1230"/>
      <c r="K13" s="1230"/>
      <c r="L13" s="1230"/>
      <c r="M13" s="1230"/>
    </row>
    <row r="14" spans="1:27" ht="15" customHeight="1">
      <c r="A14" s="324"/>
      <c r="B14" s="322"/>
      <c r="C14" s="1230"/>
      <c r="D14" s="1230"/>
      <c r="E14" s="1230"/>
      <c r="F14" s="1230"/>
      <c r="G14" s="1230"/>
      <c r="H14" s="1230"/>
      <c r="I14" s="1230"/>
      <c r="J14" s="1230"/>
      <c r="K14" s="1230"/>
      <c r="L14" s="1230"/>
      <c r="M14" s="1230"/>
    </row>
    <row r="15" spans="1:27" ht="15" customHeight="1">
      <c r="A15" s="324"/>
      <c r="B15" s="322"/>
      <c r="C15" s="1230"/>
      <c r="D15" s="1230"/>
      <c r="E15" s="1230"/>
      <c r="F15" s="1230"/>
      <c r="G15" s="1230"/>
      <c r="H15" s="1230"/>
      <c r="I15" s="1230"/>
      <c r="J15" s="1230"/>
      <c r="K15" s="1230"/>
      <c r="L15" s="1230"/>
      <c r="M15" s="1230"/>
    </row>
    <row r="16" spans="1:27" ht="15" customHeight="1">
      <c r="A16" s="324"/>
      <c r="B16" s="322"/>
      <c r="C16" s="1230"/>
      <c r="D16" s="1230"/>
      <c r="E16" s="1230"/>
      <c r="F16" s="1230"/>
      <c r="G16" s="1230"/>
      <c r="H16" s="1230"/>
      <c r="I16" s="1230"/>
      <c r="J16" s="1230"/>
      <c r="K16" s="1230"/>
      <c r="L16" s="1230"/>
      <c r="M16" s="1230"/>
    </row>
    <row r="17" spans="1:13" ht="15" customHeight="1">
      <c r="A17" s="324"/>
      <c r="B17" s="322"/>
      <c r="C17" s="1230"/>
      <c r="D17" s="1230"/>
      <c r="E17" s="1230"/>
      <c r="F17" s="1230"/>
      <c r="G17" s="1230"/>
      <c r="H17" s="1230"/>
      <c r="I17" s="1230"/>
      <c r="J17" s="1230"/>
      <c r="K17" s="1230"/>
      <c r="L17" s="1230"/>
      <c r="M17" s="1230"/>
    </row>
    <row r="18" spans="1:13" ht="15" customHeight="1">
      <c r="A18" s="324"/>
      <c r="B18" s="322"/>
      <c r="C18" s="1230"/>
      <c r="D18" s="1230"/>
      <c r="E18" s="1230"/>
      <c r="F18" s="1230"/>
      <c r="G18" s="1230"/>
      <c r="H18" s="1230"/>
      <c r="I18" s="1230"/>
      <c r="J18" s="1230"/>
      <c r="K18" s="1230"/>
      <c r="L18" s="1230"/>
      <c r="M18" s="1230"/>
    </row>
    <row r="19" spans="1:13" ht="15" customHeight="1">
      <c r="A19" s="324"/>
      <c r="B19" s="322"/>
      <c r="C19" s="1230"/>
      <c r="D19" s="1230"/>
      <c r="E19" s="1230"/>
      <c r="F19" s="1230"/>
      <c r="G19" s="1230"/>
      <c r="H19" s="1230"/>
      <c r="I19" s="1230"/>
      <c r="J19" s="1230"/>
      <c r="K19" s="1230"/>
      <c r="L19" s="1230"/>
      <c r="M19" s="1230"/>
    </row>
    <row r="20" spans="1:13" ht="15" customHeight="1">
      <c r="A20" s="324"/>
      <c r="B20" s="322"/>
      <c r="C20" s="1230"/>
      <c r="D20" s="1230"/>
      <c r="E20" s="1230"/>
      <c r="F20" s="1230"/>
      <c r="G20" s="1230"/>
      <c r="H20" s="1230"/>
      <c r="I20" s="1230"/>
      <c r="J20" s="1230"/>
      <c r="K20" s="1230"/>
      <c r="L20" s="1230"/>
      <c r="M20" s="1230"/>
    </row>
    <row r="21" spans="1:13" ht="15" customHeight="1">
      <c r="A21" s="324"/>
      <c r="B21" s="322"/>
      <c r="C21" s="1230"/>
      <c r="D21" s="1230"/>
      <c r="E21" s="1230"/>
      <c r="F21" s="1230"/>
      <c r="G21" s="1230"/>
      <c r="H21" s="1230"/>
      <c r="I21" s="1230"/>
      <c r="J21" s="1230"/>
      <c r="K21" s="1230"/>
      <c r="L21" s="1230"/>
      <c r="M21" s="1230"/>
    </row>
    <row r="22" spans="1:13" ht="15" customHeight="1">
      <c r="A22" s="324"/>
      <c r="B22" s="322"/>
      <c r="C22" s="1230"/>
      <c r="D22" s="1230"/>
      <c r="E22" s="1230"/>
      <c r="F22" s="1230"/>
      <c r="G22" s="1230"/>
      <c r="H22" s="1230"/>
      <c r="I22" s="1230"/>
      <c r="J22" s="1230"/>
      <c r="K22" s="1230"/>
      <c r="L22" s="1230"/>
      <c r="M22" s="1230"/>
    </row>
    <row r="23" spans="1:13" ht="15" customHeight="1">
      <c r="A23" s="324"/>
      <c r="B23" s="322"/>
      <c r="C23" s="1230"/>
      <c r="D23" s="1230"/>
      <c r="E23" s="1230"/>
      <c r="F23" s="1230"/>
      <c r="G23" s="1230"/>
      <c r="H23" s="1230"/>
      <c r="I23" s="1230"/>
      <c r="J23" s="1230"/>
      <c r="K23" s="1230"/>
      <c r="L23" s="1230"/>
      <c r="M23" s="1230"/>
    </row>
    <row r="24" spans="1:13" ht="15" customHeight="1">
      <c r="A24" s="324"/>
      <c r="B24" s="322"/>
      <c r="C24" s="1021"/>
      <c r="D24" s="1021"/>
      <c r="E24" s="1021"/>
      <c r="F24" s="1021"/>
      <c r="G24" s="1021"/>
      <c r="H24" s="1021"/>
      <c r="I24" s="1021"/>
      <c r="J24" s="1021"/>
      <c r="K24" s="1021"/>
      <c r="L24" s="1021"/>
      <c r="M24" s="1021"/>
    </row>
    <row r="25" spans="1:13" ht="15" customHeight="1">
      <c r="A25" s="324"/>
      <c r="B25" s="322"/>
      <c r="C25" s="1230"/>
      <c r="D25" s="1230"/>
      <c r="E25" s="1230"/>
      <c r="F25" s="1230"/>
      <c r="G25" s="1230"/>
      <c r="H25" s="1230"/>
      <c r="I25" s="1230"/>
      <c r="J25" s="1230"/>
      <c r="K25" s="1230"/>
      <c r="L25" s="1230"/>
      <c r="M25" s="1230"/>
    </row>
    <row r="26" spans="1:13" ht="15" customHeight="1">
      <c r="A26" s="324"/>
      <c r="B26" s="322"/>
      <c r="C26" s="1230"/>
      <c r="D26" s="1230"/>
      <c r="E26" s="1230"/>
      <c r="F26" s="1230"/>
      <c r="G26" s="1230"/>
      <c r="H26" s="1230"/>
      <c r="I26" s="1230"/>
      <c r="J26" s="1230"/>
      <c r="K26" s="1230"/>
      <c r="L26" s="1230"/>
      <c r="M26" s="1230"/>
    </row>
    <row r="27" spans="1:13" ht="15" customHeight="1">
      <c r="A27" s="324"/>
      <c r="B27" s="322"/>
      <c r="C27" s="1230"/>
      <c r="D27" s="1230"/>
      <c r="E27" s="1230"/>
      <c r="F27" s="1230"/>
      <c r="G27" s="1230"/>
      <c r="H27" s="1230"/>
      <c r="I27" s="1230"/>
      <c r="J27" s="1230"/>
      <c r="K27" s="1230"/>
      <c r="L27" s="1230"/>
      <c r="M27" s="1230"/>
    </row>
    <row r="28" spans="1:13" ht="15" customHeight="1">
      <c r="A28" s="324"/>
      <c r="B28" s="322"/>
      <c r="C28" s="1230"/>
      <c r="D28" s="1230"/>
      <c r="E28" s="1230"/>
      <c r="F28" s="1230"/>
      <c r="G28" s="1230"/>
      <c r="H28" s="1230"/>
      <c r="I28" s="1230"/>
      <c r="J28" s="1230"/>
      <c r="K28" s="1230"/>
      <c r="L28" s="1230"/>
      <c r="M28" s="1230"/>
    </row>
    <row r="29" spans="1:13" ht="15" customHeight="1">
      <c r="A29" s="324"/>
      <c r="B29" s="322"/>
      <c r="C29" s="1230"/>
      <c r="D29" s="1230"/>
      <c r="E29" s="1230"/>
      <c r="F29" s="1230"/>
      <c r="G29" s="1230"/>
      <c r="H29" s="1230"/>
      <c r="I29" s="1230"/>
      <c r="J29" s="1230"/>
      <c r="K29" s="1230"/>
      <c r="L29" s="1230"/>
      <c r="M29" s="1230"/>
    </row>
    <row r="30" spans="1:13" ht="15" customHeight="1">
      <c r="A30" s="324"/>
      <c r="B30" s="322"/>
      <c r="C30" s="1230"/>
      <c r="D30" s="1230"/>
      <c r="E30" s="1230"/>
      <c r="F30" s="1230"/>
      <c r="G30" s="1230"/>
      <c r="H30" s="1230"/>
      <c r="I30" s="1230"/>
      <c r="J30" s="1230"/>
      <c r="K30" s="1230"/>
      <c r="L30" s="1230"/>
      <c r="M30" s="1230"/>
    </row>
    <row r="31" spans="1:13" ht="15" customHeight="1">
      <c r="A31" s="324"/>
      <c r="B31" s="322"/>
      <c r="C31" s="1230"/>
      <c r="D31" s="1230"/>
      <c r="E31" s="1230"/>
      <c r="F31" s="1230"/>
      <c r="G31" s="1230"/>
      <c r="H31" s="1230"/>
      <c r="I31" s="1230"/>
      <c r="J31" s="1230"/>
      <c r="K31" s="1230"/>
      <c r="L31" s="1230"/>
      <c r="M31" s="1230"/>
    </row>
    <row r="32" spans="1:13" ht="15" customHeight="1">
      <c r="A32" s="324"/>
      <c r="B32" s="322"/>
      <c r="C32" s="1230"/>
      <c r="D32" s="1230"/>
      <c r="E32" s="1230"/>
      <c r="F32" s="1230"/>
      <c r="G32" s="1230"/>
      <c r="H32" s="1230"/>
      <c r="I32" s="1230"/>
      <c r="J32" s="1230"/>
      <c r="K32" s="1230"/>
      <c r="L32" s="1230"/>
      <c r="M32" s="1230"/>
    </row>
    <row r="33" spans="1:13" ht="15" customHeight="1">
      <c r="A33" s="324"/>
      <c r="B33" s="322"/>
      <c r="C33" s="1230"/>
      <c r="D33" s="1230"/>
      <c r="E33" s="1230"/>
      <c r="F33" s="1230"/>
      <c r="G33" s="1230"/>
      <c r="H33" s="1230"/>
      <c r="I33" s="1230"/>
      <c r="J33" s="1230"/>
      <c r="K33" s="1230"/>
      <c r="L33" s="1230"/>
      <c r="M33" s="1230"/>
    </row>
    <row r="34" spans="1:13" ht="15" customHeight="1">
      <c r="A34" s="324"/>
      <c r="B34" s="322"/>
      <c r="C34" s="1230"/>
      <c r="D34" s="1230"/>
      <c r="E34" s="1230"/>
      <c r="F34" s="1230"/>
      <c r="G34" s="1230"/>
      <c r="H34" s="1230"/>
      <c r="I34" s="1230"/>
      <c r="J34" s="1230"/>
      <c r="K34" s="1230"/>
      <c r="L34" s="1230"/>
      <c r="M34" s="1230"/>
    </row>
    <row r="35" spans="1:13" ht="15" customHeight="1">
      <c r="A35" s="324"/>
      <c r="B35" s="322"/>
      <c r="C35" s="1230"/>
      <c r="D35" s="1230"/>
      <c r="E35" s="1230"/>
      <c r="F35" s="1230"/>
      <c r="G35" s="1230"/>
      <c r="H35" s="1230"/>
      <c r="I35" s="1230"/>
      <c r="J35" s="1230"/>
      <c r="K35" s="1230"/>
      <c r="L35" s="1230"/>
      <c r="M35" s="1230"/>
    </row>
    <row r="36" spans="1:13" ht="15" customHeight="1">
      <c r="A36" s="324"/>
      <c r="B36" s="322"/>
      <c r="C36" s="1230"/>
      <c r="D36" s="1230"/>
      <c r="E36" s="1230"/>
      <c r="F36" s="1230"/>
      <c r="G36" s="1230"/>
      <c r="H36" s="1230"/>
      <c r="I36" s="1230"/>
      <c r="J36" s="1230"/>
      <c r="K36" s="1230"/>
      <c r="L36" s="1230"/>
      <c r="M36" s="1230"/>
    </row>
    <row r="37" spans="1:13" ht="15" customHeight="1">
      <c r="A37" s="324"/>
      <c r="B37" s="322"/>
      <c r="C37" s="1230"/>
      <c r="D37" s="1230"/>
      <c r="E37" s="1230"/>
      <c r="F37" s="1230"/>
      <c r="G37" s="1230"/>
      <c r="H37" s="1230"/>
      <c r="I37" s="1230"/>
      <c r="J37" s="1230"/>
      <c r="K37" s="1230"/>
      <c r="L37" s="1230"/>
      <c r="M37" s="1230"/>
    </row>
    <row r="38" spans="1:13" ht="15" customHeight="1">
      <c r="A38" s="324"/>
      <c r="B38" s="322"/>
      <c r="C38" s="1230"/>
      <c r="D38" s="1230"/>
      <c r="E38" s="1230"/>
      <c r="F38" s="1230"/>
      <c r="G38" s="1230"/>
      <c r="H38" s="1230"/>
      <c r="I38" s="1230"/>
      <c r="J38" s="1230"/>
      <c r="K38" s="1230"/>
      <c r="L38" s="1230"/>
      <c r="M38" s="1230"/>
    </row>
    <row r="39" spans="1:13" ht="15" customHeight="1">
      <c r="A39" s="324"/>
      <c r="B39" s="322"/>
      <c r="C39" s="1230"/>
      <c r="D39" s="1230"/>
      <c r="E39" s="1230"/>
      <c r="F39" s="1230"/>
      <c r="G39" s="1230"/>
      <c r="H39" s="1230"/>
      <c r="I39" s="1230"/>
      <c r="J39" s="1230"/>
      <c r="K39" s="1230"/>
      <c r="L39" s="1230"/>
      <c r="M39" s="1230"/>
    </row>
    <row r="40" spans="1:13" ht="15" customHeight="1">
      <c r="A40" s="324"/>
      <c r="B40" s="322"/>
      <c r="C40" s="1230"/>
      <c r="D40" s="1230"/>
      <c r="E40" s="1230"/>
      <c r="F40" s="1230"/>
      <c r="G40" s="1230"/>
      <c r="H40" s="1230"/>
      <c r="I40" s="1230"/>
      <c r="J40" s="1230"/>
      <c r="K40" s="1230"/>
      <c r="L40" s="1230"/>
      <c r="M40" s="1230"/>
    </row>
    <row r="41" spans="1:13" ht="15" customHeight="1">
      <c r="A41" s="324"/>
      <c r="B41" s="322"/>
      <c r="C41" s="1230"/>
      <c r="D41" s="1230"/>
      <c r="E41" s="1230"/>
      <c r="F41" s="1230"/>
      <c r="G41" s="1230"/>
      <c r="H41" s="1230"/>
      <c r="I41" s="1230"/>
      <c r="J41" s="1230"/>
      <c r="K41" s="1230"/>
      <c r="L41" s="1230"/>
      <c r="M41" s="1230"/>
    </row>
    <row r="42" spans="1:13" ht="15" customHeight="1">
      <c r="A42" s="324"/>
      <c r="B42" s="322"/>
      <c r="C42" s="1230"/>
      <c r="D42" s="1230"/>
      <c r="E42" s="1230"/>
      <c r="F42" s="1230"/>
      <c r="G42" s="1230"/>
      <c r="H42" s="1230"/>
      <c r="I42" s="1230"/>
      <c r="J42" s="1230"/>
      <c r="K42" s="1230"/>
      <c r="L42" s="1230"/>
      <c r="M42" s="1230"/>
    </row>
    <row r="43" spans="1:13" ht="15" customHeight="1">
      <c r="A43" s="324"/>
      <c r="B43" s="322"/>
      <c r="C43" s="1230"/>
      <c r="D43" s="1230"/>
      <c r="E43" s="1230"/>
      <c r="F43" s="1230"/>
      <c r="G43" s="1230"/>
      <c r="H43" s="1230"/>
      <c r="I43" s="1230"/>
      <c r="J43" s="1230"/>
      <c r="K43" s="1230"/>
      <c r="L43" s="1230"/>
      <c r="M43" s="1230"/>
    </row>
    <row r="44" spans="1:13" ht="15" customHeight="1">
      <c r="A44" s="324"/>
      <c r="B44" s="322"/>
      <c r="C44" s="1230"/>
      <c r="D44" s="1230"/>
      <c r="E44" s="1230"/>
      <c r="F44" s="1230"/>
      <c r="G44" s="1230"/>
      <c r="H44" s="1230"/>
      <c r="I44" s="1230"/>
      <c r="J44" s="1230"/>
      <c r="K44" s="1230"/>
      <c r="L44" s="1230"/>
      <c r="M44" s="1230"/>
    </row>
    <row r="45" spans="1:13" ht="15" customHeight="1">
      <c r="A45" s="324"/>
      <c r="B45" s="322"/>
      <c r="C45" s="1230"/>
      <c r="D45" s="1230"/>
      <c r="E45" s="1230"/>
      <c r="F45" s="1230"/>
      <c r="G45" s="1230"/>
      <c r="H45" s="1230"/>
      <c r="I45" s="1230"/>
      <c r="J45" s="1230"/>
      <c r="K45" s="1230"/>
      <c r="L45" s="1230"/>
      <c r="M45" s="1230"/>
    </row>
    <row r="46" spans="1:13" ht="15" customHeight="1">
      <c r="A46" s="324"/>
      <c r="B46" s="322"/>
      <c r="C46" s="1230"/>
      <c r="D46" s="1230"/>
      <c r="E46" s="1230"/>
      <c r="F46" s="1230"/>
      <c r="G46" s="1230"/>
      <c r="H46" s="1230"/>
      <c r="I46" s="1230"/>
      <c r="J46" s="1230"/>
      <c r="K46" s="1230"/>
      <c r="L46" s="1230"/>
      <c r="M46" s="1230"/>
    </row>
    <row r="47" spans="1:13" ht="15" customHeight="1">
      <c r="A47" s="324"/>
      <c r="B47" s="322"/>
      <c r="C47" s="1230"/>
      <c r="D47" s="1230"/>
      <c r="E47" s="1230"/>
      <c r="F47" s="1230"/>
      <c r="G47" s="1230"/>
      <c r="H47" s="1230"/>
      <c r="I47" s="1230"/>
      <c r="J47" s="1230"/>
      <c r="K47" s="1230"/>
      <c r="L47" s="1230"/>
      <c r="M47" s="1230"/>
    </row>
    <row r="48" spans="1:13" ht="15" customHeight="1">
      <c r="A48" s="324"/>
      <c r="B48" s="322"/>
      <c r="C48" s="1230"/>
      <c r="D48" s="1230"/>
      <c r="E48" s="1230"/>
      <c r="F48" s="1230"/>
      <c r="G48" s="1230"/>
      <c r="H48" s="1230"/>
      <c r="I48" s="1230"/>
      <c r="J48" s="1230"/>
      <c r="K48" s="1230"/>
      <c r="L48" s="1230"/>
      <c r="M48" s="1230"/>
    </row>
    <row r="49" spans="1:13" ht="15" customHeight="1">
      <c r="A49" s="324"/>
      <c r="B49" s="322"/>
      <c r="C49" s="1230"/>
      <c r="D49" s="1230"/>
      <c r="E49" s="1230"/>
      <c r="F49" s="1230"/>
      <c r="G49" s="1230"/>
      <c r="H49" s="1230"/>
      <c r="I49" s="1230"/>
      <c r="J49" s="1230"/>
      <c r="K49" s="1230"/>
      <c r="L49" s="1230"/>
      <c r="M49" s="1230"/>
    </row>
    <row r="50" spans="1:13" ht="15" customHeight="1">
      <c r="A50" s="322"/>
      <c r="B50" s="322"/>
      <c r="C50" s="322"/>
      <c r="D50" s="322"/>
      <c r="E50" s="322"/>
      <c r="F50" s="322"/>
      <c r="G50" s="322"/>
      <c r="H50" s="322"/>
      <c r="I50" s="322"/>
      <c r="J50" s="322"/>
      <c r="K50" s="322"/>
      <c r="L50" s="322"/>
      <c r="M50" s="322"/>
    </row>
    <row r="51" spans="1:13" ht="15" customHeight="1">
      <c r="A51" s="322"/>
      <c r="B51" s="322"/>
      <c r="C51" s="322"/>
      <c r="D51" s="322"/>
      <c r="E51" s="322"/>
      <c r="F51" s="322"/>
      <c r="G51" s="322"/>
      <c r="H51" s="322"/>
      <c r="I51" s="322"/>
      <c r="J51" s="322"/>
      <c r="K51" s="322"/>
      <c r="L51" s="322"/>
      <c r="M51" s="322"/>
    </row>
    <row r="52" spans="1:13" ht="15" customHeight="1">
      <c r="A52" s="322"/>
      <c r="B52" s="322"/>
      <c r="C52" s="322"/>
      <c r="D52" s="322"/>
      <c r="E52" s="322"/>
      <c r="F52" s="322"/>
      <c r="G52" s="322"/>
      <c r="H52" s="322"/>
      <c r="I52" s="322"/>
      <c r="J52" s="322"/>
      <c r="K52" s="322"/>
      <c r="L52" s="322"/>
      <c r="M52" s="322"/>
    </row>
    <row r="53" spans="1:13" ht="15" customHeight="1">
      <c r="A53" s="322"/>
      <c r="B53" s="322"/>
      <c r="C53" s="322"/>
      <c r="D53" s="322"/>
      <c r="E53" s="322"/>
      <c r="F53" s="322"/>
      <c r="G53" s="322"/>
      <c r="H53" s="322"/>
      <c r="I53" s="322"/>
      <c r="J53" s="322"/>
      <c r="K53" s="322"/>
      <c r="L53" s="322"/>
      <c r="M53" s="322"/>
    </row>
    <row r="54" spans="1:13" ht="15" customHeight="1">
      <c r="A54" s="322"/>
      <c r="B54" s="322"/>
      <c r="C54" s="322"/>
      <c r="D54" s="322"/>
      <c r="E54" s="322"/>
      <c r="F54" s="322"/>
      <c r="G54" s="322"/>
      <c r="H54" s="322"/>
      <c r="I54" s="322"/>
      <c r="J54" s="322"/>
      <c r="K54" s="322"/>
      <c r="L54" s="322"/>
      <c r="M54" s="322"/>
    </row>
    <row r="55" spans="1:13" ht="15" customHeight="1">
      <c r="A55" s="322"/>
      <c r="B55" s="322"/>
      <c r="C55" s="322"/>
      <c r="D55" s="322"/>
      <c r="E55" s="322"/>
      <c r="F55" s="322"/>
      <c r="G55" s="322"/>
      <c r="H55" s="322"/>
      <c r="I55" s="322"/>
      <c r="J55" s="322"/>
      <c r="K55" s="322"/>
      <c r="L55" s="322"/>
      <c r="M55" s="322"/>
    </row>
    <row r="56" spans="1:13" ht="15" customHeight="1">
      <c r="A56" s="322"/>
      <c r="B56" s="322"/>
      <c r="C56" s="322"/>
      <c r="D56" s="322"/>
      <c r="E56" s="322"/>
      <c r="F56" s="322"/>
      <c r="G56" s="322"/>
      <c r="H56" s="322"/>
      <c r="I56" s="322"/>
      <c r="J56" s="322"/>
      <c r="K56" s="322"/>
      <c r="L56" s="322"/>
      <c r="M56" s="322"/>
    </row>
    <row r="57" spans="1:13" ht="15" customHeight="1">
      <c r="A57" s="322"/>
      <c r="B57" s="322"/>
      <c r="C57" s="322"/>
      <c r="D57" s="322"/>
      <c r="E57" s="322"/>
      <c r="F57" s="322"/>
      <c r="G57" s="322"/>
      <c r="H57" s="322"/>
      <c r="I57" s="322"/>
      <c r="J57" s="322"/>
      <c r="K57" s="322"/>
      <c r="L57" s="322"/>
      <c r="M57" s="322"/>
    </row>
    <row r="58" spans="1:13" ht="15" customHeight="1">
      <c r="A58" s="322"/>
      <c r="B58" s="322"/>
      <c r="C58" s="322"/>
      <c r="D58" s="322"/>
      <c r="E58" s="322"/>
      <c r="F58" s="322"/>
      <c r="G58" s="322"/>
      <c r="H58" s="322"/>
      <c r="I58" s="322"/>
      <c r="J58" s="322"/>
      <c r="K58" s="322"/>
      <c r="L58" s="322"/>
      <c r="M58" s="322"/>
    </row>
    <row r="59" spans="1:13" ht="15" customHeight="1">
      <c r="A59" s="322"/>
      <c r="B59" s="322"/>
      <c r="C59" s="322"/>
      <c r="D59" s="322"/>
      <c r="E59" s="322"/>
      <c r="F59" s="322"/>
      <c r="G59" s="322"/>
      <c r="H59" s="322"/>
      <c r="I59" s="322"/>
      <c r="J59" s="322"/>
      <c r="K59" s="322"/>
      <c r="L59" s="322"/>
      <c r="M59" s="322"/>
    </row>
    <row r="60" spans="1:13" ht="15" customHeight="1">
      <c r="A60" s="322"/>
      <c r="B60" s="322"/>
      <c r="C60" s="322"/>
      <c r="D60" s="322"/>
      <c r="E60" s="322"/>
      <c r="F60" s="322"/>
      <c r="G60" s="322"/>
      <c r="H60" s="322"/>
      <c r="I60" s="322"/>
      <c r="J60" s="322"/>
      <c r="K60" s="322"/>
      <c r="L60" s="322"/>
      <c r="M60" s="322"/>
    </row>
    <row r="61" spans="1:13" ht="15" customHeight="1">
      <c r="A61" s="322"/>
      <c r="B61" s="322"/>
      <c r="C61" s="322"/>
      <c r="D61" s="322"/>
      <c r="E61" s="322"/>
      <c r="F61" s="322"/>
      <c r="G61" s="322"/>
      <c r="H61" s="322"/>
      <c r="I61" s="322"/>
      <c r="J61" s="322"/>
      <c r="K61" s="322"/>
      <c r="L61" s="322"/>
      <c r="M61" s="322"/>
    </row>
    <row r="62" spans="1:13" ht="15" customHeight="1">
      <c r="A62" s="322"/>
      <c r="B62" s="322"/>
      <c r="C62" s="322"/>
      <c r="D62" s="322"/>
      <c r="E62" s="322"/>
      <c r="F62" s="322"/>
      <c r="G62" s="322"/>
      <c r="H62" s="322"/>
      <c r="I62" s="322"/>
      <c r="J62" s="322"/>
      <c r="K62" s="322"/>
      <c r="L62" s="322"/>
      <c r="M62" s="322"/>
    </row>
    <row r="63" spans="1:13" ht="15" customHeight="1">
      <c r="A63" s="322"/>
      <c r="B63" s="322"/>
      <c r="C63" s="322"/>
      <c r="D63" s="322"/>
      <c r="E63" s="322"/>
      <c r="F63" s="322"/>
      <c r="G63" s="322"/>
      <c r="H63" s="322"/>
      <c r="I63" s="322"/>
      <c r="J63" s="322"/>
      <c r="K63" s="322"/>
      <c r="L63" s="322"/>
      <c r="M63" s="322"/>
    </row>
    <row r="64" spans="1:13" ht="15" customHeight="1">
      <c r="A64" s="322"/>
      <c r="B64" s="322"/>
      <c r="C64" s="322"/>
      <c r="D64" s="322"/>
      <c r="E64" s="322"/>
      <c r="F64" s="322"/>
      <c r="G64" s="322"/>
      <c r="H64" s="322"/>
      <c r="I64" s="322"/>
      <c r="J64" s="322"/>
      <c r="K64" s="322"/>
      <c r="L64" s="322"/>
      <c r="M64" s="322"/>
    </row>
    <row r="65" spans="1:13" ht="15" customHeight="1">
      <c r="A65" s="322"/>
      <c r="B65" s="322"/>
      <c r="C65" s="322"/>
      <c r="D65" s="322"/>
      <c r="E65" s="322"/>
      <c r="F65" s="322"/>
      <c r="G65" s="322"/>
      <c r="H65" s="322"/>
      <c r="I65" s="322"/>
      <c r="J65" s="322"/>
      <c r="K65" s="322"/>
      <c r="L65" s="322"/>
      <c r="M65" s="322"/>
    </row>
    <row r="66" spans="1:13" ht="15" customHeight="1">
      <c r="A66" s="322"/>
      <c r="B66" s="322"/>
      <c r="C66" s="322"/>
      <c r="D66" s="322"/>
      <c r="E66" s="322"/>
      <c r="F66" s="322"/>
      <c r="G66" s="322"/>
      <c r="H66" s="322"/>
      <c r="I66" s="322"/>
      <c r="J66" s="322"/>
      <c r="K66" s="322"/>
      <c r="L66" s="322"/>
      <c r="M66" s="322"/>
    </row>
    <row r="67" spans="1:13" ht="15" customHeight="1">
      <c r="A67" s="322"/>
      <c r="B67" s="322"/>
      <c r="C67" s="322"/>
      <c r="D67" s="322"/>
      <c r="E67" s="322"/>
      <c r="F67" s="322"/>
      <c r="G67" s="322"/>
      <c r="H67" s="322"/>
      <c r="I67" s="322"/>
      <c r="J67" s="322"/>
      <c r="K67" s="322"/>
      <c r="L67" s="322"/>
      <c r="M67" s="322"/>
    </row>
    <row r="68" spans="1:13" ht="15" customHeight="1">
      <c r="A68" s="322"/>
      <c r="B68" s="322"/>
      <c r="C68" s="322"/>
      <c r="D68" s="322"/>
      <c r="E68" s="322"/>
      <c r="F68" s="322"/>
      <c r="G68" s="322"/>
      <c r="H68" s="322"/>
      <c r="I68" s="322"/>
      <c r="J68" s="322"/>
      <c r="K68" s="322"/>
      <c r="L68" s="322"/>
      <c r="M68" s="322"/>
    </row>
    <row r="69" spans="1:13" ht="15" customHeight="1">
      <c r="A69" s="322"/>
      <c r="B69" s="322"/>
      <c r="C69" s="322"/>
      <c r="D69" s="322"/>
      <c r="E69" s="322"/>
      <c r="F69" s="322"/>
      <c r="G69" s="322"/>
      <c r="H69" s="322"/>
      <c r="I69" s="322"/>
      <c r="J69" s="322"/>
      <c r="K69" s="322"/>
      <c r="L69" s="322"/>
      <c r="M69" s="322"/>
    </row>
    <row r="70" spans="1:13" ht="15" customHeight="1">
      <c r="A70" s="322"/>
      <c r="B70" s="322"/>
      <c r="C70" s="322"/>
      <c r="D70" s="322"/>
      <c r="E70" s="322"/>
      <c r="F70" s="322"/>
      <c r="G70" s="322"/>
      <c r="H70" s="322"/>
      <c r="I70" s="322"/>
      <c r="J70" s="322"/>
      <c r="K70" s="322"/>
      <c r="L70" s="322"/>
      <c r="M70" s="322"/>
    </row>
    <row r="71" spans="1:13" ht="15" customHeight="1">
      <c r="A71" s="322"/>
      <c r="B71" s="322"/>
      <c r="C71" s="322"/>
      <c r="D71" s="322"/>
      <c r="E71" s="322"/>
      <c r="F71" s="322"/>
      <c r="G71" s="322"/>
      <c r="H71" s="322"/>
      <c r="I71" s="322"/>
      <c r="J71" s="322"/>
      <c r="K71" s="322"/>
      <c r="L71" s="322"/>
      <c r="M71" s="322"/>
    </row>
    <row r="72" spans="1:13" ht="15" customHeight="1">
      <c r="A72" s="322"/>
      <c r="B72" s="322"/>
      <c r="C72" s="322"/>
      <c r="D72" s="322"/>
      <c r="E72" s="322"/>
      <c r="F72" s="322"/>
      <c r="G72" s="322"/>
      <c r="H72" s="322"/>
      <c r="I72" s="322"/>
      <c r="J72" s="322"/>
      <c r="K72" s="322"/>
      <c r="L72" s="322"/>
      <c r="M72" s="322"/>
    </row>
    <row r="73" spans="1:13" ht="15" customHeight="1">
      <c r="A73" s="322"/>
      <c r="B73" s="322"/>
      <c r="C73" s="322"/>
      <c r="D73" s="322"/>
      <c r="E73" s="322"/>
      <c r="F73" s="322"/>
      <c r="G73" s="322"/>
      <c r="H73" s="322"/>
      <c r="I73" s="322"/>
      <c r="J73" s="322"/>
      <c r="K73" s="322"/>
      <c r="L73" s="322"/>
      <c r="M73" s="322"/>
    </row>
    <row r="74" spans="1:13" ht="15" customHeight="1">
      <c r="A74" s="322"/>
      <c r="B74" s="322"/>
      <c r="C74" s="322"/>
      <c r="D74" s="322"/>
      <c r="E74" s="322"/>
      <c r="F74" s="322"/>
      <c r="G74" s="322"/>
      <c r="H74" s="322"/>
      <c r="I74" s="322"/>
      <c r="J74" s="322"/>
      <c r="K74" s="322"/>
      <c r="L74" s="322"/>
      <c r="M74" s="322"/>
    </row>
    <row r="75" spans="1:13" ht="15" customHeight="1">
      <c r="A75" s="322"/>
      <c r="B75" s="322"/>
      <c r="C75" s="322"/>
      <c r="D75" s="322"/>
      <c r="E75" s="322"/>
      <c r="F75" s="322"/>
      <c r="G75" s="322"/>
      <c r="H75" s="322"/>
      <c r="I75" s="322"/>
      <c r="J75" s="322"/>
      <c r="K75" s="322"/>
      <c r="L75" s="322"/>
      <c r="M75" s="322"/>
    </row>
    <row r="76" spans="1:13" ht="15" customHeight="1">
      <c r="A76" s="322"/>
      <c r="B76" s="322"/>
      <c r="C76" s="322"/>
      <c r="D76" s="322"/>
      <c r="E76" s="322"/>
      <c r="F76" s="322"/>
      <c r="G76" s="322"/>
      <c r="H76" s="322"/>
      <c r="I76" s="322"/>
      <c r="J76" s="322"/>
      <c r="K76" s="322"/>
      <c r="L76" s="322"/>
      <c r="M76" s="322"/>
    </row>
    <row r="77" spans="1:13" ht="15" customHeight="1">
      <c r="A77" s="322"/>
      <c r="B77" s="322"/>
      <c r="C77" s="322"/>
      <c r="D77" s="322"/>
      <c r="E77" s="322"/>
      <c r="F77" s="322"/>
      <c r="G77" s="322"/>
      <c r="H77" s="322"/>
      <c r="I77" s="322"/>
      <c r="J77" s="322"/>
      <c r="K77" s="322"/>
      <c r="L77" s="322"/>
      <c r="M77" s="322"/>
    </row>
    <row r="78" spans="1:13" ht="15" customHeight="1">
      <c r="A78" s="322"/>
      <c r="B78" s="322"/>
      <c r="C78" s="322"/>
      <c r="D78" s="322"/>
      <c r="E78" s="322"/>
      <c r="F78" s="322"/>
      <c r="G78" s="322"/>
      <c r="H78" s="322"/>
      <c r="I78" s="322"/>
      <c r="J78" s="322"/>
      <c r="K78" s="322"/>
      <c r="L78" s="322"/>
      <c r="M78" s="322"/>
    </row>
    <row r="79" spans="1:13" ht="15" customHeight="1">
      <c r="A79" s="322"/>
      <c r="B79" s="322"/>
      <c r="C79" s="322"/>
      <c r="D79" s="322"/>
      <c r="E79" s="322"/>
      <c r="F79" s="322"/>
      <c r="G79" s="322"/>
      <c r="H79" s="322"/>
      <c r="I79" s="322"/>
      <c r="J79" s="322"/>
      <c r="K79" s="322"/>
      <c r="L79" s="322"/>
      <c r="M79" s="322"/>
    </row>
    <row r="80" spans="1:13" ht="15" customHeight="1">
      <c r="A80" s="322"/>
      <c r="B80" s="322"/>
      <c r="C80" s="322"/>
      <c r="D80" s="322"/>
      <c r="E80" s="322"/>
      <c r="F80" s="322"/>
      <c r="G80" s="322"/>
      <c r="H80" s="322"/>
      <c r="I80" s="322"/>
      <c r="J80" s="322"/>
      <c r="K80" s="322"/>
      <c r="L80" s="322"/>
      <c r="M80" s="322"/>
    </row>
    <row r="81" spans="1:13" ht="15" customHeight="1">
      <c r="A81" s="322"/>
      <c r="B81" s="322"/>
      <c r="C81" s="322"/>
      <c r="D81" s="322"/>
      <c r="E81" s="322"/>
      <c r="F81" s="322"/>
      <c r="G81" s="322"/>
      <c r="H81" s="322"/>
      <c r="I81" s="322"/>
      <c r="J81" s="322"/>
      <c r="K81" s="322"/>
      <c r="L81" s="322"/>
      <c r="M81" s="322"/>
    </row>
    <row r="82" spans="1:13" ht="15" customHeight="1">
      <c r="A82" s="322"/>
      <c r="B82" s="322"/>
      <c r="C82" s="322"/>
      <c r="D82" s="322"/>
      <c r="E82" s="322"/>
      <c r="F82" s="322"/>
      <c r="G82" s="322"/>
      <c r="H82" s="322"/>
      <c r="I82" s="322"/>
      <c r="J82" s="322"/>
      <c r="K82" s="322"/>
      <c r="L82" s="322"/>
      <c r="M82" s="322"/>
    </row>
    <row r="83" spans="1:13" ht="15" customHeight="1">
      <c r="A83" s="322"/>
      <c r="B83" s="322"/>
      <c r="C83" s="322"/>
      <c r="D83" s="322"/>
      <c r="E83" s="322"/>
      <c r="F83" s="322"/>
      <c r="G83" s="322"/>
      <c r="H83" s="322"/>
      <c r="I83" s="322"/>
      <c r="J83" s="322"/>
      <c r="K83" s="322"/>
      <c r="L83" s="322"/>
      <c r="M83" s="322"/>
    </row>
    <row r="84" spans="1:13" ht="15" customHeight="1">
      <c r="A84" s="322"/>
      <c r="B84" s="322"/>
      <c r="C84" s="322"/>
      <c r="D84" s="322"/>
      <c r="E84" s="322"/>
      <c r="F84" s="322"/>
      <c r="G84" s="322"/>
      <c r="H84" s="322"/>
      <c r="I84" s="322"/>
      <c r="J84" s="322"/>
      <c r="K84" s="322"/>
      <c r="L84" s="322"/>
      <c r="M84" s="322"/>
    </row>
    <row r="85" spans="1:13" ht="15" customHeight="1">
      <c r="A85" s="322"/>
      <c r="B85" s="322"/>
      <c r="C85" s="322"/>
      <c r="D85" s="322"/>
      <c r="E85" s="322"/>
      <c r="F85" s="322"/>
      <c r="G85" s="322"/>
      <c r="H85" s="322"/>
      <c r="I85" s="322"/>
      <c r="J85" s="322"/>
      <c r="K85" s="322"/>
      <c r="L85" s="322"/>
      <c r="M85" s="322"/>
    </row>
    <row r="86" spans="1:13" ht="15" customHeight="1">
      <c r="A86" s="322"/>
      <c r="B86" s="322"/>
      <c r="C86" s="322"/>
      <c r="D86" s="322"/>
      <c r="E86" s="322"/>
      <c r="F86" s="322"/>
      <c r="G86" s="322"/>
      <c r="H86" s="322"/>
      <c r="I86" s="322"/>
      <c r="J86" s="322"/>
      <c r="K86" s="322"/>
      <c r="L86" s="322"/>
      <c r="M86" s="322"/>
    </row>
    <row r="87" spans="1:13" ht="15" customHeight="1">
      <c r="A87" s="322"/>
      <c r="B87" s="322"/>
      <c r="C87" s="322"/>
      <c r="D87" s="322"/>
      <c r="E87" s="322"/>
      <c r="F87" s="322"/>
      <c r="G87" s="322"/>
      <c r="H87" s="322"/>
      <c r="I87" s="322"/>
      <c r="J87" s="322"/>
      <c r="K87" s="322"/>
      <c r="L87" s="322"/>
      <c r="M87" s="322"/>
    </row>
    <row r="88" spans="1:13" ht="15" customHeight="1">
      <c r="A88" s="322"/>
      <c r="B88" s="322"/>
      <c r="C88" s="322"/>
      <c r="D88" s="322"/>
      <c r="E88" s="322"/>
      <c r="F88" s="322"/>
      <c r="G88" s="322"/>
      <c r="H88" s="322"/>
      <c r="I88" s="322"/>
      <c r="J88" s="322"/>
      <c r="K88" s="322"/>
      <c r="L88" s="322"/>
      <c r="M88" s="322"/>
    </row>
    <row r="89" spans="1:13" ht="15" customHeight="1">
      <c r="A89" s="322"/>
      <c r="B89" s="322"/>
      <c r="C89" s="322"/>
      <c r="D89" s="322"/>
      <c r="E89" s="322"/>
      <c r="F89" s="322"/>
      <c r="G89" s="322"/>
      <c r="H89" s="322"/>
      <c r="I89" s="322"/>
      <c r="J89" s="322"/>
      <c r="K89" s="322"/>
      <c r="L89" s="322"/>
      <c r="M89" s="322"/>
    </row>
    <row r="90" spans="1:13" ht="15" customHeight="1">
      <c r="A90" s="322"/>
      <c r="B90" s="322"/>
      <c r="C90" s="322"/>
      <c r="D90" s="322"/>
      <c r="E90" s="322"/>
      <c r="F90" s="322"/>
      <c r="G90" s="322"/>
      <c r="H90" s="322"/>
      <c r="I90" s="322"/>
      <c r="J90" s="322"/>
      <c r="K90" s="322"/>
      <c r="L90" s="322"/>
      <c r="M90" s="322"/>
    </row>
    <row r="91" spans="1:13" ht="15" customHeight="1">
      <c r="A91" s="322"/>
      <c r="B91" s="322"/>
      <c r="C91" s="322"/>
      <c r="D91" s="322"/>
      <c r="E91" s="322"/>
      <c r="F91" s="322"/>
      <c r="G91" s="322"/>
      <c r="H91" s="322"/>
      <c r="I91" s="322"/>
      <c r="J91" s="322"/>
      <c r="K91" s="322"/>
      <c r="L91" s="322"/>
      <c r="M91" s="322"/>
    </row>
    <row r="92" spans="1:13" ht="15" customHeight="1">
      <c r="A92" s="322"/>
      <c r="B92" s="322"/>
      <c r="C92" s="322"/>
      <c r="D92" s="322"/>
      <c r="E92" s="322"/>
      <c r="F92" s="322"/>
      <c r="G92" s="322"/>
      <c r="H92" s="322"/>
      <c r="I92" s="322"/>
      <c r="J92" s="322"/>
      <c r="K92" s="322"/>
      <c r="L92" s="322"/>
      <c r="M92" s="322"/>
    </row>
    <row r="93" spans="1:13" ht="15" customHeight="1">
      <c r="A93" s="322"/>
      <c r="B93" s="322"/>
      <c r="C93" s="322"/>
      <c r="D93" s="322"/>
      <c r="E93" s="322"/>
      <c r="F93" s="322"/>
      <c r="G93" s="322"/>
      <c r="H93" s="322"/>
      <c r="I93" s="322"/>
      <c r="J93" s="322"/>
      <c r="K93" s="322"/>
      <c r="L93" s="322"/>
      <c r="M93" s="322"/>
    </row>
    <row r="94" spans="1:13" ht="15" customHeight="1">
      <c r="A94" s="322"/>
      <c r="B94" s="322"/>
      <c r="C94" s="322"/>
      <c r="D94" s="322"/>
      <c r="E94" s="322"/>
      <c r="F94" s="322"/>
      <c r="G94" s="322"/>
      <c r="H94" s="322"/>
      <c r="I94" s="322"/>
      <c r="J94" s="322"/>
      <c r="K94" s="322"/>
      <c r="L94" s="322"/>
      <c r="M94" s="322"/>
    </row>
    <row r="95" spans="1:13" ht="15" customHeight="1">
      <c r="A95" s="322"/>
      <c r="B95" s="322"/>
      <c r="C95" s="322"/>
      <c r="D95" s="322"/>
      <c r="E95" s="322"/>
      <c r="F95" s="322"/>
      <c r="G95" s="322"/>
      <c r="H95" s="322"/>
      <c r="I95" s="322"/>
      <c r="J95" s="322"/>
      <c r="K95" s="322"/>
      <c r="L95" s="322"/>
      <c r="M95" s="322"/>
    </row>
    <row r="96" spans="1:13" ht="15" customHeight="1">
      <c r="A96" s="322"/>
      <c r="B96" s="322"/>
      <c r="C96" s="322"/>
      <c r="D96" s="322"/>
      <c r="E96" s="322"/>
      <c r="F96" s="322"/>
      <c r="G96" s="322"/>
      <c r="H96" s="322"/>
      <c r="I96" s="322"/>
      <c r="J96" s="322"/>
      <c r="K96" s="322"/>
      <c r="L96" s="322"/>
      <c r="M96" s="322"/>
    </row>
    <row r="97" spans="1:13" ht="15" customHeight="1">
      <c r="A97" s="322"/>
      <c r="B97" s="322"/>
      <c r="C97" s="322"/>
      <c r="D97" s="322"/>
      <c r="E97" s="322"/>
      <c r="F97" s="322"/>
      <c r="G97" s="322"/>
      <c r="H97" s="322"/>
      <c r="I97" s="322"/>
      <c r="J97" s="322"/>
      <c r="K97" s="322"/>
      <c r="L97" s="322"/>
      <c r="M97" s="322"/>
    </row>
    <row r="98" spans="1:13" ht="15" customHeight="1">
      <c r="A98" s="322"/>
      <c r="B98" s="322"/>
      <c r="C98" s="322"/>
      <c r="D98" s="322"/>
      <c r="E98" s="322"/>
      <c r="F98" s="322"/>
      <c r="G98" s="322"/>
      <c r="H98" s="322"/>
      <c r="I98" s="322"/>
      <c r="J98" s="322"/>
      <c r="K98" s="322"/>
      <c r="L98" s="322"/>
      <c r="M98" s="322"/>
    </row>
    <row r="99" spans="1:13" ht="15" customHeight="1">
      <c r="A99" s="322"/>
      <c r="B99" s="322"/>
      <c r="C99" s="322"/>
      <c r="D99" s="322"/>
      <c r="E99" s="322"/>
      <c r="F99" s="322"/>
      <c r="G99" s="322"/>
      <c r="H99" s="322"/>
      <c r="I99" s="322"/>
      <c r="J99" s="322"/>
      <c r="K99" s="322"/>
      <c r="L99" s="322"/>
      <c r="M99" s="322"/>
    </row>
    <row r="100" spans="1:13" ht="15" customHeight="1">
      <c r="A100" s="322"/>
      <c r="B100" s="322"/>
      <c r="C100" s="322"/>
      <c r="D100" s="322"/>
      <c r="E100" s="322"/>
      <c r="F100" s="322"/>
      <c r="G100" s="322"/>
      <c r="H100" s="322"/>
      <c r="I100" s="322"/>
      <c r="J100" s="322"/>
      <c r="K100" s="322"/>
      <c r="L100" s="322"/>
      <c r="M100" s="322"/>
    </row>
    <row r="101" spans="1:13" ht="15" customHeight="1">
      <c r="A101" s="322"/>
      <c r="B101" s="322"/>
      <c r="C101" s="322"/>
      <c r="D101" s="322"/>
      <c r="E101" s="322"/>
      <c r="F101" s="322"/>
      <c r="G101" s="322"/>
      <c r="H101" s="322"/>
      <c r="I101" s="322"/>
      <c r="J101" s="322"/>
      <c r="K101" s="322"/>
      <c r="L101" s="322"/>
      <c r="M101" s="322"/>
    </row>
    <row r="102" spans="1:13" ht="15" customHeight="1">
      <c r="A102" s="322"/>
      <c r="B102" s="322"/>
      <c r="C102" s="322"/>
      <c r="D102" s="322"/>
      <c r="E102" s="322"/>
      <c r="F102" s="322"/>
      <c r="G102" s="322"/>
      <c r="H102" s="322"/>
      <c r="I102" s="322"/>
      <c r="J102" s="322"/>
      <c r="K102" s="322"/>
      <c r="L102" s="322"/>
      <c r="M102" s="322"/>
    </row>
    <row r="103" spans="1:13" ht="15" customHeight="1">
      <c r="A103" s="322"/>
      <c r="B103" s="322"/>
      <c r="C103" s="322"/>
      <c r="D103" s="322"/>
      <c r="E103" s="322"/>
      <c r="F103" s="322"/>
      <c r="G103" s="322"/>
      <c r="H103" s="322"/>
      <c r="I103" s="322"/>
      <c r="J103" s="322"/>
      <c r="K103" s="322"/>
      <c r="L103" s="322"/>
      <c r="M103" s="322"/>
    </row>
    <row r="104" spans="1:13" ht="15" customHeight="1">
      <c r="A104" s="322"/>
      <c r="B104" s="322"/>
      <c r="C104" s="322"/>
      <c r="D104" s="322"/>
      <c r="E104" s="322"/>
      <c r="F104" s="322"/>
      <c r="G104" s="322"/>
      <c r="H104" s="322"/>
      <c r="I104" s="322"/>
      <c r="J104" s="322"/>
      <c r="K104" s="322"/>
      <c r="L104" s="322"/>
      <c r="M104" s="322"/>
    </row>
    <row r="105" spans="1:13" ht="15" customHeight="1">
      <c r="A105" s="322"/>
      <c r="B105" s="322"/>
      <c r="C105" s="322"/>
      <c r="D105" s="322"/>
      <c r="E105" s="322"/>
      <c r="F105" s="322"/>
      <c r="G105" s="322"/>
      <c r="H105" s="322"/>
      <c r="I105" s="322"/>
      <c r="J105" s="322"/>
      <c r="K105" s="322"/>
      <c r="L105" s="322"/>
      <c r="M105" s="322"/>
    </row>
    <row r="106" spans="1:13" ht="15" customHeight="1">
      <c r="A106" s="322"/>
      <c r="B106" s="322"/>
      <c r="C106" s="322"/>
      <c r="D106" s="322"/>
      <c r="E106" s="322"/>
      <c r="F106" s="322"/>
      <c r="G106" s="322"/>
      <c r="H106" s="322"/>
      <c r="I106" s="322"/>
      <c r="J106" s="322"/>
      <c r="K106" s="322"/>
      <c r="L106" s="322"/>
      <c r="M106" s="322"/>
    </row>
    <row r="107" spans="1:13" ht="15" customHeight="1">
      <c r="A107" s="322"/>
      <c r="B107" s="322"/>
      <c r="C107" s="322"/>
      <c r="D107" s="322"/>
      <c r="E107" s="322"/>
      <c r="F107" s="322"/>
      <c r="G107" s="322"/>
      <c r="H107" s="322"/>
      <c r="I107" s="322"/>
      <c r="J107" s="322"/>
      <c r="K107" s="322"/>
      <c r="L107" s="322"/>
      <c r="M107" s="322"/>
    </row>
    <row r="108" spans="1:13" ht="15" customHeight="1">
      <c r="A108" s="322"/>
      <c r="B108" s="322"/>
      <c r="C108" s="322"/>
      <c r="D108" s="322"/>
      <c r="E108" s="322"/>
      <c r="F108" s="322"/>
      <c r="G108" s="322"/>
      <c r="H108" s="322"/>
      <c r="I108" s="322"/>
      <c r="J108" s="322"/>
      <c r="K108" s="322"/>
      <c r="L108" s="322"/>
      <c r="M108" s="322"/>
    </row>
    <row r="109" spans="1:13" ht="15" customHeight="1">
      <c r="A109" s="322"/>
      <c r="B109" s="322"/>
      <c r="C109" s="322"/>
      <c r="D109" s="322"/>
      <c r="E109" s="322"/>
      <c r="F109" s="322"/>
      <c r="G109" s="322"/>
      <c r="H109" s="322"/>
      <c r="I109" s="322"/>
      <c r="J109" s="322"/>
      <c r="K109" s="322"/>
      <c r="L109" s="322"/>
      <c r="M109" s="322"/>
    </row>
    <row r="110" spans="1:13" ht="15" customHeight="1">
      <c r="A110" s="322"/>
      <c r="B110" s="322"/>
      <c r="C110" s="322"/>
      <c r="D110" s="322"/>
      <c r="E110" s="322"/>
      <c r="F110" s="322"/>
      <c r="G110" s="322"/>
      <c r="H110" s="322"/>
      <c r="I110" s="322"/>
      <c r="J110" s="322"/>
      <c r="K110" s="322"/>
      <c r="L110" s="322"/>
      <c r="M110" s="322"/>
    </row>
    <row r="111" spans="1:13" ht="15" customHeight="1">
      <c r="A111" s="322"/>
      <c r="B111" s="322"/>
      <c r="C111" s="322"/>
      <c r="D111" s="322"/>
      <c r="E111" s="322"/>
      <c r="F111" s="322"/>
      <c r="G111" s="322"/>
      <c r="H111" s="322"/>
      <c r="I111" s="322"/>
      <c r="J111" s="322"/>
      <c r="K111" s="322"/>
      <c r="L111" s="322"/>
      <c r="M111" s="322"/>
    </row>
    <row r="112" spans="1:13" ht="15" customHeight="1">
      <c r="A112" s="322"/>
      <c r="B112" s="322"/>
      <c r="C112" s="322"/>
      <c r="D112" s="322"/>
      <c r="E112" s="322"/>
      <c r="F112" s="322"/>
      <c r="G112" s="322"/>
      <c r="H112" s="322"/>
      <c r="I112" s="322"/>
      <c r="J112" s="322"/>
      <c r="K112" s="322"/>
      <c r="L112" s="322"/>
      <c r="M112" s="322"/>
    </row>
    <row r="113" spans="1:13" ht="15" customHeight="1">
      <c r="A113" s="322"/>
      <c r="B113" s="322"/>
      <c r="C113" s="322"/>
      <c r="D113" s="322"/>
      <c r="E113" s="322"/>
      <c r="F113" s="322"/>
      <c r="G113" s="322"/>
      <c r="H113" s="322"/>
      <c r="I113" s="322"/>
      <c r="J113" s="322"/>
      <c r="K113" s="322"/>
      <c r="L113" s="322"/>
      <c r="M113" s="322"/>
    </row>
    <row r="114" spans="1:13" ht="15" customHeight="1">
      <c r="A114" s="322"/>
      <c r="B114" s="322"/>
      <c r="C114" s="322"/>
      <c r="D114" s="322"/>
      <c r="E114" s="322"/>
      <c r="F114" s="322"/>
      <c r="G114" s="322"/>
      <c r="H114" s="322"/>
      <c r="I114" s="322"/>
      <c r="J114" s="322"/>
      <c r="K114" s="322"/>
      <c r="L114" s="322"/>
      <c r="M114" s="322"/>
    </row>
    <row r="115" spans="1:13" ht="15" customHeight="1">
      <c r="A115" s="322"/>
      <c r="B115" s="322"/>
      <c r="C115" s="322"/>
      <c r="D115" s="322"/>
      <c r="E115" s="322"/>
      <c r="F115" s="322"/>
      <c r="G115" s="322"/>
      <c r="H115" s="322"/>
      <c r="I115" s="322"/>
      <c r="J115" s="322"/>
      <c r="K115" s="322"/>
      <c r="L115" s="322"/>
      <c r="M115" s="322"/>
    </row>
    <row r="116" spans="1:13" ht="15" customHeight="1">
      <c r="A116" s="322"/>
      <c r="B116" s="322"/>
      <c r="C116" s="322"/>
      <c r="D116" s="322"/>
      <c r="E116" s="322"/>
      <c r="F116" s="322"/>
      <c r="G116" s="322"/>
      <c r="H116" s="322"/>
      <c r="I116" s="322"/>
      <c r="J116" s="322"/>
      <c r="K116" s="322"/>
      <c r="L116" s="322"/>
      <c r="M116" s="322"/>
    </row>
    <row r="117" spans="1:13" ht="15" customHeight="1">
      <c r="A117" s="322"/>
      <c r="B117" s="322"/>
      <c r="C117" s="322"/>
      <c r="D117" s="322"/>
      <c r="E117" s="322"/>
      <c r="F117" s="322"/>
      <c r="G117" s="322"/>
      <c r="H117" s="322"/>
      <c r="I117" s="322"/>
      <c r="J117" s="322"/>
      <c r="K117" s="322"/>
      <c r="L117" s="322"/>
      <c r="M117" s="322"/>
    </row>
    <row r="118" spans="1:13" ht="15" customHeight="1">
      <c r="A118" s="322"/>
      <c r="B118" s="322"/>
      <c r="C118" s="322"/>
      <c r="D118" s="322"/>
      <c r="E118" s="322"/>
      <c r="F118" s="322"/>
      <c r="G118" s="322"/>
      <c r="H118" s="322"/>
      <c r="I118" s="322"/>
      <c r="J118" s="322"/>
      <c r="K118" s="322"/>
      <c r="L118" s="322"/>
      <c r="M118" s="322"/>
    </row>
    <row r="119" spans="1:13" ht="15" customHeight="1">
      <c r="A119" s="322"/>
      <c r="B119" s="322"/>
      <c r="C119" s="322"/>
      <c r="D119" s="322"/>
      <c r="E119" s="322"/>
      <c r="F119" s="322"/>
      <c r="G119" s="322"/>
      <c r="H119" s="322"/>
      <c r="I119" s="322"/>
      <c r="J119" s="322"/>
      <c r="K119" s="322"/>
      <c r="L119" s="322"/>
      <c r="M119" s="322"/>
    </row>
    <row r="120" spans="1:13" ht="15" customHeight="1">
      <c r="A120" s="322"/>
      <c r="B120" s="322"/>
      <c r="C120" s="322"/>
      <c r="D120" s="322"/>
      <c r="E120" s="322"/>
      <c r="F120" s="322"/>
      <c r="G120" s="322"/>
      <c r="H120" s="322"/>
      <c r="I120" s="322"/>
      <c r="J120" s="322"/>
      <c r="K120" s="322"/>
      <c r="L120" s="322"/>
      <c r="M120" s="322"/>
    </row>
    <row r="121" spans="1:13" ht="15" customHeight="1">
      <c r="A121" s="322"/>
      <c r="B121" s="322"/>
      <c r="C121" s="322"/>
      <c r="D121" s="322"/>
      <c r="E121" s="322"/>
      <c r="F121" s="322"/>
      <c r="G121" s="322"/>
      <c r="H121" s="322"/>
      <c r="I121" s="322"/>
      <c r="J121" s="322"/>
      <c r="K121" s="322"/>
      <c r="L121" s="322"/>
      <c r="M121" s="322"/>
    </row>
    <row r="122" spans="1:13" ht="15" customHeight="1">
      <c r="A122" s="322"/>
      <c r="B122" s="322"/>
      <c r="C122" s="322"/>
      <c r="D122" s="322"/>
      <c r="E122" s="322"/>
      <c r="F122" s="322"/>
      <c r="G122" s="322"/>
      <c r="H122" s="322"/>
      <c r="I122" s="322"/>
      <c r="J122" s="322"/>
      <c r="K122" s="322"/>
      <c r="L122" s="322"/>
      <c r="M122" s="322"/>
    </row>
    <row r="123" spans="1:13" ht="15" customHeight="1">
      <c r="A123" s="322"/>
      <c r="B123" s="322"/>
      <c r="C123" s="322"/>
      <c r="D123" s="322"/>
      <c r="E123" s="322"/>
      <c r="F123" s="322"/>
      <c r="G123" s="322"/>
      <c r="H123" s="322"/>
      <c r="I123" s="322"/>
      <c r="J123" s="322"/>
      <c r="K123" s="322"/>
      <c r="L123" s="322"/>
      <c r="M123" s="322"/>
    </row>
    <row r="124" spans="1:13" ht="15" customHeight="1">
      <c r="A124" s="322"/>
      <c r="B124" s="322"/>
      <c r="C124" s="322"/>
      <c r="D124" s="322"/>
      <c r="E124" s="322"/>
      <c r="F124" s="322"/>
      <c r="G124" s="322"/>
      <c r="H124" s="322"/>
      <c r="I124" s="322"/>
      <c r="J124" s="322"/>
      <c r="K124" s="322"/>
      <c r="L124" s="322"/>
      <c r="M124" s="322"/>
    </row>
    <row r="125" spans="1:13" ht="15" customHeight="1">
      <c r="A125" s="322"/>
      <c r="B125" s="322"/>
      <c r="C125" s="322"/>
      <c r="D125" s="322"/>
      <c r="E125" s="322"/>
      <c r="F125" s="322"/>
      <c r="G125" s="322"/>
      <c r="H125" s="322"/>
      <c r="I125" s="322"/>
      <c r="J125" s="322"/>
      <c r="K125" s="322"/>
      <c r="L125" s="322"/>
      <c r="M125" s="322"/>
    </row>
    <row r="126" spans="1:13" ht="15" customHeight="1">
      <c r="A126" s="322"/>
      <c r="B126" s="322"/>
      <c r="C126" s="322"/>
      <c r="D126" s="322"/>
      <c r="E126" s="322"/>
      <c r="F126" s="322"/>
      <c r="G126" s="322"/>
      <c r="H126" s="322"/>
      <c r="I126" s="322"/>
      <c r="J126" s="322"/>
      <c r="K126" s="322"/>
      <c r="L126" s="322"/>
      <c r="M126" s="322"/>
    </row>
    <row r="127" spans="1:13" ht="15" customHeight="1">
      <c r="A127" s="322"/>
      <c r="B127" s="322"/>
      <c r="C127" s="322"/>
      <c r="D127" s="322"/>
      <c r="E127" s="322"/>
      <c r="F127" s="322"/>
      <c r="G127" s="322"/>
      <c r="H127" s="322"/>
      <c r="I127" s="322"/>
      <c r="J127" s="322"/>
      <c r="K127" s="322"/>
      <c r="L127" s="322"/>
      <c r="M127" s="322"/>
    </row>
    <row r="128" spans="1:13" ht="15" customHeight="1">
      <c r="A128" s="322"/>
      <c r="B128" s="322"/>
      <c r="C128" s="322"/>
      <c r="D128" s="322"/>
      <c r="E128" s="322"/>
      <c r="F128" s="322"/>
      <c r="G128" s="322"/>
      <c r="H128" s="322"/>
      <c r="I128" s="322"/>
      <c r="J128" s="322"/>
      <c r="K128" s="322"/>
      <c r="L128" s="322"/>
      <c r="M128" s="322"/>
    </row>
    <row r="129" spans="1:13" ht="15" customHeight="1">
      <c r="A129" s="322"/>
      <c r="B129" s="322"/>
      <c r="C129" s="322"/>
      <c r="D129" s="322"/>
      <c r="E129" s="322"/>
      <c r="F129" s="322"/>
      <c r="G129" s="322"/>
      <c r="H129" s="322"/>
      <c r="I129" s="322"/>
      <c r="J129" s="322"/>
      <c r="K129" s="322"/>
      <c r="L129" s="322"/>
      <c r="M129" s="322"/>
    </row>
    <row r="130" spans="1:13" ht="15" customHeight="1">
      <c r="A130" s="322"/>
      <c r="B130" s="322"/>
      <c r="C130" s="322"/>
      <c r="D130" s="322"/>
      <c r="E130" s="322"/>
      <c r="F130" s="322"/>
      <c r="G130" s="322"/>
      <c r="H130" s="322"/>
      <c r="I130" s="322"/>
      <c r="J130" s="322"/>
      <c r="K130" s="322"/>
      <c r="L130" s="322"/>
      <c r="M130" s="322"/>
    </row>
    <row r="131" spans="1:13" ht="15" customHeight="1">
      <c r="A131" s="322"/>
      <c r="B131" s="322"/>
      <c r="C131" s="322"/>
      <c r="D131" s="322"/>
      <c r="E131" s="322"/>
      <c r="F131" s="322"/>
      <c r="G131" s="322"/>
      <c r="H131" s="322"/>
      <c r="I131" s="322"/>
      <c r="J131" s="322"/>
      <c r="K131" s="322"/>
      <c r="L131" s="322"/>
      <c r="M131" s="322"/>
    </row>
    <row r="132" spans="1:13" ht="15" customHeight="1">
      <c r="A132" s="322"/>
      <c r="B132" s="322"/>
      <c r="C132" s="322"/>
      <c r="D132" s="322"/>
      <c r="E132" s="322"/>
      <c r="F132" s="322"/>
      <c r="G132" s="322"/>
      <c r="H132" s="322"/>
      <c r="I132" s="322"/>
      <c r="J132" s="322"/>
      <c r="K132" s="322"/>
      <c r="L132" s="322"/>
      <c r="M132" s="322"/>
    </row>
    <row r="133" spans="1:13" ht="15" customHeight="1">
      <c r="A133" s="322"/>
      <c r="B133" s="322"/>
      <c r="C133" s="322"/>
      <c r="D133" s="322"/>
      <c r="E133" s="322"/>
      <c r="F133" s="322"/>
      <c r="G133" s="322"/>
      <c r="H133" s="322"/>
      <c r="I133" s="322"/>
      <c r="J133" s="322"/>
      <c r="K133" s="322"/>
      <c r="L133" s="322"/>
      <c r="M133" s="322"/>
    </row>
    <row r="134" spans="1:13" ht="15" customHeight="1">
      <c r="A134" s="322"/>
      <c r="B134" s="322"/>
      <c r="C134" s="322"/>
      <c r="D134" s="322"/>
      <c r="E134" s="322"/>
      <c r="F134" s="322"/>
      <c r="G134" s="322"/>
      <c r="H134" s="322"/>
      <c r="I134" s="322"/>
      <c r="J134" s="322"/>
      <c r="K134" s="322"/>
      <c r="L134" s="322"/>
      <c r="M134" s="322"/>
    </row>
    <row r="135" spans="1:13" ht="15" customHeight="1">
      <c r="A135" s="322"/>
      <c r="B135" s="322"/>
      <c r="C135" s="322"/>
      <c r="D135" s="322"/>
      <c r="E135" s="322"/>
      <c r="F135" s="322"/>
      <c r="G135" s="322"/>
      <c r="H135" s="322"/>
      <c r="I135" s="322"/>
      <c r="J135" s="322"/>
      <c r="K135" s="322"/>
      <c r="L135" s="322"/>
      <c r="M135" s="322"/>
    </row>
    <row r="136" spans="1:13" ht="15" customHeight="1">
      <c r="A136" s="322"/>
      <c r="B136" s="322"/>
      <c r="C136" s="322"/>
      <c r="D136" s="322"/>
      <c r="E136" s="322"/>
      <c r="F136" s="322"/>
      <c r="G136" s="322"/>
      <c r="H136" s="322"/>
      <c r="I136" s="322"/>
      <c r="J136" s="322"/>
      <c r="K136" s="322"/>
      <c r="L136" s="322"/>
      <c r="M136" s="322"/>
    </row>
    <row r="137" spans="1:13" ht="15" customHeight="1">
      <c r="A137" s="322"/>
      <c r="B137" s="322"/>
      <c r="C137" s="322"/>
      <c r="D137" s="322"/>
      <c r="E137" s="322"/>
      <c r="F137" s="322"/>
      <c r="G137" s="322"/>
      <c r="H137" s="322"/>
      <c r="I137" s="322"/>
      <c r="J137" s="322"/>
      <c r="K137" s="322"/>
      <c r="L137" s="322"/>
      <c r="M137" s="322"/>
    </row>
    <row r="138" spans="1:13" ht="15" customHeight="1">
      <c r="A138" s="322"/>
      <c r="B138" s="322"/>
      <c r="C138" s="322"/>
      <c r="D138" s="322"/>
      <c r="E138" s="322"/>
      <c r="F138" s="322"/>
      <c r="G138" s="322"/>
      <c r="H138" s="322"/>
      <c r="I138" s="322"/>
      <c r="J138" s="322"/>
      <c r="K138" s="322"/>
      <c r="L138" s="322"/>
      <c r="M138" s="322"/>
    </row>
    <row r="139" spans="1:13" ht="15" customHeight="1">
      <c r="A139" s="322"/>
      <c r="B139" s="322"/>
      <c r="C139" s="322"/>
      <c r="D139" s="322"/>
      <c r="E139" s="322"/>
      <c r="F139" s="322"/>
      <c r="G139" s="322"/>
      <c r="H139" s="322"/>
      <c r="I139" s="322"/>
      <c r="J139" s="322"/>
      <c r="K139" s="322"/>
      <c r="L139" s="322"/>
      <c r="M139" s="322"/>
    </row>
    <row r="140" spans="1:13" ht="15" customHeight="1">
      <c r="A140" s="322"/>
      <c r="B140" s="322"/>
      <c r="C140" s="322"/>
      <c r="D140" s="322"/>
      <c r="E140" s="322"/>
      <c r="F140" s="322"/>
      <c r="G140" s="322"/>
      <c r="H140" s="322"/>
      <c r="I140" s="322"/>
      <c r="J140" s="322"/>
      <c r="K140" s="322"/>
      <c r="L140" s="322"/>
      <c r="M140" s="322"/>
    </row>
    <row r="141" spans="1:13" ht="15" customHeight="1">
      <c r="A141" s="322"/>
      <c r="B141" s="322"/>
      <c r="C141" s="322"/>
      <c r="D141" s="322"/>
      <c r="E141" s="322"/>
      <c r="F141" s="322"/>
      <c r="G141" s="322"/>
      <c r="H141" s="322"/>
      <c r="I141" s="322"/>
      <c r="J141" s="322"/>
      <c r="K141" s="322"/>
      <c r="L141" s="322"/>
      <c r="M141" s="322"/>
    </row>
    <row r="142" spans="1:13" ht="15" customHeight="1">
      <c r="A142" s="322"/>
      <c r="B142" s="322"/>
      <c r="C142" s="322"/>
      <c r="D142" s="322"/>
      <c r="E142" s="322"/>
      <c r="F142" s="322"/>
      <c r="G142" s="322"/>
      <c r="H142" s="322"/>
      <c r="I142" s="322"/>
      <c r="J142" s="322"/>
      <c r="K142" s="322"/>
      <c r="L142" s="322"/>
      <c r="M142" s="322"/>
    </row>
    <row r="143" spans="1:13" ht="15" customHeight="1">
      <c r="A143" s="322"/>
      <c r="B143" s="322"/>
      <c r="C143" s="322"/>
      <c r="D143" s="322"/>
      <c r="E143" s="322"/>
      <c r="F143" s="322"/>
      <c r="G143" s="322"/>
      <c r="H143" s="322"/>
      <c r="I143" s="322"/>
      <c r="J143" s="322"/>
      <c r="K143" s="322"/>
      <c r="L143" s="322"/>
      <c r="M143" s="322"/>
    </row>
    <row r="144" spans="1:13" ht="15" customHeight="1">
      <c r="A144" s="322"/>
      <c r="B144" s="322"/>
      <c r="C144" s="322"/>
      <c r="D144" s="322"/>
      <c r="E144" s="322"/>
      <c r="F144" s="322"/>
      <c r="G144" s="322"/>
      <c r="H144" s="322"/>
      <c r="I144" s="322"/>
      <c r="J144" s="322"/>
      <c r="K144" s="322"/>
      <c r="L144" s="322"/>
      <c r="M144" s="322"/>
    </row>
    <row r="145" spans="1:13" ht="15" customHeight="1">
      <c r="A145" s="322"/>
      <c r="B145" s="322"/>
      <c r="C145" s="322"/>
      <c r="D145" s="322"/>
      <c r="E145" s="322"/>
      <c r="F145" s="322"/>
      <c r="G145" s="322"/>
      <c r="H145" s="322"/>
      <c r="I145" s="322"/>
      <c r="J145" s="322"/>
      <c r="K145" s="322"/>
      <c r="L145" s="322"/>
      <c r="M145" s="322"/>
    </row>
    <row r="146" spans="1:13" ht="15">
      <c r="A146" s="322"/>
      <c r="B146" s="322"/>
      <c r="C146" s="322"/>
      <c r="D146" s="322"/>
      <c r="E146" s="322"/>
      <c r="F146" s="322"/>
      <c r="G146" s="322"/>
      <c r="H146" s="322"/>
      <c r="I146" s="322"/>
      <c r="J146" s="322"/>
      <c r="K146" s="322"/>
      <c r="L146" s="322"/>
      <c r="M146" s="322"/>
    </row>
    <row r="147" spans="1:13" ht="15">
      <c r="A147" s="322"/>
      <c r="B147" s="322"/>
      <c r="C147" s="322"/>
      <c r="D147" s="322"/>
      <c r="E147" s="322"/>
      <c r="F147" s="322"/>
      <c r="G147" s="322"/>
      <c r="H147" s="322"/>
      <c r="I147" s="322"/>
      <c r="J147" s="322"/>
      <c r="K147" s="322"/>
      <c r="L147" s="322"/>
      <c r="M147" s="322"/>
    </row>
    <row r="148" spans="1:13" ht="15">
      <c r="A148" s="322"/>
      <c r="B148" s="322"/>
      <c r="C148" s="322"/>
      <c r="D148" s="322"/>
      <c r="E148" s="322"/>
      <c r="F148" s="322"/>
      <c r="G148" s="322"/>
      <c r="H148" s="322"/>
      <c r="I148" s="322"/>
      <c r="J148" s="322"/>
      <c r="K148" s="322"/>
      <c r="L148" s="322"/>
      <c r="M148" s="322"/>
    </row>
    <row r="149" spans="1:13" ht="15">
      <c r="A149" s="322"/>
      <c r="B149" s="322"/>
      <c r="C149" s="322"/>
      <c r="D149" s="322"/>
      <c r="E149" s="322"/>
      <c r="F149" s="322"/>
      <c r="G149" s="322"/>
      <c r="H149" s="322"/>
      <c r="I149" s="322"/>
      <c r="J149" s="322"/>
      <c r="K149" s="322"/>
      <c r="L149" s="322"/>
      <c r="M149" s="322"/>
    </row>
    <row r="150" spans="1:13" ht="15">
      <c r="A150" s="322"/>
      <c r="B150" s="322"/>
      <c r="C150" s="322"/>
      <c r="D150" s="322"/>
      <c r="E150" s="322"/>
      <c r="F150" s="322"/>
      <c r="G150" s="322"/>
      <c r="H150" s="322"/>
      <c r="I150" s="322"/>
      <c r="J150" s="322"/>
      <c r="K150" s="322"/>
      <c r="L150" s="322"/>
      <c r="M150" s="322"/>
    </row>
    <row r="151" spans="1:13" ht="15">
      <c r="A151" s="322"/>
      <c r="B151" s="322"/>
      <c r="C151" s="322"/>
      <c r="D151" s="322"/>
      <c r="E151" s="322"/>
      <c r="F151" s="322"/>
      <c r="G151" s="322"/>
      <c r="H151" s="322"/>
      <c r="I151" s="322"/>
      <c r="J151" s="322"/>
      <c r="K151" s="322"/>
      <c r="L151" s="322"/>
      <c r="M151" s="322"/>
    </row>
    <row r="152" spans="1:13" ht="15">
      <c r="A152" s="322"/>
      <c r="B152" s="322"/>
      <c r="C152" s="322"/>
      <c r="D152" s="322"/>
      <c r="E152" s="322"/>
      <c r="F152" s="322"/>
      <c r="G152" s="322"/>
      <c r="H152" s="322"/>
      <c r="I152" s="322"/>
      <c r="J152" s="322"/>
      <c r="K152" s="322"/>
      <c r="L152" s="322"/>
      <c r="M152" s="322"/>
    </row>
    <row r="153" spans="1:13" ht="15">
      <c r="A153" s="322"/>
      <c r="B153" s="322"/>
      <c r="C153" s="322"/>
      <c r="D153" s="322"/>
      <c r="E153" s="322"/>
      <c r="F153" s="322"/>
      <c r="G153" s="322"/>
      <c r="H153" s="322"/>
      <c r="I153" s="322"/>
      <c r="J153" s="322"/>
      <c r="K153" s="322"/>
      <c r="L153" s="322"/>
      <c r="M153" s="322"/>
    </row>
    <row r="154" spans="1:13" ht="15">
      <c r="A154" s="322"/>
      <c r="B154" s="322"/>
      <c r="C154" s="322"/>
      <c r="D154" s="322"/>
      <c r="E154" s="322"/>
      <c r="F154" s="322"/>
      <c r="G154" s="322"/>
      <c r="H154" s="322"/>
      <c r="I154" s="322"/>
      <c r="J154" s="322"/>
      <c r="K154" s="322"/>
      <c r="L154" s="322"/>
      <c r="M154" s="322"/>
    </row>
    <row r="155" spans="1:13" ht="15">
      <c r="A155" s="322"/>
      <c r="B155" s="322"/>
      <c r="C155" s="322"/>
      <c r="D155" s="322"/>
      <c r="E155" s="322"/>
      <c r="F155" s="322"/>
      <c r="G155" s="322"/>
      <c r="H155" s="322"/>
      <c r="I155" s="322"/>
      <c r="J155" s="322"/>
      <c r="K155" s="322"/>
      <c r="L155" s="322"/>
      <c r="M155" s="322"/>
    </row>
    <row r="156" spans="1:13" ht="15">
      <c r="A156" s="322"/>
      <c r="B156" s="322"/>
      <c r="C156" s="322"/>
      <c r="D156" s="322"/>
      <c r="E156" s="322"/>
      <c r="F156" s="322"/>
      <c r="G156" s="322"/>
      <c r="H156" s="322"/>
      <c r="I156" s="322"/>
      <c r="J156" s="322"/>
      <c r="K156" s="322"/>
      <c r="L156" s="322"/>
      <c r="M156" s="322"/>
    </row>
    <row r="157" spans="1:13" ht="15">
      <c r="A157" s="322"/>
      <c r="B157" s="322"/>
      <c r="C157" s="322"/>
      <c r="D157" s="322"/>
      <c r="E157" s="322"/>
      <c r="F157" s="322"/>
      <c r="G157" s="322"/>
      <c r="H157" s="322"/>
      <c r="I157" s="322"/>
      <c r="J157" s="322"/>
      <c r="K157" s="322"/>
      <c r="L157" s="322"/>
      <c r="M157" s="322"/>
    </row>
    <row r="158" spans="1:13" ht="15">
      <c r="A158" s="322"/>
      <c r="B158" s="322"/>
      <c r="C158" s="322"/>
      <c r="D158" s="322"/>
      <c r="E158" s="322"/>
      <c r="F158" s="322"/>
      <c r="G158" s="322"/>
      <c r="H158" s="322"/>
      <c r="I158" s="322"/>
      <c r="J158" s="322"/>
      <c r="K158" s="322"/>
      <c r="L158" s="322"/>
      <c r="M158" s="322"/>
    </row>
    <row r="159" spans="1:13" ht="15">
      <c r="A159" s="322"/>
      <c r="B159" s="322"/>
      <c r="C159" s="322"/>
      <c r="D159" s="322"/>
      <c r="E159" s="322"/>
      <c r="F159" s="322"/>
      <c r="G159" s="322"/>
      <c r="H159" s="322"/>
      <c r="I159" s="322"/>
      <c r="J159" s="322"/>
      <c r="K159" s="322"/>
      <c r="L159" s="322"/>
      <c r="M159" s="322"/>
    </row>
    <row r="160" spans="1:13" ht="15">
      <c r="A160" s="322"/>
      <c r="B160" s="322"/>
      <c r="C160" s="322"/>
      <c r="D160" s="322"/>
      <c r="E160" s="322"/>
      <c r="F160" s="322"/>
      <c r="G160" s="322"/>
      <c r="H160" s="322"/>
      <c r="I160" s="322"/>
      <c r="J160" s="322"/>
      <c r="K160" s="322"/>
      <c r="L160" s="322"/>
      <c r="M160" s="322"/>
    </row>
    <row r="161" spans="1:13" ht="15">
      <c r="A161" s="322"/>
      <c r="B161" s="322"/>
      <c r="C161" s="322"/>
      <c r="D161" s="322"/>
      <c r="E161" s="322"/>
      <c r="F161" s="322"/>
      <c r="G161" s="322"/>
      <c r="H161" s="322"/>
      <c r="I161" s="322"/>
      <c r="J161" s="322"/>
      <c r="K161" s="322"/>
      <c r="L161" s="322"/>
      <c r="M161" s="322"/>
    </row>
    <row r="162" spans="1:13" ht="15">
      <c r="A162" s="322"/>
      <c r="B162" s="322"/>
      <c r="C162" s="322"/>
      <c r="D162" s="322"/>
      <c r="E162" s="322"/>
      <c r="F162" s="322"/>
      <c r="G162" s="322"/>
      <c r="H162" s="322"/>
      <c r="I162" s="322"/>
      <c r="J162" s="322"/>
      <c r="K162" s="322"/>
      <c r="L162" s="322"/>
      <c r="M162" s="322"/>
    </row>
    <row r="163" spans="1:13" ht="15">
      <c r="A163" s="322"/>
      <c r="B163" s="322"/>
      <c r="C163" s="322"/>
      <c r="D163" s="322"/>
      <c r="E163" s="322"/>
      <c r="F163" s="322"/>
      <c r="G163" s="322"/>
      <c r="H163" s="322"/>
      <c r="I163" s="322"/>
      <c r="J163" s="322"/>
      <c r="K163" s="322"/>
      <c r="L163" s="322"/>
      <c r="M163" s="322"/>
    </row>
    <row r="164" spans="1:13" ht="15">
      <c r="A164" s="322"/>
      <c r="B164" s="322"/>
      <c r="C164" s="322"/>
      <c r="D164" s="322"/>
      <c r="E164" s="322"/>
      <c r="F164" s="322"/>
      <c r="G164" s="322"/>
      <c r="H164" s="322"/>
      <c r="I164" s="322"/>
      <c r="J164" s="322"/>
      <c r="K164" s="322"/>
      <c r="L164" s="322"/>
      <c r="M164" s="322"/>
    </row>
    <row r="165" spans="1:13" ht="15">
      <c r="A165" s="322"/>
      <c r="B165" s="322"/>
      <c r="C165" s="322"/>
      <c r="D165" s="322"/>
      <c r="E165" s="322"/>
      <c r="F165" s="322"/>
      <c r="G165" s="322"/>
      <c r="H165" s="322"/>
      <c r="I165" s="322"/>
      <c r="J165" s="322"/>
      <c r="K165" s="322"/>
      <c r="L165" s="322"/>
      <c r="M165" s="322"/>
    </row>
    <row r="166" spans="1:13" ht="15">
      <c r="A166" s="322"/>
      <c r="B166" s="322"/>
      <c r="C166" s="322"/>
      <c r="D166" s="322"/>
      <c r="E166" s="322"/>
      <c r="F166" s="322"/>
      <c r="G166" s="322"/>
      <c r="H166" s="322"/>
      <c r="I166" s="322"/>
      <c r="J166" s="322"/>
      <c r="K166" s="322"/>
      <c r="L166" s="322"/>
      <c r="M166" s="322"/>
    </row>
  </sheetData>
  <sheetProtection algorithmName="SHA-512" hashValue="RAE1neDUWw52QdF40lSM7iTLE1l7L7Rx1taPto6eXINge2RyNmUZLALvguwNl7CmOlGjquWAqm5ZuxvID8eN4w==" saltValue="tJrTp6CgvG1jV/F2+0RuBw==" spinCount="100000" sheet="1" objects="1" scenarios="1" autoFilter="0"/>
  <mergeCells count="46">
    <mergeCell ref="C49:M49"/>
    <mergeCell ref="C39:M39"/>
    <mergeCell ref="C40:M40"/>
    <mergeCell ref="C41:M41"/>
    <mergeCell ref="C42:M42"/>
    <mergeCell ref="C43:M43"/>
    <mergeCell ref="C48:M48"/>
    <mergeCell ref="C37:M37"/>
    <mergeCell ref="C38:M38"/>
    <mergeCell ref="C45:M45"/>
    <mergeCell ref="C46:M46"/>
    <mergeCell ref="C47:M47"/>
    <mergeCell ref="C44:M44"/>
    <mergeCell ref="C33:M33"/>
    <mergeCell ref="C34:M34"/>
    <mergeCell ref="C35:M35"/>
    <mergeCell ref="C36:M36"/>
    <mergeCell ref="C21:M21"/>
    <mergeCell ref="C22:M22"/>
    <mergeCell ref="C23:M23"/>
    <mergeCell ref="C25:M25"/>
    <mergeCell ref="C26:M26"/>
    <mergeCell ref="C27:M27"/>
    <mergeCell ref="C28:M28"/>
    <mergeCell ref="C29:M29"/>
    <mergeCell ref="C30:M30"/>
    <mergeCell ref="C31:M31"/>
    <mergeCell ref="C32:M32"/>
    <mergeCell ref="C20:M20"/>
    <mergeCell ref="J7:M7"/>
    <mergeCell ref="C10:M10"/>
    <mergeCell ref="C11:M11"/>
    <mergeCell ref="C12:M12"/>
    <mergeCell ref="C13:M13"/>
    <mergeCell ref="C14:M14"/>
    <mergeCell ref="C15:M15"/>
    <mergeCell ref="C16:M16"/>
    <mergeCell ref="C17:M17"/>
    <mergeCell ref="C18:M18"/>
    <mergeCell ref="C19:M19"/>
    <mergeCell ref="J6:M6"/>
    <mergeCell ref="A1:M1"/>
    <mergeCell ref="N1:N3"/>
    <mergeCell ref="A2:M2"/>
    <mergeCell ref="A3:M3"/>
    <mergeCell ref="J5:M5"/>
  </mergeCells>
  <conditionalFormatting sqref="N1:N3">
    <cfRule type="cellIs" dxfId="1" priority="1" stopIfTrue="1" operator="equal">
      <formula>"na"</formula>
    </cfRule>
  </conditionalFormatting>
  <hyperlinks>
    <hyperlink ref="A1:M1" location="Index!A1" display="Index!A1" xr:uid="{00000000-0004-0000-1A00-000000000000}"/>
  </hyperlinks>
  <printOptions horizontalCentered="1"/>
  <pageMargins left="0.5" right="0.25" top="0.5" bottom="0.25" header="0.5" footer="0.2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AA40"/>
  <sheetViews>
    <sheetView showGridLines="0" zoomScaleNormal="100" workbookViewId="0">
      <selection activeCell="B24" sqref="B24:M24"/>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113" t="str">
        <f>+Index!$A$1</f>
        <v>Office of the State Controller</v>
      </c>
      <c r="B1" s="1113"/>
      <c r="C1" s="1113"/>
      <c r="D1" s="1113"/>
      <c r="E1" s="1113"/>
      <c r="F1" s="1113"/>
      <c r="G1" s="1113"/>
      <c r="H1" s="1113"/>
      <c r="I1" s="1113"/>
      <c r="J1" s="1113"/>
      <c r="K1" s="1113"/>
      <c r="L1" s="1113"/>
      <c r="M1" s="1113"/>
      <c r="N1" s="1175" t="str">
        <f>IF(Index!$B$68="na","NA","")</f>
        <v/>
      </c>
      <c r="AA1" s="197"/>
    </row>
    <row r="2" spans="1:27" s="196" customFormat="1" ht="15" customHeight="1">
      <c r="A2" s="1114" t="str">
        <f>Index!A2</f>
        <v>2023 Year-End ACFR Package</v>
      </c>
      <c r="B2" s="1114"/>
      <c r="C2" s="1114"/>
      <c r="D2" s="1114"/>
      <c r="E2" s="1114"/>
      <c r="F2" s="1114"/>
      <c r="G2" s="1114"/>
      <c r="H2" s="1114"/>
      <c r="I2" s="1114"/>
      <c r="J2" s="1114"/>
      <c r="K2" s="1114"/>
      <c r="L2" s="1114"/>
      <c r="M2" s="1114"/>
      <c r="N2" s="1175"/>
    </row>
    <row r="3" spans="1:27" s="196" customFormat="1" ht="15" customHeight="1">
      <c r="A3" s="1114" t="s">
        <v>64</v>
      </c>
      <c r="B3" s="1114"/>
      <c r="C3" s="1114"/>
      <c r="D3" s="1114"/>
      <c r="E3" s="1114"/>
      <c r="F3" s="1114"/>
      <c r="G3" s="1114"/>
      <c r="H3" s="1114"/>
      <c r="I3" s="1114"/>
      <c r="J3" s="1114"/>
      <c r="K3" s="1114"/>
      <c r="L3" s="1114"/>
      <c r="M3" s="1114"/>
      <c r="N3" s="1175"/>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479</v>
      </c>
      <c r="J5" s="1171" t="str">
        <f>+Index!$D$10</f>
        <v>C0</v>
      </c>
      <c r="K5" s="1171"/>
      <c r="L5" s="1171"/>
      <c r="M5" s="1171"/>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480</v>
      </c>
      <c r="J6" s="1137" t="str">
        <f>+Index!$D$9</f>
        <v>Alamance Community College</v>
      </c>
      <c r="K6" s="1137"/>
      <c r="L6" s="1137"/>
      <c r="M6" s="1137"/>
      <c r="N6" s="318"/>
      <c r="O6" s="318"/>
      <c r="P6" s="318"/>
      <c r="Q6" s="318"/>
      <c r="R6" s="318"/>
      <c r="S6" s="318"/>
      <c r="T6" s="318"/>
      <c r="U6" s="318"/>
      <c r="V6" s="318"/>
      <c r="W6" s="318"/>
      <c r="X6" s="318"/>
      <c r="Y6" s="318"/>
      <c r="Z6" s="318"/>
      <c r="AA6" s="318"/>
    </row>
    <row r="7" spans="1:27" s="198" customFormat="1" ht="15" customHeight="1">
      <c r="A7" s="318" t="s">
        <v>597</v>
      </c>
      <c r="B7" s="318"/>
      <c r="C7" s="318"/>
      <c r="D7" s="862" t="s">
        <v>493</v>
      </c>
      <c r="E7" s="863"/>
      <c r="F7" s="318"/>
      <c r="G7" s="318"/>
      <c r="H7" s="318"/>
      <c r="I7" s="320" t="s">
        <v>481</v>
      </c>
      <c r="J7" s="1172" t="str">
        <f>CONCATENATE(Index!$D$11," ",Index!$D$12)</f>
        <v xml:space="preserve"> </v>
      </c>
      <c r="K7" s="1172"/>
      <c r="L7" s="1172"/>
      <c r="M7" s="1172"/>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2.7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2.75" customHeight="1">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198" customFormat="1" ht="12.75" customHeight="1">
      <c r="A11" s="1176" t="s">
        <v>1063</v>
      </c>
      <c r="B11" s="1177"/>
      <c r="C11" s="1177"/>
      <c r="D11" s="1177"/>
      <c r="E11" s="1177"/>
      <c r="F11" s="1177"/>
      <c r="G11" s="1177"/>
      <c r="H11" s="1177"/>
      <c r="I11" s="1177"/>
      <c r="J11" s="1177"/>
      <c r="K11" s="1177"/>
      <c r="L11" s="1177"/>
      <c r="M11" s="1177"/>
      <c r="N11" s="1177"/>
      <c r="O11" s="318"/>
      <c r="P11" s="318"/>
      <c r="Q11" s="318"/>
      <c r="R11" s="318"/>
      <c r="S11" s="318"/>
      <c r="T11" s="318"/>
      <c r="U11" s="318"/>
      <c r="V11" s="318"/>
      <c r="W11" s="318"/>
      <c r="X11" s="318"/>
      <c r="Y11" s="318"/>
      <c r="Z11" s="318"/>
      <c r="AA11" s="318"/>
    </row>
    <row r="12" spans="1:27" s="198" customFormat="1" ht="12.75" customHeight="1">
      <c r="A12" s="1178" t="s">
        <v>1064</v>
      </c>
      <c r="B12" s="1178"/>
      <c r="C12" s="1178"/>
      <c r="D12" s="1178"/>
      <c r="E12" s="1178"/>
      <c r="F12" s="1178"/>
      <c r="G12" s="1178"/>
      <c r="H12" s="1178"/>
      <c r="I12" s="1178"/>
      <c r="J12" s="1178"/>
      <c r="K12" s="1178"/>
      <c r="L12" s="1178"/>
      <c r="M12" s="1178"/>
      <c r="N12" s="746"/>
      <c r="O12" s="318"/>
      <c r="P12" s="318"/>
      <c r="Q12" s="318"/>
      <c r="R12" s="318"/>
      <c r="S12" s="318"/>
      <c r="T12" s="318"/>
      <c r="U12" s="318"/>
      <c r="V12" s="318"/>
      <c r="W12" s="318"/>
      <c r="X12" s="318"/>
      <c r="Y12" s="318"/>
      <c r="Z12" s="318"/>
      <c r="AA12" s="318"/>
    </row>
    <row r="13" spans="1:27" s="198" customFormat="1" ht="12.75" customHeight="1">
      <c r="A13" s="1178" t="s">
        <v>1065</v>
      </c>
      <c r="B13" s="1178"/>
      <c r="C13" s="1178"/>
      <c r="D13" s="1178"/>
      <c r="E13" s="1178"/>
      <c r="F13" s="1178"/>
      <c r="G13" s="1178"/>
      <c r="H13" s="1178"/>
      <c r="I13" s="1178"/>
      <c r="J13" s="1178"/>
      <c r="K13" s="1178"/>
      <c r="L13" s="1178"/>
      <c r="M13" s="1178"/>
      <c r="N13" s="746"/>
      <c r="O13" s="318"/>
      <c r="P13" s="318"/>
      <c r="Q13" s="318"/>
      <c r="R13" s="318"/>
      <c r="S13" s="318"/>
      <c r="T13" s="318"/>
      <c r="U13" s="318"/>
      <c r="V13" s="318"/>
      <c r="W13" s="318"/>
      <c r="X13" s="318"/>
      <c r="Y13" s="318"/>
      <c r="Z13" s="318"/>
      <c r="AA13" s="318"/>
    </row>
    <row r="14" spans="1:27" s="198" customFormat="1" ht="12.75" customHeight="1">
      <c r="A14" s="1178" t="s">
        <v>1066</v>
      </c>
      <c r="B14" s="1178"/>
      <c r="C14" s="1178"/>
      <c r="D14" s="1178"/>
      <c r="E14" s="1178"/>
      <c r="F14" s="1178"/>
      <c r="G14" s="1178"/>
      <c r="H14" s="1178"/>
      <c r="I14" s="1178"/>
      <c r="J14" s="1178"/>
      <c r="K14" s="1178"/>
      <c r="L14" s="1178"/>
      <c r="M14" s="1178"/>
      <c r="N14" s="746"/>
      <c r="O14" s="318"/>
      <c r="P14" s="318"/>
      <c r="Q14" s="318"/>
      <c r="R14" s="318"/>
      <c r="S14" s="318"/>
      <c r="T14" s="318"/>
      <c r="U14" s="318"/>
      <c r="V14" s="318"/>
      <c r="W14" s="318"/>
      <c r="X14" s="318"/>
      <c r="Y14" s="318"/>
      <c r="Z14" s="318"/>
      <c r="AA14" s="318"/>
    </row>
    <row r="15" spans="1:27" s="198" customFormat="1" ht="12.75" customHeight="1">
      <c r="A15" s="1178"/>
      <c r="B15" s="1178"/>
      <c r="C15" s="1178"/>
      <c r="D15" s="1178"/>
      <c r="E15" s="1178"/>
      <c r="F15" s="1178"/>
      <c r="G15" s="1178"/>
      <c r="H15" s="1178"/>
      <c r="I15" s="1178"/>
      <c r="J15" s="1178"/>
      <c r="K15" s="1178"/>
      <c r="L15" s="1178"/>
      <c r="M15" s="1178"/>
      <c r="N15" s="746"/>
      <c r="O15" s="318"/>
      <c r="P15" s="318"/>
      <c r="Q15" s="318"/>
      <c r="R15" s="318"/>
      <c r="S15" s="318"/>
      <c r="T15" s="318"/>
      <c r="U15" s="318"/>
      <c r="V15" s="318"/>
      <c r="W15" s="318"/>
      <c r="X15" s="318"/>
      <c r="Y15" s="318"/>
      <c r="Z15" s="318"/>
      <c r="AA15" s="318"/>
    </row>
    <row r="16" spans="1:27" ht="15.75" customHeight="1">
      <c r="B16" s="1233"/>
      <c r="C16" s="1233"/>
      <c r="D16" s="1233"/>
      <c r="E16" s="1233"/>
      <c r="F16" s="1233"/>
      <c r="G16" s="1233"/>
      <c r="H16" s="1233"/>
      <c r="I16" s="1233"/>
      <c r="J16" s="1233"/>
      <c r="K16" s="1233"/>
      <c r="L16" s="1233"/>
      <c r="M16" s="1233"/>
    </row>
    <row r="17" spans="2:13" ht="15.75" customHeight="1">
      <c r="B17" s="1232"/>
      <c r="C17" s="1232"/>
      <c r="D17" s="1232"/>
      <c r="E17" s="1232"/>
      <c r="F17" s="1232"/>
      <c r="G17" s="1232"/>
      <c r="H17" s="1232"/>
      <c r="I17" s="1232"/>
      <c r="J17" s="1232"/>
      <c r="K17" s="1232"/>
      <c r="L17" s="1232"/>
      <c r="M17" s="1232"/>
    </row>
    <row r="18" spans="2:13" ht="15.75" customHeight="1">
      <c r="B18" s="1232"/>
      <c r="C18" s="1232"/>
      <c r="D18" s="1232"/>
      <c r="E18" s="1232"/>
      <c r="F18" s="1232"/>
      <c r="G18" s="1232"/>
      <c r="H18" s="1232"/>
      <c r="I18" s="1232"/>
      <c r="J18" s="1232"/>
      <c r="K18" s="1232"/>
      <c r="L18" s="1232"/>
      <c r="M18" s="1232"/>
    </row>
    <row r="19" spans="2:13" ht="15.75" customHeight="1">
      <c r="B19" s="1233"/>
      <c r="C19" s="1233"/>
      <c r="D19" s="1233"/>
      <c r="E19" s="1233"/>
      <c r="F19" s="1233"/>
      <c r="G19" s="1233"/>
      <c r="H19" s="1233"/>
      <c r="I19" s="1233"/>
      <c r="J19" s="1233"/>
      <c r="K19" s="1233"/>
      <c r="L19" s="1233"/>
      <c r="M19" s="1233"/>
    </row>
    <row r="20" spans="2:13" ht="15.75" customHeight="1">
      <c r="B20" s="1232"/>
      <c r="C20" s="1232"/>
      <c r="D20" s="1232"/>
      <c r="E20" s="1232"/>
      <c r="F20" s="1232"/>
      <c r="G20" s="1232"/>
      <c r="H20" s="1232"/>
      <c r="I20" s="1232"/>
      <c r="J20" s="1232"/>
      <c r="K20" s="1232"/>
      <c r="L20" s="1232"/>
      <c r="M20" s="1232"/>
    </row>
    <row r="21" spans="2:13" ht="15.75" customHeight="1">
      <c r="B21" s="1232"/>
      <c r="C21" s="1232"/>
      <c r="D21" s="1232"/>
      <c r="E21" s="1232"/>
      <c r="F21" s="1232"/>
      <c r="G21" s="1232"/>
      <c r="H21" s="1232"/>
      <c r="I21" s="1232"/>
      <c r="J21" s="1232"/>
      <c r="K21" s="1232"/>
      <c r="L21" s="1232"/>
      <c r="M21" s="1232"/>
    </row>
    <row r="22" spans="2:13" ht="15.75" customHeight="1">
      <c r="B22" s="1233"/>
      <c r="C22" s="1233"/>
      <c r="D22" s="1233"/>
      <c r="E22" s="1233"/>
      <c r="F22" s="1233"/>
      <c r="G22" s="1233"/>
      <c r="H22" s="1233"/>
      <c r="I22" s="1233"/>
      <c r="J22" s="1233"/>
      <c r="K22" s="1233"/>
      <c r="L22" s="1233"/>
      <c r="M22" s="1233"/>
    </row>
    <row r="23" spans="2:13" ht="15.75" customHeight="1">
      <c r="B23" s="1232"/>
      <c r="C23" s="1232"/>
      <c r="D23" s="1232"/>
      <c r="E23" s="1232"/>
      <c r="F23" s="1232"/>
      <c r="G23" s="1232"/>
      <c r="H23" s="1232"/>
      <c r="I23" s="1232"/>
      <c r="J23" s="1232"/>
      <c r="K23" s="1232"/>
      <c r="L23" s="1232"/>
      <c r="M23" s="1232"/>
    </row>
    <row r="24" spans="2:13" ht="15.75" customHeight="1">
      <c r="B24" s="1232"/>
      <c r="C24" s="1232"/>
      <c r="D24" s="1232"/>
      <c r="E24" s="1232"/>
      <c r="F24" s="1232"/>
      <c r="G24" s="1232"/>
      <c r="H24" s="1232"/>
      <c r="I24" s="1232"/>
      <c r="J24" s="1232"/>
      <c r="K24" s="1232"/>
      <c r="L24" s="1232"/>
      <c r="M24" s="1232"/>
    </row>
    <row r="25" spans="2:13" ht="15.75" customHeight="1">
      <c r="B25" s="1232"/>
      <c r="C25" s="1232"/>
      <c r="D25" s="1232"/>
      <c r="E25" s="1232"/>
      <c r="F25" s="1232"/>
      <c r="G25" s="1232"/>
      <c r="H25" s="1232"/>
      <c r="I25" s="1232"/>
      <c r="J25" s="1232"/>
      <c r="K25" s="1232"/>
      <c r="L25" s="1232"/>
      <c r="M25" s="1232"/>
    </row>
    <row r="26" spans="2:13" ht="15.75" customHeight="1">
      <c r="B26" s="1232"/>
      <c r="C26" s="1232"/>
      <c r="D26" s="1232"/>
      <c r="E26" s="1232"/>
      <c r="F26" s="1232"/>
      <c r="G26" s="1232"/>
      <c r="H26" s="1232"/>
      <c r="I26" s="1232"/>
      <c r="J26" s="1232"/>
      <c r="K26" s="1232"/>
      <c r="L26" s="1232"/>
      <c r="M26" s="1232"/>
    </row>
    <row r="27" spans="2:13" ht="15.75" customHeight="1">
      <c r="B27" s="1232"/>
      <c r="C27" s="1232"/>
      <c r="D27" s="1232"/>
      <c r="E27" s="1232"/>
      <c r="F27" s="1232"/>
      <c r="G27" s="1232"/>
      <c r="H27" s="1232"/>
      <c r="I27" s="1232"/>
      <c r="J27" s="1232"/>
      <c r="K27" s="1232"/>
      <c r="L27" s="1232"/>
      <c r="M27" s="1232"/>
    </row>
    <row r="28" spans="2:13" ht="15.75" customHeight="1">
      <c r="B28" s="1232"/>
      <c r="C28" s="1232"/>
      <c r="D28" s="1232"/>
      <c r="E28" s="1232"/>
      <c r="F28" s="1232"/>
      <c r="G28" s="1232"/>
      <c r="H28" s="1232"/>
      <c r="I28" s="1232"/>
      <c r="J28" s="1232"/>
      <c r="K28" s="1232"/>
      <c r="L28" s="1232"/>
      <c r="M28" s="1232"/>
    </row>
    <row r="29" spans="2:13" ht="15.75" customHeight="1">
      <c r="B29" s="1232"/>
      <c r="C29" s="1232"/>
      <c r="D29" s="1232"/>
      <c r="E29" s="1232"/>
      <c r="F29" s="1232"/>
      <c r="G29" s="1232"/>
      <c r="H29" s="1232"/>
      <c r="I29" s="1232"/>
      <c r="J29" s="1232"/>
      <c r="K29" s="1232"/>
      <c r="L29" s="1232"/>
      <c r="M29" s="1232"/>
    </row>
    <row r="30" spans="2:13" ht="15.75" customHeight="1">
      <c r="B30" s="1232"/>
      <c r="C30" s="1232"/>
      <c r="D30" s="1232"/>
      <c r="E30" s="1232"/>
      <c r="F30" s="1232"/>
      <c r="G30" s="1232"/>
      <c r="H30" s="1232"/>
      <c r="I30" s="1232"/>
      <c r="J30" s="1232"/>
      <c r="K30" s="1232"/>
      <c r="L30" s="1232"/>
      <c r="M30" s="1232"/>
    </row>
    <row r="31" spans="2:13" ht="15.75" customHeight="1">
      <c r="B31" s="1232"/>
      <c r="C31" s="1232"/>
      <c r="D31" s="1232"/>
      <c r="E31" s="1232"/>
      <c r="F31" s="1232"/>
      <c r="G31" s="1232"/>
      <c r="H31" s="1232"/>
      <c r="I31" s="1232"/>
      <c r="J31" s="1232"/>
      <c r="K31" s="1232"/>
      <c r="L31" s="1232"/>
      <c r="M31" s="1232"/>
    </row>
    <row r="32" spans="2:13" ht="15.75" customHeight="1">
      <c r="B32" s="1232"/>
      <c r="C32" s="1232"/>
      <c r="D32" s="1232"/>
      <c r="E32" s="1232"/>
      <c r="F32" s="1232"/>
      <c r="G32" s="1232"/>
      <c r="H32" s="1232"/>
      <c r="I32" s="1232"/>
      <c r="J32" s="1232"/>
      <c r="K32" s="1232"/>
      <c r="L32" s="1232"/>
      <c r="M32" s="1232"/>
    </row>
    <row r="33" spans="2:13" ht="15.75" customHeight="1">
      <c r="B33" s="1232"/>
      <c r="C33" s="1232"/>
      <c r="D33" s="1232"/>
      <c r="E33" s="1232"/>
      <c r="F33" s="1232"/>
      <c r="G33" s="1232"/>
      <c r="H33" s="1232"/>
      <c r="I33" s="1232"/>
      <c r="J33" s="1232"/>
      <c r="K33" s="1232"/>
      <c r="L33" s="1232"/>
      <c r="M33" s="1232"/>
    </row>
    <row r="34" spans="2:13" ht="15.75" customHeight="1">
      <c r="B34" s="1232"/>
      <c r="C34" s="1232"/>
      <c r="D34" s="1232"/>
      <c r="E34" s="1232"/>
      <c r="F34" s="1232"/>
      <c r="G34" s="1232"/>
      <c r="H34" s="1232"/>
      <c r="I34" s="1232"/>
      <c r="J34" s="1232"/>
      <c r="K34" s="1232"/>
      <c r="L34" s="1232"/>
      <c r="M34" s="1232"/>
    </row>
    <row r="35" spans="2:13" ht="15.75" customHeight="1">
      <c r="B35" s="1232"/>
      <c r="C35" s="1232"/>
      <c r="D35" s="1232"/>
      <c r="E35" s="1232"/>
      <c r="F35" s="1232"/>
      <c r="G35" s="1232"/>
      <c r="H35" s="1232"/>
      <c r="I35" s="1232"/>
      <c r="J35" s="1232"/>
      <c r="K35" s="1232"/>
      <c r="L35" s="1232"/>
      <c r="M35" s="1232"/>
    </row>
    <row r="36" spans="2:13" ht="15.75" customHeight="1">
      <c r="B36" s="1232"/>
      <c r="C36" s="1232"/>
      <c r="D36" s="1232"/>
      <c r="E36" s="1232"/>
      <c r="F36" s="1232"/>
      <c r="G36" s="1232"/>
      <c r="H36" s="1232"/>
      <c r="I36" s="1232"/>
      <c r="J36" s="1232"/>
      <c r="K36" s="1232"/>
      <c r="L36" s="1232"/>
      <c r="M36" s="1232"/>
    </row>
    <row r="37" spans="2:13" ht="15.75" customHeight="1">
      <c r="B37" s="1232"/>
      <c r="C37" s="1232"/>
      <c r="D37" s="1232"/>
      <c r="E37" s="1232"/>
      <c r="F37" s="1232"/>
      <c r="G37" s="1232"/>
      <c r="H37" s="1232"/>
      <c r="I37" s="1232"/>
      <c r="J37" s="1232"/>
      <c r="K37" s="1232"/>
      <c r="L37" s="1232"/>
      <c r="M37" s="1232"/>
    </row>
    <row r="38" spans="2:13" ht="15.75" customHeight="1">
      <c r="B38" s="1232"/>
      <c r="C38" s="1232"/>
      <c r="D38" s="1232"/>
      <c r="E38" s="1232"/>
      <c r="F38" s="1232"/>
      <c r="G38" s="1232"/>
      <c r="H38" s="1232"/>
      <c r="I38" s="1232"/>
      <c r="J38" s="1232"/>
      <c r="K38" s="1232"/>
      <c r="L38" s="1232"/>
      <c r="M38" s="1232"/>
    </row>
    <row r="39" spans="2:13" ht="15.75" customHeight="1">
      <c r="B39" s="1232"/>
      <c r="C39" s="1232"/>
      <c r="D39" s="1232"/>
      <c r="E39" s="1232"/>
      <c r="F39" s="1232"/>
      <c r="G39" s="1232"/>
      <c r="H39" s="1232"/>
      <c r="I39" s="1232"/>
      <c r="J39" s="1232"/>
      <c r="K39" s="1232"/>
      <c r="L39" s="1232"/>
      <c r="M39" s="1232"/>
    </row>
    <row r="40" spans="2:13">
      <c r="B40" s="301"/>
      <c r="C40" s="301"/>
      <c r="D40" s="301"/>
      <c r="E40" s="301"/>
      <c r="F40" s="301"/>
      <c r="G40" s="301"/>
      <c r="H40" s="301"/>
      <c r="I40" s="301"/>
      <c r="J40" s="301"/>
      <c r="K40" s="301"/>
      <c r="L40" s="301"/>
      <c r="M40" s="301"/>
    </row>
  </sheetData>
  <sheetProtection algorithmName="SHA-512" hashValue="Yp46FbjEUsIp+VLGboUcR8WtQPgGgMXLdYiBUAJaYLYX6cwqK6o6KdDph+8YbUVthWj8fyERx4fA1aOqMUPVTw==" saltValue="27BUBvU0Vbu3V6H18+G4Hg==" spinCount="100000" sheet="1" objects="1" scenarios="1" autoFilter="0"/>
  <mergeCells count="36">
    <mergeCell ref="N1:N3"/>
    <mergeCell ref="J5:M5"/>
    <mergeCell ref="J6:M6"/>
    <mergeCell ref="A11:N11"/>
    <mergeCell ref="A1:M1"/>
    <mergeCell ref="A2:M2"/>
    <mergeCell ref="A3:M3"/>
    <mergeCell ref="J7:M7"/>
    <mergeCell ref="B22:M22"/>
    <mergeCell ref="B23:M23"/>
    <mergeCell ref="A12:M12"/>
    <mergeCell ref="A13:M13"/>
    <mergeCell ref="A14:M14"/>
    <mergeCell ref="A15:M15"/>
    <mergeCell ref="B16:M16"/>
    <mergeCell ref="B17:M17"/>
    <mergeCell ref="B18:M18"/>
    <mergeCell ref="B19:M19"/>
    <mergeCell ref="B20:M20"/>
    <mergeCell ref="B21:M21"/>
    <mergeCell ref="B24:M24"/>
    <mergeCell ref="B25:M25"/>
    <mergeCell ref="B26:M26"/>
    <mergeCell ref="B27:M27"/>
    <mergeCell ref="B37:M37"/>
    <mergeCell ref="B32:M32"/>
    <mergeCell ref="B28:M28"/>
    <mergeCell ref="B29:M29"/>
    <mergeCell ref="B30:M30"/>
    <mergeCell ref="B31:M31"/>
    <mergeCell ref="B38:M38"/>
    <mergeCell ref="B39:M39"/>
    <mergeCell ref="B33:M33"/>
    <mergeCell ref="B34:M34"/>
    <mergeCell ref="B35:M35"/>
    <mergeCell ref="B36:M36"/>
  </mergeCells>
  <phoneticPr fontId="3" type="noConversion"/>
  <conditionalFormatting sqref="N1:N3">
    <cfRule type="cellIs" dxfId="0" priority="1" stopIfTrue="1" operator="equal">
      <formula>"na"</formula>
    </cfRule>
  </conditionalFormatting>
  <hyperlinks>
    <hyperlink ref="A1:M1" location="Index!A1" display="Index!A1" xr:uid="{00000000-0004-0000-1B00-000000000000}"/>
  </hyperlinks>
  <printOptions horizontalCentered="1"/>
  <pageMargins left="0.5" right="0.25" top="0.5" bottom="0.25" header="0.5" footer="0.2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F59"/>
  <sheetViews>
    <sheetView topLeftCell="B1" zoomScaleNormal="100" workbookViewId="0">
      <selection activeCell="D18" sqref="D18"/>
    </sheetView>
  </sheetViews>
  <sheetFormatPr defaultColWidth="10.7109375" defaultRowHeight="13.2"/>
  <cols>
    <col min="1" max="1" width="3.42578125" style="209" bestFit="1" customWidth="1"/>
    <col min="2" max="2" width="13.28515625" style="211" bestFit="1" customWidth="1"/>
    <col min="3" max="3" width="1" style="209" customWidth="1"/>
    <col min="4" max="4" width="56.7109375" style="209" customWidth="1"/>
    <col min="5" max="5" width="13" style="209" customWidth="1"/>
    <col min="6" max="6" width="14.85546875" style="209" bestFit="1" customWidth="1"/>
    <col min="7" max="16384" width="10.7109375" style="209"/>
  </cols>
  <sheetData>
    <row r="1" spans="1:6">
      <c r="B1" s="210" t="s">
        <v>992</v>
      </c>
      <c r="D1" s="210" t="s">
        <v>1067</v>
      </c>
      <c r="E1" s="210" t="s">
        <v>1068</v>
      </c>
      <c r="F1" s="212" t="s">
        <v>1069</v>
      </c>
    </row>
    <row r="2" spans="1:6">
      <c r="A2" s="209">
        <v>1</v>
      </c>
      <c r="B2" s="211" t="s">
        <v>1070</v>
      </c>
      <c r="D2" s="209" t="s">
        <v>5</v>
      </c>
      <c r="E2" s="209" t="s">
        <v>1071</v>
      </c>
      <c r="F2" s="209" t="str">
        <f>E2&amp;".xlsx"</f>
        <v>CC1.xlsx</v>
      </c>
    </row>
    <row r="3" spans="1:6">
      <c r="A3" s="209">
        <v>3</v>
      </c>
      <c r="B3" s="211" t="s">
        <v>1072</v>
      </c>
      <c r="D3" s="209" t="s">
        <v>1073</v>
      </c>
      <c r="E3" s="209" t="s">
        <v>1074</v>
      </c>
      <c r="F3" s="209" t="str">
        <f t="shared" ref="F3:F59" si="0">E3&amp;".xlsx"</f>
        <v>CC3.xlsx</v>
      </c>
    </row>
    <row r="4" spans="1:6">
      <c r="A4" s="209">
        <v>4</v>
      </c>
      <c r="B4" s="211" t="s">
        <v>1075</v>
      </c>
      <c r="D4" s="209" t="s">
        <v>1076</v>
      </c>
      <c r="E4" s="209" t="s">
        <v>1077</v>
      </c>
      <c r="F4" s="209" t="str">
        <f t="shared" si="0"/>
        <v>CC4.xlsx</v>
      </c>
    </row>
    <row r="5" spans="1:6">
      <c r="A5" s="209">
        <v>5</v>
      </c>
      <c r="B5" s="211" t="s">
        <v>1078</v>
      </c>
      <c r="D5" s="209" t="s">
        <v>1079</v>
      </c>
      <c r="E5" s="209" t="s">
        <v>1080</v>
      </c>
      <c r="F5" s="209" t="str">
        <f t="shared" si="0"/>
        <v>CC5.xlsx</v>
      </c>
    </row>
    <row r="6" spans="1:6">
      <c r="A6" s="209">
        <v>6</v>
      </c>
      <c r="B6" s="211" t="s">
        <v>1081</v>
      </c>
      <c r="D6" s="209" t="s">
        <v>1082</v>
      </c>
      <c r="E6" s="209" t="s">
        <v>1083</v>
      </c>
      <c r="F6" s="209" t="str">
        <f t="shared" si="0"/>
        <v>CC6.xlsx</v>
      </c>
    </row>
    <row r="7" spans="1:6">
      <c r="A7" s="209">
        <v>7</v>
      </c>
      <c r="B7" s="211" t="s">
        <v>1084</v>
      </c>
      <c r="D7" s="209" t="s">
        <v>1085</v>
      </c>
      <c r="E7" s="209" t="s">
        <v>1086</v>
      </c>
      <c r="F7" s="209" t="str">
        <f t="shared" si="0"/>
        <v>CC7.xlsx</v>
      </c>
    </row>
    <row r="8" spans="1:6">
      <c r="A8" s="209">
        <v>8</v>
      </c>
      <c r="B8" s="211" t="s">
        <v>1087</v>
      </c>
      <c r="D8" s="209" t="s">
        <v>1088</v>
      </c>
      <c r="E8" s="209" t="s">
        <v>1089</v>
      </c>
      <c r="F8" s="209" t="str">
        <f t="shared" si="0"/>
        <v>CC8.xlsx</v>
      </c>
    </row>
    <row r="9" spans="1:6">
      <c r="A9" s="209">
        <v>9</v>
      </c>
      <c r="B9" s="211" t="s">
        <v>1090</v>
      </c>
      <c r="D9" s="209" t="s">
        <v>1091</v>
      </c>
      <c r="E9" s="209" t="s">
        <v>1092</v>
      </c>
      <c r="F9" s="209" t="str">
        <f t="shared" si="0"/>
        <v>CC9.xlsx</v>
      </c>
    </row>
    <row r="10" spans="1:6">
      <c r="A10" s="209">
        <v>10</v>
      </c>
      <c r="B10" s="211" t="s">
        <v>1093</v>
      </c>
      <c r="D10" s="209" t="s">
        <v>1094</v>
      </c>
      <c r="E10" s="209" t="s">
        <v>1095</v>
      </c>
      <c r="F10" s="209" t="str">
        <f t="shared" si="0"/>
        <v>CC10.xlsx</v>
      </c>
    </row>
    <row r="11" spans="1:6">
      <c r="A11" s="209">
        <v>11</v>
      </c>
      <c r="B11" s="211" t="s">
        <v>1096</v>
      </c>
      <c r="D11" s="209" t="s">
        <v>1097</v>
      </c>
      <c r="E11" s="209" t="s">
        <v>1098</v>
      </c>
      <c r="F11" s="209" t="str">
        <f t="shared" si="0"/>
        <v>CC11.xlsx</v>
      </c>
    </row>
    <row r="12" spans="1:6">
      <c r="A12" s="209">
        <v>12</v>
      </c>
      <c r="B12" s="211" t="s">
        <v>1099</v>
      </c>
      <c r="D12" s="209" t="s">
        <v>1100</v>
      </c>
      <c r="E12" s="209" t="s">
        <v>1101</v>
      </c>
      <c r="F12" s="209" t="str">
        <f t="shared" si="0"/>
        <v>CC12.xlsx</v>
      </c>
    </row>
    <row r="13" spans="1:6">
      <c r="A13" s="209">
        <v>13</v>
      </c>
      <c r="B13" s="211" t="s">
        <v>1102</v>
      </c>
      <c r="D13" s="209" t="s">
        <v>1103</v>
      </c>
      <c r="E13" s="209" t="s">
        <v>1104</v>
      </c>
      <c r="F13" s="209" t="str">
        <f t="shared" si="0"/>
        <v>CC13.xlsx</v>
      </c>
    </row>
    <row r="14" spans="1:6">
      <c r="A14" s="209">
        <v>14</v>
      </c>
      <c r="B14" s="211" t="s">
        <v>1105</v>
      </c>
      <c r="D14" s="209" t="s">
        <v>1106</v>
      </c>
      <c r="E14" s="209" t="s">
        <v>1107</v>
      </c>
      <c r="F14" s="209" t="str">
        <f t="shared" si="0"/>
        <v>CC14.xlsx</v>
      </c>
    </row>
    <row r="15" spans="1:6">
      <c r="A15" s="209">
        <v>15</v>
      </c>
      <c r="B15" s="211" t="s">
        <v>1108</v>
      </c>
      <c r="D15" s="209" t="s">
        <v>1109</v>
      </c>
      <c r="E15" s="209" t="s">
        <v>1110</v>
      </c>
      <c r="F15" s="209" t="str">
        <f t="shared" si="0"/>
        <v>CC15.xlsx</v>
      </c>
    </row>
    <row r="16" spans="1:6">
      <c r="A16" s="209">
        <v>16</v>
      </c>
      <c r="B16" s="211" t="s">
        <v>1111</v>
      </c>
      <c r="D16" s="209" t="s">
        <v>1112</v>
      </c>
      <c r="E16" s="209" t="s">
        <v>1113</v>
      </c>
      <c r="F16" s="209" t="str">
        <f t="shared" si="0"/>
        <v>CC16.xlsx</v>
      </c>
    </row>
    <row r="17" spans="1:6">
      <c r="A17" s="209">
        <v>17</v>
      </c>
      <c r="B17" s="211" t="s">
        <v>1114</v>
      </c>
      <c r="D17" s="209" t="s">
        <v>1115</v>
      </c>
      <c r="E17" s="209" t="s">
        <v>1116</v>
      </c>
      <c r="F17" s="209" t="str">
        <f t="shared" si="0"/>
        <v>CC17.xlsx</v>
      </c>
    </row>
    <row r="18" spans="1:6">
      <c r="A18" s="209">
        <v>18</v>
      </c>
      <c r="B18" s="211" t="s">
        <v>1117</v>
      </c>
      <c r="D18" s="209" t="s">
        <v>1118</v>
      </c>
      <c r="E18" s="209" t="s">
        <v>1119</v>
      </c>
      <c r="F18" s="209" t="str">
        <f t="shared" si="0"/>
        <v>CC18.xlsx</v>
      </c>
    </row>
    <row r="19" spans="1:6">
      <c r="A19" s="209">
        <v>19</v>
      </c>
      <c r="B19" s="211" t="s">
        <v>1120</v>
      </c>
      <c r="D19" s="209" t="s">
        <v>1121</v>
      </c>
      <c r="E19" s="209" t="s">
        <v>1122</v>
      </c>
      <c r="F19" s="209" t="str">
        <f t="shared" si="0"/>
        <v>CC19.xlsx</v>
      </c>
    </row>
    <row r="20" spans="1:6">
      <c r="A20" s="209">
        <v>20</v>
      </c>
      <c r="B20" s="211" t="s">
        <v>1123</v>
      </c>
      <c r="D20" s="209" t="s">
        <v>1124</v>
      </c>
      <c r="E20" s="209" t="s">
        <v>1125</v>
      </c>
      <c r="F20" s="209" t="str">
        <f t="shared" si="0"/>
        <v>CC20.xlsx</v>
      </c>
    </row>
    <row r="21" spans="1:6">
      <c r="A21" s="209">
        <v>21</v>
      </c>
      <c r="B21" s="211" t="s">
        <v>1126</v>
      </c>
      <c r="D21" s="209" t="s">
        <v>1127</v>
      </c>
      <c r="E21" s="209" t="s">
        <v>1128</v>
      </c>
      <c r="F21" s="209" t="str">
        <f t="shared" si="0"/>
        <v>CC21.xlsx</v>
      </c>
    </row>
    <row r="22" spans="1:6">
      <c r="A22" s="209">
        <v>22</v>
      </c>
      <c r="B22" s="211" t="s">
        <v>1129</v>
      </c>
      <c r="D22" s="209" t="s">
        <v>1130</v>
      </c>
      <c r="E22" s="209" t="s">
        <v>1131</v>
      </c>
      <c r="F22" s="209" t="str">
        <f t="shared" si="0"/>
        <v>CC22.xlsx</v>
      </c>
    </row>
    <row r="23" spans="1:6">
      <c r="A23" s="209">
        <v>23</v>
      </c>
      <c r="B23" s="211" t="s">
        <v>1132</v>
      </c>
      <c r="D23" s="209" t="s">
        <v>1133</v>
      </c>
      <c r="E23" s="209" t="s">
        <v>1134</v>
      </c>
      <c r="F23" s="209" t="str">
        <f t="shared" si="0"/>
        <v>CC23.xlsx</v>
      </c>
    </row>
    <row r="24" spans="1:6">
      <c r="A24" s="209">
        <v>24</v>
      </c>
      <c r="B24" s="211" t="s">
        <v>1135</v>
      </c>
      <c r="D24" s="209" t="s">
        <v>1136</v>
      </c>
      <c r="E24" s="209" t="s">
        <v>1137</v>
      </c>
      <c r="F24" s="209" t="str">
        <f t="shared" si="0"/>
        <v>CC24.xlsx</v>
      </c>
    </row>
    <row r="25" spans="1:6">
      <c r="A25" s="209">
        <v>25</v>
      </c>
      <c r="B25" s="211" t="s">
        <v>1138</v>
      </c>
      <c r="D25" s="209" t="s">
        <v>1139</v>
      </c>
      <c r="E25" s="209" t="s">
        <v>1140</v>
      </c>
      <c r="F25" s="209" t="str">
        <f t="shared" si="0"/>
        <v>CC25.xlsx</v>
      </c>
    </row>
    <row r="26" spans="1:6">
      <c r="A26" s="209">
        <v>26</v>
      </c>
      <c r="B26" s="211" t="s">
        <v>1141</v>
      </c>
      <c r="D26" s="209" t="s">
        <v>1142</v>
      </c>
      <c r="E26" s="209" t="s">
        <v>1143</v>
      </c>
      <c r="F26" s="209" t="str">
        <f t="shared" si="0"/>
        <v>CC26.xlsx</v>
      </c>
    </row>
    <row r="27" spans="1:6">
      <c r="A27" s="209">
        <v>27</v>
      </c>
      <c r="B27" s="211" t="s">
        <v>1144</v>
      </c>
      <c r="D27" s="209" t="s">
        <v>1145</v>
      </c>
      <c r="E27" s="209" t="s">
        <v>1146</v>
      </c>
      <c r="F27" s="209" t="str">
        <f t="shared" si="0"/>
        <v>CC27.xlsx</v>
      </c>
    </row>
    <row r="28" spans="1:6">
      <c r="A28" s="209">
        <v>28</v>
      </c>
      <c r="B28" s="211" t="s">
        <v>1147</v>
      </c>
      <c r="D28" s="209" t="s">
        <v>1148</v>
      </c>
      <c r="E28" s="209" t="s">
        <v>1149</v>
      </c>
      <c r="F28" s="209" t="str">
        <f t="shared" si="0"/>
        <v>CC28.xlsx</v>
      </c>
    </row>
    <row r="29" spans="1:6">
      <c r="A29" s="209">
        <v>29</v>
      </c>
      <c r="B29" s="211" t="s">
        <v>1150</v>
      </c>
      <c r="D29" s="209" t="s">
        <v>1151</v>
      </c>
      <c r="E29" s="209" t="s">
        <v>1152</v>
      </c>
      <c r="F29" s="209" t="str">
        <f t="shared" si="0"/>
        <v>CC29.xlsx</v>
      </c>
    </row>
    <row r="30" spans="1:6">
      <c r="A30" s="209">
        <v>30</v>
      </c>
      <c r="B30" s="211" t="s">
        <v>1153</v>
      </c>
      <c r="D30" s="209" t="s">
        <v>1154</v>
      </c>
      <c r="E30" s="209" t="s">
        <v>1155</v>
      </c>
      <c r="F30" s="209" t="str">
        <f t="shared" si="0"/>
        <v>CC30.xlsx</v>
      </c>
    </row>
    <row r="31" spans="1:6">
      <c r="A31" s="209">
        <v>31</v>
      </c>
      <c r="B31" s="211" t="s">
        <v>1156</v>
      </c>
      <c r="D31" s="209" t="s">
        <v>1157</v>
      </c>
      <c r="E31" s="209" t="s">
        <v>1158</v>
      </c>
      <c r="F31" s="209" t="str">
        <f t="shared" si="0"/>
        <v>CC31.xlsx</v>
      </c>
    </row>
    <row r="32" spans="1:6">
      <c r="A32" s="209">
        <v>32</v>
      </c>
      <c r="B32" s="211" t="s">
        <v>1159</v>
      </c>
      <c r="D32" s="209" t="s">
        <v>1160</v>
      </c>
      <c r="E32" s="209" t="s">
        <v>1161</v>
      </c>
      <c r="F32" s="209" t="str">
        <f t="shared" si="0"/>
        <v>CC32.xlsx</v>
      </c>
    </row>
    <row r="33" spans="1:6">
      <c r="A33" s="209">
        <v>33</v>
      </c>
      <c r="B33" s="211" t="s">
        <v>1162</v>
      </c>
      <c r="D33" s="209" t="s">
        <v>1163</v>
      </c>
      <c r="E33" s="209" t="s">
        <v>1164</v>
      </c>
      <c r="F33" s="209" t="str">
        <f t="shared" si="0"/>
        <v>CC33.xlsx</v>
      </c>
    </row>
    <row r="34" spans="1:6">
      <c r="A34" s="209">
        <v>34</v>
      </c>
      <c r="B34" s="211" t="s">
        <v>1165</v>
      </c>
      <c r="D34" s="209" t="s">
        <v>1166</v>
      </c>
      <c r="E34" s="209" t="s">
        <v>1167</v>
      </c>
      <c r="F34" s="209" t="str">
        <f t="shared" si="0"/>
        <v>CC34.xlsx</v>
      </c>
    </row>
    <row r="35" spans="1:6">
      <c r="A35" s="209">
        <v>35</v>
      </c>
      <c r="B35" s="211" t="s">
        <v>1168</v>
      </c>
      <c r="D35" s="209" t="s">
        <v>1169</v>
      </c>
      <c r="E35" s="209" t="s">
        <v>1170</v>
      </c>
      <c r="F35" s="209" t="str">
        <f t="shared" si="0"/>
        <v>CC35.xlsx</v>
      </c>
    </row>
    <row r="36" spans="1:6">
      <c r="A36" s="209">
        <v>36</v>
      </c>
      <c r="B36" s="211" t="s">
        <v>1171</v>
      </c>
      <c r="D36" s="209" t="s">
        <v>1172</v>
      </c>
      <c r="E36" s="209" t="s">
        <v>1173</v>
      </c>
      <c r="F36" s="209" t="str">
        <f t="shared" si="0"/>
        <v>CC36.xlsx</v>
      </c>
    </row>
    <row r="37" spans="1:6">
      <c r="A37" s="209">
        <v>37</v>
      </c>
      <c r="B37" s="211" t="s">
        <v>1174</v>
      </c>
      <c r="D37" s="209" t="s">
        <v>1175</v>
      </c>
      <c r="E37" s="209" t="s">
        <v>1176</v>
      </c>
      <c r="F37" s="209" t="str">
        <f t="shared" si="0"/>
        <v>CC37.xlsx</v>
      </c>
    </row>
    <row r="38" spans="1:6">
      <c r="A38" s="209">
        <v>38</v>
      </c>
      <c r="B38" s="211" t="s">
        <v>1177</v>
      </c>
      <c r="D38" s="209" t="s">
        <v>1178</v>
      </c>
      <c r="E38" s="209" t="s">
        <v>1179</v>
      </c>
      <c r="F38" s="209" t="str">
        <f t="shared" si="0"/>
        <v>CC38.xlsx</v>
      </c>
    </row>
    <row r="39" spans="1:6">
      <c r="A39" s="209">
        <v>39</v>
      </c>
      <c r="B39" s="211" t="s">
        <v>1180</v>
      </c>
      <c r="D39" s="209" t="s">
        <v>1181</v>
      </c>
      <c r="E39" s="209" t="s">
        <v>1182</v>
      </c>
      <c r="F39" s="209" t="str">
        <f t="shared" si="0"/>
        <v>CC39.xlsx</v>
      </c>
    </row>
    <row r="40" spans="1:6">
      <c r="A40" s="209">
        <v>40</v>
      </c>
      <c r="B40" s="211" t="s">
        <v>1183</v>
      </c>
      <c r="D40" s="209" t="s">
        <v>1184</v>
      </c>
      <c r="E40" s="209" t="s">
        <v>1185</v>
      </c>
      <c r="F40" s="209" t="str">
        <f t="shared" si="0"/>
        <v>CC40.xlsx</v>
      </c>
    </row>
    <row r="41" spans="1:6">
      <c r="A41" s="209">
        <v>41</v>
      </c>
      <c r="B41" s="211" t="s">
        <v>1186</v>
      </c>
      <c r="D41" s="209" t="s">
        <v>1187</v>
      </c>
      <c r="E41" s="209" t="s">
        <v>1188</v>
      </c>
      <c r="F41" s="209" t="str">
        <f t="shared" si="0"/>
        <v>CC41.xlsx</v>
      </c>
    </row>
    <row r="42" spans="1:6">
      <c r="A42" s="209">
        <v>42</v>
      </c>
      <c r="B42" s="211" t="s">
        <v>1189</v>
      </c>
      <c r="D42" s="209" t="s">
        <v>1190</v>
      </c>
      <c r="E42" s="209" t="s">
        <v>1191</v>
      </c>
      <c r="F42" s="209" t="str">
        <f t="shared" si="0"/>
        <v>CC42.xlsx</v>
      </c>
    </row>
    <row r="43" spans="1:6">
      <c r="A43" s="209">
        <v>43</v>
      </c>
      <c r="B43" s="211" t="s">
        <v>1192</v>
      </c>
      <c r="D43" s="209" t="s">
        <v>1193</v>
      </c>
      <c r="E43" s="209" t="s">
        <v>1194</v>
      </c>
      <c r="F43" s="209" t="str">
        <f t="shared" si="0"/>
        <v>CC43.xlsx</v>
      </c>
    </row>
    <row r="44" spans="1:6">
      <c r="A44" s="209">
        <v>44</v>
      </c>
      <c r="B44" s="211" t="s">
        <v>1195</v>
      </c>
      <c r="D44" s="209" t="s">
        <v>1196</v>
      </c>
      <c r="E44" s="209" t="s">
        <v>1197</v>
      </c>
      <c r="F44" s="209" t="str">
        <f t="shared" si="0"/>
        <v>CC44.xlsx</v>
      </c>
    </row>
    <row r="45" spans="1:6">
      <c r="A45" s="209">
        <v>45</v>
      </c>
      <c r="B45" s="211" t="s">
        <v>1198</v>
      </c>
      <c r="D45" s="209" t="s">
        <v>1199</v>
      </c>
      <c r="E45" s="209" t="s">
        <v>1200</v>
      </c>
      <c r="F45" s="209" t="str">
        <f t="shared" si="0"/>
        <v>CC45.xlsx</v>
      </c>
    </row>
    <row r="46" spans="1:6">
      <c r="A46" s="209">
        <v>46</v>
      </c>
      <c r="B46" s="211" t="s">
        <v>1201</v>
      </c>
      <c r="D46" s="209" t="s">
        <v>1202</v>
      </c>
      <c r="E46" s="209" t="s">
        <v>1203</v>
      </c>
      <c r="F46" s="209" t="str">
        <f t="shared" si="0"/>
        <v>CC46.xlsx</v>
      </c>
    </row>
    <row r="47" spans="1:6">
      <c r="A47" s="209">
        <v>47</v>
      </c>
      <c r="B47" s="211" t="s">
        <v>1204</v>
      </c>
      <c r="D47" s="209" t="s">
        <v>1205</v>
      </c>
      <c r="E47" s="209" t="s">
        <v>1206</v>
      </c>
      <c r="F47" s="209" t="str">
        <f t="shared" si="0"/>
        <v>CC47.xlsx</v>
      </c>
    </row>
    <row r="48" spans="1:6">
      <c r="A48" s="209">
        <v>2</v>
      </c>
      <c r="B48" s="211" t="s">
        <v>1207</v>
      </c>
      <c r="D48" s="209" t="s">
        <v>1208</v>
      </c>
      <c r="E48" s="209" t="s">
        <v>1209</v>
      </c>
      <c r="F48" s="209" t="str">
        <f t="shared" si="0"/>
        <v>CC2.xlsx</v>
      </c>
    </row>
    <row r="49" spans="1:6">
      <c r="A49" s="209">
        <v>48</v>
      </c>
      <c r="B49" s="211" t="s">
        <v>1210</v>
      </c>
      <c r="D49" s="209" t="s">
        <v>1211</v>
      </c>
      <c r="E49" s="209" t="s">
        <v>1212</v>
      </c>
      <c r="F49" s="209" t="str">
        <f t="shared" si="0"/>
        <v>CC48.xlsx</v>
      </c>
    </row>
    <row r="50" spans="1:6">
      <c r="A50" s="209">
        <v>49</v>
      </c>
      <c r="B50" s="211" t="s">
        <v>1213</v>
      </c>
      <c r="D50" s="209" t="s">
        <v>1214</v>
      </c>
      <c r="E50" s="209" t="s">
        <v>1215</v>
      </c>
      <c r="F50" s="209" t="str">
        <f t="shared" si="0"/>
        <v>CC49.xlsx</v>
      </c>
    </row>
    <row r="51" spans="1:6">
      <c r="A51" s="209">
        <v>50</v>
      </c>
      <c r="B51" s="211" t="s">
        <v>1216</v>
      </c>
      <c r="D51" s="209" t="s">
        <v>1217</v>
      </c>
      <c r="E51" s="209" t="s">
        <v>1218</v>
      </c>
      <c r="F51" s="209" t="str">
        <f t="shared" si="0"/>
        <v>CC50.xlsx</v>
      </c>
    </row>
    <row r="52" spans="1:6">
      <c r="A52" s="209">
        <v>51</v>
      </c>
      <c r="B52" s="211" t="s">
        <v>1219</v>
      </c>
      <c r="D52" s="209" t="s">
        <v>1220</v>
      </c>
      <c r="E52" s="209" t="s">
        <v>1221</v>
      </c>
      <c r="F52" s="209" t="str">
        <f t="shared" si="0"/>
        <v>CC51.xlsx</v>
      </c>
    </row>
    <row r="53" spans="1:6">
      <c r="A53" s="209">
        <v>52</v>
      </c>
      <c r="B53" s="211" t="s">
        <v>1222</v>
      </c>
      <c r="D53" s="209" t="s">
        <v>1223</v>
      </c>
      <c r="E53" s="209" t="s">
        <v>1224</v>
      </c>
      <c r="F53" s="209" t="str">
        <f t="shared" si="0"/>
        <v>CC52.xlsx</v>
      </c>
    </row>
    <row r="54" spans="1:6">
      <c r="A54" s="209">
        <v>53</v>
      </c>
      <c r="B54" s="211" t="s">
        <v>1225</v>
      </c>
      <c r="D54" s="209" t="s">
        <v>1226</v>
      </c>
      <c r="E54" s="209" t="s">
        <v>1227</v>
      </c>
      <c r="F54" s="209" t="str">
        <f t="shared" si="0"/>
        <v>CC53.xlsx</v>
      </c>
    </row>
    <row r="55" spans="1:6">
      <c r="A55" s="209">
        <v>54</v>
      </c>
      <c r="B55" s="211" t="s">
        <v>1228</v>
      </c>
      <c r="D55" s="209" t="s">
        <v>1229</v>
      </c>
      <c r="E55" s="209" t="s">
        <v>1230</v>
      </c>
      <c r="F55" s="209" t="str">
        <f t="shared" si="0"/>
        <v>CC54.xlsx</v>
      </c>
    </row>
    <row r="56" spans="1:6">
      <c r="A56" s="209">
        <v>55</v>
      </c>
      <c r="B56" s="211" t="s">
        <v>1231</v>
      </c>
      <c r="D56" s="209" t="s">
        <v>1232</v>
      </c>
      <c r="E56" s="209" t="s">
        <v>1233</v>
      </c>
      <c r="F56" s="209" t="str">
        <f t="shared" si="0"/>
        <v>CC55.xlsx</v>
      </c>
    </row>
    <row r="57" spans="1:6">
      <c r="A57" s="209">
        <v>56</v>
      </c>
      <c r="B57" s="211" t="s">
        <v>1234</v>
      </c>
      <c r="D57" s="209" t="s">
        <v>1235</v>
      </c>
      <c r="E57" s="209" t="s">
        <v>1236</v>
      </c>
      <c r="F57" s="209" t="str">
        <f t="shared" si="0"/>
        <v>CC56.xlsx</v>
      </c>
    </row>
    <row r="58" spans="1:6">
      <c r="A58" s="209">
        <v>57</v>
      </c>
      <c r="B58" s="211" t="s">
        <v>1237</v>
      </c>
      <c r="D58" s="209" t="s">
        <v>1238</v>
      </c>
      <c r="E58" s="209" t="s">
        <v>1239</v>
      </c>
      <c r="F58" s="209" t="str">
        <f t="shared" si="0"/>
        <v>CC57.xlsx</v>
      </c>
    </row>
    <row r="59" spans="1:6">
      <c r="A59" s="209">
        <v>58</v>
      </c>
      <c r="B59" s="211" t="s">
        <v>1240</v>
      </c>
      <c r="D59" s="209" t="s">
        <v>1241</v>
      </c>
      <c r="E59" s="209" t="s">
        <v>1242</v>
      </c>
      <c r="F59" s="209" t="str">
        <f t="shared" si="0"/>
        <v>CC58.xlsx</v>
      </c>
    </row>
  </sheetData>
  <sheetProtection algorithmName="SHA-512" hashValue="a/uZpJLEY/v7TihNtZdVud0t6OGEx39eFwmW0eXNpniNA5RKepfbzZc6CkpQleWv7RfBJWuAwahCNdmgB4MkYA==" saltValue="TaZ2OtrSs45gRN/nuRukSg==" spinCount="100000" sheet="1" objects="1" scenarios="1" autoFilter="0"/>
  <phoneticPr fontId="24" type="noConversion"/>
  <printOptions gridLines="1"/>
  <pageMargins left="0.75" right="0.75" top="0.25" bottom="0.25" header="0.5" footer="0.5"/>
  <pageSetup scale="9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dimension ref="A1:L149"/>
  <sheetViews>
    <sheetView zoomScaleNormal="100" workbookViewId="0">
      <pane ySplit="1" topLeftCell="A2" activePane="bottomLeft" state="frozen"/>
      <selection activeCell="N47" sqref="N47"/>
      <selection pane="bottomLeft" activeCell="J117" sqref="J117"/>
    </sheetView>
  </sheetViews>
  <sheetFormatPr defaultColWidth="10.7109375" defaultRowHeight="15.6"/>
  <cols>
    <col min="1" max="1" width="66.85546875" style="448" bestFit="1" customWidth="1"/>
    <col min="2" max="2" width="12.28515625" style="448" customWidth="1"/>
    <col min="3" max="3" width="12" style="448" customWidth="1"/>
    <col min="4" max="4" width="49.28515625" style="448" customWidth="1"/>
    <col min="5" max="6" width="12.28515625" style="448" customWidth="1"/>
    <col min="7" max="7" width="25.28515625" style="448" customWidth="1"/>
    <col min="8" max="8" width="25.42578125" style="448" customWidth="1"/>
    <col min="9" max="9" width="18.42578125" style="448" customWidth="1"/>
    <col min="10" max="10" width="80.7109375" style="448" customWidth="1"/>
    <col min="11" max="16384" width="10.7109375" style="448"/>
  </cols>
  <sheetData>
    <row r="1" spans="1:12" ht="31.2">
      <c r="B1" s="449"/>
      <c r="C1" s="561" t="s">
        <v>1243</v>
      </c>
      <c r="D1" s="562" t="s">
        <v>0</v>
      </c>
      <c r="E1" s="450"/>
      <c r="F1" s="451" t="s">
        <v>1244</v>
      </c>
      <c r="G1" s="452"/>
      <c r="I1" s="452" t="s">
        <v>1245</v>
      </c>
    </row>
    <row r="2" spans="1:12" ht="33" customHeight="1">
      <c r="A2" s="448" t="s">
        <v>1246</v>
      </c>
      <c r="B2" s="449" t="s">
        <v>1247</v>
      </c>
      <c r="C2" s="563" t="s">
        <v>1248</v>
      </c>
      <c r="D2" s="564" t="s">
        <v>1249</v>
      </c>
      <c r="E2" s="453" t="s">
        <v>1250</v>
      </c>
      <c r="F2" s="452" t="s">
        <v>1251</v>
      </c>
      <c r="G2" s="452" t="s">
        <v>1252</v>
      </c>
      <c r="H2" s="452" t="s">
        <v>1253</v>
      </c>
      <c r="I2" s="452" t="s">
        <v>1254</v>
      </c>
      <c r="J2" s="451" t="s">
        <v>1255</v>
      </c>
    </row>
    <row r="3" spans="1:12">
      <c r="A3" s="448" t="str">
        <f>C3&amp;" "&amp;D3</f>
        <v>01 North Carolina General Assembly</v>
      </c>
      <c r="B3" s="449">
        <v>1</v>
      </c>
      <c r="C3" s="449" t="str">
        <f t="shared" ref="C3:C46" si="0">TEXT(B3,"00")</f>
        <v>01</v>
      </c>
      <c r="D3" s="448" t="s">
        <v>1256</v>
      </c>
      <c r="E3" s="448" t="s">
        <v>1257</v>
      </c>
      <c r="F3" s="448" t="s">
        <v>1258</v>
      </c>
      <c r="G3" s="454" t="s">
        <v>1259</v>
      </c>
      <c r="H3" s="448" t="s">
        <v>1260</v>
      </c>
      <c r="I3" s="454"/>
    </row>
    <row r="4" spans="1:12">
      <c r="A4" s="448" t="str">
        <f t="shared" ref="A4:A64" si="1">C4&amp;" "&amp;D4</f>
        <v>02 Administrative Office of the Courts</v>
      </c>
      <c r="B4" s="449">
        <v>2</v>
      </c>
      <c r="C4" s="449" t="str">
        <f t="shared" si="0"/>
        <v>02</v>
      </c>
      <c r="D4" s="448" t="s">
        <v>1261</v>
      </c>
      <c r="E4" s="448" t="s">
        <v>1257</v>
      </c>
      <c r="F4" s="448" t="s">
        <v>1258</v>
      </c>
      <c r="G4" s="454" t="s">
        <v>1262</v>
      </c>
      <c r="H4" s="448" t="s">
        <v>1263</v>
      </c>
      <c r="I4" s="454"/>
    </row>
    <row r="5" spans="1:12">
      <c r="A5" s="448" t="str">
        <f t="shared" si="1"/>
        <v>03 Office of the Governor</v>
      </c>
      <c r="B5" s="449">
        <v>3</v>
      </c>
      <c r="C5" s="449" t="str">
        <f t="shared" si="0"/>
        <v>03</v>
      </c>
      <c r="D5" s="448" t="s">
        <v>1264</v>
      </c>
      <c r="E5" s="448" t="s">
        <v>1257</v>
      </c>
      <c r="F5" s="448" t="s">
        <v>1258</v>
      </c>
      <c r="G5" s="454" t="s">
        <v>1265</v>
      </c>
      <c r="H5" s="448" t="s">
        <v>1266</v>
      </c>
      <c r="I5" s="454"/>
    </row>
    <row r="6" spans="1:12">
      <c r="A6" s="448" t="str">
        <f t="shared" si="1"/>
        <v>04 Office of Lieutenant Governor</v>
      </c>
      <c r="B6" s="449">
        <v>4</v>
      </c>
      <c r="C6" s="449" t="str">
        <f t="shared" si="0"/>
        <v>04</v>
      </c>
      <c r="D6" s="448" t="s">
        <v>1267</v>
      </c>
      <c r="E6" s="448" t="s">
        <v>1257</v>
      </c>
      <c r="F6" s="448" t="s">
        <v>1258</v>
      </c>
      <c r="G6" s="454" t="s">
        <v>1268</v>
      </c>
      <c r="H6" s="448" t="s">
        <v>1269</v>
      </c>
      <c r="I6" s="454"/>
    </row>
    <row r="7" spans="1:12">
      <c r="A7" s="448" t="str">
        <f t="shared" si="1"/>
        <v>05 Office of the Secretary of State</v>
      </c>
      <c r="B7" s="449">
        <v>5</v>
      </c>
      <c r="C7" s="449" t="str">
        <f t="shared" si="0"/>
        <v>05</v>
      </c>
      <c r="D7" s="448" t="s">
        <v>1270</v>
      </c>
      <c r="E7" s="448" t="s">
        <v>1257</v>
      </c>
      <c r="F7" s="448" t="s">
        <v>1258</v>
      </c>
      <c r="G7" s="454" t="s">
        <v>1271</v>
      </c>
      <c r="H7" s="448" t="s">
        <v>1272</v>
      </c>
      <c r="I7" s="454"/>
    </row>
    <row r="8" spans="1:12">
      <c r="A8" s="448" t="str">
        <f t="shared" si="1"/>
        <v>06 Office of the State Auditor</v>
      </c>
      <c r="B8" s="449">
        <v>6</v>
      </c>
      <c r="C8" s="449" t="str">
        <f t="shared" si="0"/>
        <v>06</v>
      </c>
      <c r="D8" s="448" t="s">
        <v>1273</v>
      </c>
      <c r="E8" s="448" t="s">
        <v>1257</v>
      </c>
      <c r="F8" s="448" t="s">
        <v>1258</v>
      </c>
      <c r="G8" s="454" t="s">
        <v>1274</v>
      </c>
      <c r="H8" s="448" t="s">
        <v>1275</v>
      </c>
      <c r="I8" s="454"/>
      <c r="K8" s="448" t="b">
        <f t="shared" ref="K8:L23" si="2">ISTEXT(B8)</f>
        <v>0</v>
      </c>
    </row>
    <row r="9" spans="1:12" ht="16.5" customHeight="1">
      <c r="A9" s="448" t="str">
        <f t="shared" si="1"/>
        <v xml:space="preserve">07 Department of the State Treasurer </v>
      </c>
      <c r="B9" s="449">
        <v>7</v>
      </c>
      <c r="C9" s="449" t="str">
        <f t="shared" si="0"/>
        <v>07</v>
      </c>
      <c r="D9" s="448" t="s">
        <v>1276</v>
      </c>
      <c r="E9" s="448" t="s">
        <v>1257</v>
      </c>
      <c r="F9" s="448" t="s">
        <v>1258</v>
      </c>
      <c r="G9" s="454" t="s">
        <v>1277</v>
      </c>
      <c r="H9" s="448" t="s">
        <v>1278</v>
      </c>
      <c r="I9" s="455"/>
      <c r="J9" s="456"/>
      <c r="K9" s="448" t="b">
        <f t="shared" si="2"/>
        <v>0</v>
      </c>
    </row>
    <row r="10" spans="1:12" ht="16.5" customHeight="1">
      <c r="A10" s="448" t="str">
        <f t="shared" si="1"/>
        <v>07 State Health Plan</v>
      </c>
      <c r="B10" s="449">
        <v>7</v>
      </c>
      <c r="C10" s="449" t="str">
        <f t="shared" si="0"/>
        <v>07</v>
      </c>
      <c r="D10" s="600" t="s">
        <v>1279</v>
      </c>
      <c r="E10" s="448" t="s">
        <v>1280</v>
      </c>
      <c r="F10" s="448" t="s">
        <v>1258</v>
      </c>
      <c r="G10" s="454" t="s">
        <v>1277</v>
      </c>
      <c r="H10" s="448" t="s">
        <v>1278</v>
      </c>
      <c r="I10" s="454">
        <v>2629</v>
      </c>
      <c r="J10" s="456"/>
      <c r="K10" s="448" t="b">
        <f t="shared" si="2"/>
        <v>0</v>
      </c>
    </row>
    <row r="11" spans="1:12" ht="17.25" customHeight="1">
      <c r="A11" s="448" t="str">
        <f t="shared" si="1"/>
        <v xml:space="preserve">08 Department of Public Instruction </v>
      </c>
      <c r="B11" s="449">
        <v>8</v>
      </c>
      <c r="C11" s="449" t="str">
        <f t="shared" si="0"/>
        <v>08</v>
      </c>
      <c r="D11" s="448" t="s">
        <v>1281</v>
      </c>
      <c r="E11" s="448" t="s">
        <v>1257</v>
      </c>
      <c r="F11" s="448" t="s">
        <v>1258</v>
      </c>
      <c r="G11" s="454" t="s">
        <v>1282</v>
      </c>
      <c r="H11" s="448" t="s">
        <v>1283</v>
      </c>
      <c r="I11" s="455"/>
      <c r="K11" s="448" t="b">
        <f t="shared" si="2"/>
        <v>0</v>
      </c>
      <c r="L11" s="448" t="b">
        <f t="shared" si="2"/>
        <v>1</v>
      </c>
    </row>
    <row r="12" spans="1:12">
      <c r="A12" s="448" t="str">
        <f t="shared" si="1"/>
        <v xml:space="preserve">09 Department of Justice </v>
      </c>
      <c r="B12" s="449">
        <v>9</v>
      </c>
      <c r="C12" s="449" t="str">
        <f t="shared" si="0"/>
        <v>09</v>
      </c>
      <c r="D12" s="448" t="s">
        <v>1284</v>
      </c>
      <c r="E12" s="448" t="s">
        <v>1257</v>
      </c>
      <c r="F12" s="448" t="s">
        <v>1258</v>
      </c>
      <c r="G12" s="454" t="s">
        <v>1285</v>
      </c>
      <c r="H12" s="565" t="s">
        <v>1286</v>
      </c>
      <c r="I12" s="454"/>
      <c r="K12" s="448" t="b">
        <f t="shared" si="2"/>
        <v>0</v>
      </c>
      <c r="L12" s="448" t="b">
        <f t="shared" si="2"/>
        <v>1</v>
      </c>
    </row>
    <row r="13" spans="1:12">
      <c r="A13" s="448" t="str">
        <f t="shared" si="1"/>
        <v>10 Department of Agriculture</v>
      </c>
      <c r="B13" s="449">
        <v>10</v>
      </c>
      <c r="C13" s="449" t="str">
        <f t="shared" si="0"/>
        <v>10</v>
      </c>
      <c r="D13" s="448" t="s">
        <v>1287</v>
      </c>
      <c r="E13" s="448" t="s">
        <v>1257</v>
      </c>
      <c r="F13" s="448" t="s">
        <v>1258</v>
      </c>
      <c r="G13" s="454" t="s">
        <v>1288</v>
      </c>
      <c r="H13" s="448" t="s">
        <v>1289</v>
      </c>
      <c r="I13" s="454"/>
      <c r="K13" s="448" t="b">
        <f t="shared" si="2"/>
        <v>0</v>
      </c>
      <c r="L13" s="448" t="b">
        <f t="shared" si="2"/>
        <v>1</v>
      </c>
    </row>
    <row r="14" spans="1:12">
      <c r="A14" s="448" t="str">
        <f t="shared" si="1"/>
        <v>11 Department of Labor</v>
      </c>
      <c r="B14" s="449">
        <v>11</v>
      </c>
      <c r="C14" s="449" t="str">
        <f t="shared" si="0"/>
        <v>11</v>
      </c>
      <c r="D14" s="448" t="s">
        <v>1290</v>
      </c>
      <c r="E14" s="448" t="s">
        <v>1257</v>
      </c>
      <c r="F14" s="448" t="s">
        <v>1258</v>
      </c>
      <c r="G14" s="454" t="s">
        <v>1291</v>
      </c>
      <c r="H14" s="448" t="s">
        <v>1292</v>
      </c>
      <c r="I14" s="454"/>
      <c r="K14" s="448" t="b">
        <f t="shared" si="2"/>
        <v>0</v>
      </c>
      <c r="L14" s="448" t="b">
        <f t="shared" si="2"/>
        <v>1</v>
      </c>
    </row>
    <row r="15" spans="1:12">
      <c r="A15" s="448" t="str">
        <f t="shared" si="1"/>
        <v xml:space="preserve">12 Department of Insurance </v>
      </c>
      <c r="B15" s="449">
        <v>12</v>
      </c>
      <c r="C15" s="449" t="str">
        <f t="shared" si="0"/>
        <v>12</v>
      </c>
      <c r="D15" s="448" t="s">
        <v>1293</v>
      </c>
      <c r="E15" s="448" t="s">
        <v>1257</v>
      </c>
      <c r="F15" s="448" t="s">
        <v>1258</v>
      </c>
      <c r="G15" s="454" t="s">
        <v>1294</v>
      </c>
      <c r="H15" s="448" t="s">
        <v>1295</v>
      </c>
      <c r="I15" s="454"/>
      <c r="K15" s="448" t="b">
        <f t="shared" si="2"/>
        <v>0</v>
      </c>
      <c r="L15" s="448" t="b">
        <f t="shared" si="2"/>
        <v>1</v>
      </c>
    </row>
    <row r="16" spans="1:12">
      <c r="A16" s="448" t="str">
        <f t="shared" si="1"/>
        <v xml:space="preserve">13 Department of Administration </v>
      </c>
      <c r="B16" s="449">
        <v>13</v>
      </c>
      <c r="C16" s="449" t="str">
        <f t="shared" si="0"/>
        <v>13</v>
      </c>
      <c r="D16" s="448" t="s">
        <v>1296</v>
      </c>
      <c r="E16" s="448" t="s">
        <v>1257</v>
      </c>
      <c r="F16" s="448" t="s">
        <v>1258</v>
      </c>
      <c r="G16" s="454" t="s">
        <v>1268</v>
      </c>
      <c r="H16" s="448" t="s">
        <v>1269</v>
      </c>
      <c r="I16" s="454"/>
      <c r="K16" s="448" t="b">
        <f t="shared" si="2"/>
        <v>0</v>
      </c>
      <c r="L16" s="448" t="b">
        <f t="shared" si="2"/>
        <v>1</v>
      </c>
    </row>
    <row r="17" spans="1:12">
      <c r="A17" s="448" t="str">
        <f t="shared" si="1"/>
        <v xml:space="preserve">14 Office of the State Controller </v>
      </c>
      <c r="B17" s="449">
        <v>14</v>
      </c>
      <c r="C17" s="449" t="str">
        <f t="shared" si="0"/>
        <v>14</v>
      </c>
      <c r="D17" s="448" t="s">
        <v>1297</v>
      </c>
      <c r="E17" s="448" t="s">
        <v>1257</v>
      </c>
      <c r="F17" s="448" t="s">
        <v>1258</v>
      </c>
      <c r="G17" s="454" t="s">
        <v>1298</v>
      </c>
      <c r="H17" s="448" t="s">
        <v>1299</v>
      </c>
      <c r="I17" s="454"/>
      <c r="K17" s="448" t="b">
        <f t="shared" si="2"/>
        <v>0</v>
      </c>
      <c r="L17" s="448" t="b">
        <f t="shared" si="2"/>
        <v>1</v>
      </c>
    </row>
    <row r="18" spans="1:12">
      <c r="A18" s="448" t="str">
        <f t="shared" si="1"/>
        <v>15 Department of Transportation</v>
      </c>
      <c r="B18" s="449">
        <v>15</v>
      </c>
      <c r="C18" s="449" t="str">
        <f t="shared" si="0"/>
        <v>15</v>
      </c>
      <c r="D18" s="448" t="s">
        <v>1300</v>
      </c>
      <c r="E18" s="448" t="s">
        <v>1257</v>
      </c>
      <c r="F18" s="448" t="s">
        <v>1258</v>
      </c>
      <c r="G18" s="454" t="s">
        <v>1301</v>
      </c>
      <c r="H18" s="448" t="s">
        <v>1302</v>
      </c>
      <c r="I18" s="454"/>
      <c r="K18" s="448" t="b">
        <f t="shared" si="2"/>
        <v>0</v>
      </c>
      <c r="L18" s="448" t="b">
        <f t="shared" si="2"/>
        <v>1</v>
      </c>
    </row>
    <row r="19" spans="1:12">
      <c r="A19" s="448" t="str">
        <f t="shared" si="1"/>
        <v>16 Department of Environmental Quality</v>
      </c>
      <c r="B19" s="449">
        <v>16</v>
      </c>
      <c r="C19" s="449" t="str">
        <f t="shared" si="0"/>
        <v>16</v>
      </c>
      <c r="D19" s="448" t="s">
        <v>1303</v>
      </c>
      <c r="E19" s="448" t="s">
        <v>1257</v>
      </c>
      <c r="F19" s="448" t="s">
        <v>1258</v>
      </c>
      <c r="G19" s="454" t="s">
        <v>1304</v>
      </c>
      <c r="H19" s="448" t="s">
        <v>1305</v>
      </c>
      <c r="I19" s="457"/>
      <c r="K19" s="448" t="b">
        <f t="shared" si="2"/>
        <v>0</v>
      </c>
      <c r="L19" s="448" t="b">
        <f t="shared" si="2"/>
        <v>1</v>
      </c>
    </row>
    <row r="20" spans="1:12">
      <c r="A20" s="448" t="str">
        <f t="shared" si="1"/>
        <v>17 Wildlife Resources Commission</v>
      </c>
      <c r="B20" s="449">
        <v>17</v>
      </c>
      <c r="C20" s="449" t="str">
        <f t="shared" si="0"/>
        <v>17</v>
      </c>
      <c r="D20" s="448" t="s">
        <v>1306</v>
      </c>
      <c r="E20" s="448" t="s">
        <v>1257</v>
      </c>
      <c r="F20" s="448" t="s">
        <v>1258</v>
      </c>
      <c r="G20" s="454" t="s">
        <v>1307</v>
      </c>
      <c r="H20" s="448" t="s">
        <v>1308</v>
      </c>
      <c r="K20" s="448" t="b">
        <f t="shared" si="2"/>
        <v>0</v>
      </c>
      <c r="L20" s="448" t="b">
        <f t="shared" si="2"/>
        <v>1</v>
      </c>
    </row>
    <row r="21" spans="1:12">
      <c r="A21" s="448" t="str">
        <f t="shared" si="1"/>
        <v>19 Dept. of Public Safety</v>
      </c>
      <c r="B21" s="449">
        <v>19</v>
      </c>
      <c r="C21" s="449" t="str">
        <f t="shared" si="0"/>
        <v>19</v>
      </c>
      <c r="D21" s="448" t="s">
        <v>1309</v>
      </c>
      <c r="E21" s="448" t="s">
        <v>1257</v>
      </c>
      <c r="F21" s="448" t="s">
        <v>1258</v>
      </c>
      <c r="G21" s="454" t="s">
        <v>1310</v>
      </c>
      <c r="H21" s="448" t="s">
        <v>1311</v>
      </c>
      <c r="J21" s="456"/>
      <c r="K21" s="448" t="b">
        <f t="shared" si="2"/>
        <v>0</v>
      </c>
      <c r="L21" s="448" t="b">
        <f t="shared" si="2"/>
        <v>1</v>
      </c>
    </row>
    <row r="22" spans="1:12">
      <c r="A22" s="448" t="str">
        <f t="shared" si="1"/>
        <v>2X Dept. of Health and Human Services</v>
      </c>
      <c r="B22" s="449" t="s">
        <v>1312</v>
      </c>
      <c r="C22" s="449" t="str">
        <f t="shared" si="0"/>
        <v>2X</v>
      </c>
      <c r="D22" s="448" t="s">
        <v>1313</v>
      </c>
      <c r="E22" s="448" t="s">
        <v>1257</v>
      </c>
      <c r="F22" s="448" t="s">
        <v>1258</v>
      </c>
      <c r="G22" s="454" t="s">
        <v>1314</v>
      </c>
      <c r="H22" s="448" t="s">
        <v>1315</v>
      </c>
      <c r="J22" s="456"/>
      <c r="K22" s="448" t="b">
        <f t="shared" si="2"/>
        <v>1</v>
      </c>
      <c r="L22" s="448" t="b">
        <f t="shared" si="2"/>
        <v>1</v>
      </c>
    </row>
    <row r="23" spans="1:12">
      <c r="A23" s="448" t="str">
        <f t="shared" si="1"/>
        <v>3X DHHS - Mental Health</v>
      </c>
      <c r="B23" s="449" t="s">
        <v>1316</v>
      </c>
      <c r="C23" s="449" t="str">
        <f t="shared" si="0"/>
        <v>3X</v>
      </c>
      <c r="D23" s="448" t="s">
        <v>1317</v>
      </c>
      <c r="E23" s="448" t="s">
        <v>1257</v>
      </c>
      <c r="F23" s="448" t="s">
        <v>1258</v>
      </c>
      <c r="G23" s="454" t="s">
        <v>1318</v>
      </c>
      <c r="H23" s="448" t="s">
        <v>1319</v>
      </c>
      <c r="J23" s="456"/>
      <c r="K23" s="448" t="b">
        <f>ISTEXT(B23)</f>
        <v>1</v>
      </c>
      <c r="L23" s="448" t="b">
        <f t="shared" si="2"/>
        <v>1</v>
      </c>
    </row>
    <row r="24" spans="1:12">
      <c r="A24" s="448" t="str">
        <f>C24&amp;" "&amp;D24</f>
        <v>40 Department of Military &amp; Veterans Affairs</v>
      </c>
      <c r="B24" s="601">
        <v>40</v>
      </c>
      <c r="C24" s="449" t="str">
        <f>TEXT(B24,"00")</f>
        <v>40</v>
      </c>
      <c r="D24" s="448" t="s">
        <v>1320</v>
      </c>
      <c r="E24" s="448" t="s">
        <v>1257</v>
      </c>
      <c r="F24" s="448" t="s">
        <v>1258</v>
      </c>
      <c r="G24" s="454" t="s">
        <v>1268</v>
      </c>
      <c r="H24" s="448" t="s">
        <v>1269</v>
      </c>
      <c r="K24" s="448" t="b">
        <f>ISTEXT(B24)</f>
        <v>0</v>
      </c>
      <c r="L24" s="448" t="b">
        <f>ISTEXT(C24)</f>
        <v>1</v>
      </c>
    </row>
    <row r="25" spans="1:12">
      <c r="A25" s="448" t="str">
        <f t="shared" si="1"/>
        <v>41 Department of Information Technology</v>
      </c>
      <c r="B25" s="449">
        <v>41</v>
      </c>
      <c r="C25" s="449" t="str">
        <f t="shared" si="0"/>
        <v>41</v>
      </c>
      <c r="D25" s="448" t="s">
        <v>1321</v>
      </c>
      <c r="E25" s="448" t="s">
        <v>1257</v>
      </c>
      <c r="F25" s="448" t="s">
        <v>1258</v>
      </c>
      <c r="G25" s="454" t="s">
        <v>1322</v>
      </c>
      <c r="H25" s="448" t="s">
        <v>1323</v>
      </c>
      <c r="K25" s="448" t="b">
        <f t="shared" ref="K25:L33" si="3">ISTEXT(B25)</f>
        <v>0</v>
      </c>
      <c r="L25" s="448" t="b">
        <f t="shared" si="3"/>
        <v>1</v>
      </c>
    </row>
    <row r="26" spans="1:12">
      <c r="A26" s="448" t="str">
        <f t="shared" si="1"/>
        <v>43 Department of Commerce</v>
      </c>
      <c r="B26" s="449">
        <v>43</v>
      </c>
      <c r="C26" s="449" t="str">
        <f t="shared" si="0"/>
        <v>43</v>
      </c>
      <c r="D26" s="448" t="s">
        <v>1324</v>
      </c>
      <c r="E26" s="448" t="s">
        <v>1257</v>
      </c>
      <c r="F26" s="448" t="s">
        <v>1258</v>
      </c>
      <c r="G26" s="454" t="s">
        <v>1325</v>
      </c>
      <c r="H26" s="448" t="s">
        <v>1326</v>
      </c>
      <c r="J26" s="456"/>
      <c r="K26" s="448" t="b">
        <f t="shared" si="3"/>
        <v>0</v>
      </c>
      <c r="L26" s="448" t="b">
        <f t="shared" si="3"/>
        <v>1</v>
      </c>
    </row>
    <row r="27" spans="1:12">
      <c r="A27" s="448" t="str">
        <f t="shared" si="1"/>
        <v>45 Department of Revenue</v>
      </c>
      <c r="B27" s="449">
        <v>45</v>
      </c>
      <c r="C27" s="449" t="str">
        <f t="shared" si="0"/>
        <v>45</v>
      </c>
      <c r="D27" s="448" t="s">
        <v>1327</v>
      </c>
      <c r="E27" s="448" t="s">
        <v>1257</v>
      </c>
      <c r="F27" s="448" t="s">
        <v>1258</v>
      </c>
      <c r="G27" s="454" t="s">
        <v>1328</v>
      </c>
      <c r="H27" s="448" t="s">
        <v>1329</v>
      </c>
      <c r="J27" s="456"/>
      <c r="K27" s="448" t="b">
        <f t="shared" si="3"/>
        <v>0</v>
      </c>
      <c r="L27" s="448" t="b">
        <f t="shared" si="3"/>
        <v>1</v>
      </c>
    </row>
    <row r="28" spans="1:12">
      <c r="A28" s="448" t="str">
        <f t="shared" si="1"/>
        <v>46 Department of Natural and Cultural Resources</v>
      </c>
      <c r="B28" s="449">
        <v>46</v>
      </c>
      <c r="C28" s="449" t="str">
        <f t="shared" si="0"/>
        <v>46</v>
      </c>
      <c r="D28" s="448" t="s">
        <v>1330</v>
      </c>
      <c r="E28" s="448" t="s">
        <v>1257</v>
      </c>
      <c r="F28" s="448" t="s">
        <v>1258</v>
      </c>
      <c r="G28" s="454" t="s">
        <v>1331</v>
      </c>
      <c r="H28" s="448" t="s">
        <v>1332</v>
      </c>
      <c r="K28" s="448" t="b">
        <f t="shared" si="3"/>
        <v>0</v>
      </c>
      <c r="L28" s="448" t="b">
        <f t="shared" si="3"/>
        <v>1</v>
      </c>
    </row>
    <row r="29" spans="1:12">
      <c r="A29" s="458" t="str">
        <f t="shared" si="1"/>
        <v>48X UNC Hlth Care Rep Unit (Combined Pkg)</v>
      </c>
      <c r="B29" s="449" t="s">
        <v>1333</v>
      </c>
      <c r="C29" s="449" t="str">
        <f t="shared" si="0"/>
        <v>48X</v>
      </c>
      <c r="D29" s="448" t="s">
        <v>1334</v>
      </c>
      <c r="E29" s="448" t="s">
        <v>1335</v>
      </c>
      <c r="F29" s="448" t="s">
        <v>1336</v>
      </c>
      <c r="G29" s="454" t="s">
        <v>1337</v>
      </c>
      <c r="H29" s="448" t="s">
        <v>1338</v>
      </c>
      <c r="I29" s="448" t="s">
        <v>1339</v>
      </c>
      <c r="K29" s="448" t="b">
        <f t="shared" si="3"/>
        <v>1</v>
      </c>
      <c r="L29" s="448" t="b">
        <f t="shared" si="3"/>
        <v>1</v>
      </c>
    </row>
    <row r="30" spans="1:12">
      <c r="A30" s="448" t="str">
        <f t="shared" si="1"/>
        <v>48 UNC Hospitals</v>
      </c>
      <c r="B30" s="449">
        <v>48</v>
      </c>
      <c r="C30" s="449" t="str">
        <f t="shared" si="0"/>
        <v>48</v>
      </c>
      <c r="D30" s="448" t="s">
        <v>1340</v>
      </c>
      <c r="E30" s="448" t="s">
        <v>1335</v>
      </c>
      <c r="F30" s="448" t="s">
        <v>1336</v>
      </c>
      <c r="G30" s="454" t="s">
        <v>1341</v>
      </c>
      <c r="H30" s="448" t="s">
        <v>1342</v>
      </c>
      <c r="I30" s="448" t="s">
        <v>1343</v>
      </c>
      <c r="K30" s="448" t="b">
        <f t="shared" si="3"/>
        <v>0</v>
      </c>
      <c r="L30" s="448" t="b">
        <f t="shared" si="3"/>
        <v>1</v>
      </c>
    </row>
    <row r="31" spans="1:12">
      <c r="A31" s="448" t="str">
        <f t="shared" si="1"/>
        <v>48E UNC Hospitals - Enterprise Fund</v>
      </c>
      <c r="B31" s="449" t="s">
        <v>1344</v>
      </c>
      <c r="C31" s="449" t="str">
        <f t="shared" si="0"/>
        <v>48E</v>
      </c>
      <c r="D31" s="448" t="s">
        <v>1345</v>
      </c>
      <c r="E31" s="448" t="s">
        <v>1335</v>
      </c>
      <c r="F31" s="448" t="s">
        <v>1336</v>
      </c>
      <c r="G31" s="454" t="s">
        <v>1346</v>
      </c>
      <c r="H31" s="448" t="s">
        <v>1347</v>
      </c>
      <c r="I31" s="454">
        <v>2635</v>
      </c>
      <c r="K31" s="448" t="b">
        <f t="shared" si="3"/>
        <v>1</v>
      </c>
      <c r="L31" s="448" t="b">
        <f t="shared" si="3"/>
        <v>1</v>
      </c>
    </row>
    <row r="32" spans="1:12">
      <c r="A32" s="448" t="str">
        <f t="shared" si="1"/>
        <v>48L UNC Hospitals - LITF</v>
      </c>
      <c r="B32" s="449" t="s">
        <v>1348</v>
      </c>
      <c r="C32" s="449" t="str">
        <f t="shared" si="0"/>
        <v>48L</v>
      </c>
      <c r="D32" s="448" t="s">
        <v>1349</v>
      </c>
      <c r="E32" s="448" t="s">
        <v>1335</v>
      </c>
      <c r="F32" s="448" t="s">
        <v>1336</v>
      </c>
      <c r="G32" s="454" t="s">
        <v>1350</v>
      </c>
      <c r="H32" s="448" t="s">
        <v>1351</v>
      </c>
      <c r="I32" s="454">
        <v>2632</v>
      </c>
      <c r="K32" s="448" t="b">
        <f t="shared" si="3"/>
        <v>1</v>
      </c>
      <c r="L32" s="448" t="b">
        <f t="shared" si="3"/>
        <v>1</v>
      </c>
    </row>
    <row r="33" spans="1:11">
      <c r="A33" s="448" t="str">
        <f t="shared" si="1"/>
        <v>48R Rex Healthcare</v>
      </c>
      <c r="B33" s="449" t="s">
        <v>1352</v>
      </c>
      <c r="C33" s="449" t="str">
        <f t="shared" si="0"/>
        <v>48R</v>
      </c>
      <c r="D33" s="448" t="s">
        <v>1353</v>
      </c>
      <c r="E33" s="448" t="s">
        <v>1335</v>
      </c>
      <c r="F33" s="448" t="s">
        <v>1336</v>
      </c>
      <c r="G33" s="454" t="s">
        <v>1354</v>
      </c>
      <c r="H33" s="448" t="s">
        <v>1355</v>
      </c>
      <c r="I33" s="454">
        <v>2637</v>
      </c>
      <c r="K33" s="448" t="b">
        <f t="shared" si="3"/>
        <v>1</v>
      </c>
    </row>
    <row r="34" spans="1:11">
      <c r="A34" s="448" t="str">
        <f t="shared" si="1"/>
        <v>48C Chatham Hospital</v>
      </c>
      <c r="B34" s="449" t="s">
        <v>1356</v>
      </c>
      <c r="C34" s="449" t="str">
        <f t="shared" si="0"/>
        <v>48C</v>
      </c>
      <c r="D34" s="448" t="s">
        <v>1357</v>
      </c>
      <c r="E34" s="448" t="s">
        <v>1335</v>
      </c>
      <c r="F34" s="448" t="s">
        <v>1336</v>
      </c>
      <c r="G34" s="454" t="s">
        <v>1358</v>
      </c>
      <c r="H34" s="448" t="s">
        <v>1359</v>
      </c>
      <c r="I34" s="454">
        <v>2638</v>
      </c>
    </row>
    <row r="35" spans="1:11">
      <c r="A35" s="459" t="str">
        <f>C35&amp;" "&amp;D35</f>
        <v>48T UNC Physicians Network</v>
      </c>
      <c r="B35" s="449" t="s">
        <v>1360</v>
      </c>
      <c r="C35" s="449" t="str">
        <f t="shared" si="0"/>
        <v>48T</v>
      </c>
      <c r="D35" s="448" t="s">
        <v>1361</v>
      </c>
      <c r="E35" s="448" t="s">
        <v>1335</v>
      </c>
      <c r="F35" s="448" t="s">
        <v>1336</v>
      </c>
      <c r="G35" s="454" t="s">
        <v>1362</v>
      </c>
      <c r="H35" s="448" t="s">
        <v>1363</v>
      </c>
      <c r="I35" s="454">
        <v>2639</v>
      </c>
    </row>
    <row r="36" spans="1:11">
      <c r="A36" s="459" t="str">
        <f>C36&amp;" "&amp;D36</f>
        <v>48HP UNC Rockingham Health Care</v>
      </c>
      <c r="B36" s="449" t="s">
        <v>1364</v>
      </c>
      <c r="C36" s="449" t="str">
        <f t="shared" si="0"/>
        <v>48HP</v>
      </c>
      <c r="D36" s="448" t="s">
        <v>1365</v>
      </c>
      <c r="E36" s="448" t="s">
        <v>1335</v>
      </c>
      <c r="F36" s="448" t="s">
        <v>1336</v>
      </c>
      <c r="G36" s="454" t="s">
        <v>1341</v>
      </c>
      <c r="H36" s="448" t="s">
        <v>1342</v>
      </c>
      <c r="I36" s="454" t="s">
        <v>1339</v>
      </c>
    </row>
    <row r="37" spans="1:11">
      <c r="A37" s="459" t="str">
        <f>C37&amp;" "&amp;D37</f>
        <v>48CW Caldwell Memorial Hospital</v>
      </c>
      <c r="B37" s="449" t="s">
        <v>1366</v>
      </c>
      <c r="C37" s="449" t="str">
        <f t="shared" si="0"/>
        <v>48CW</v>
      </c>
      <c r="D37" s="448" t="s">
        <v>1367</v>
      </c>
      <c r="E37" s="448" t="s">
        <v>1335</v>
      </c>
      <c r="F37" s="448" t="s">
        <v>1336</v>
      </c>
      <c r="G37" s="454" t="s">
        <v>1358</v>
      </c>
      <c r="H37" s="448" t="s">
        <v>1359</v>
      </c>
      <c r="I37" s="454" t="s">
        <v>1339</v>
      </c>
      <c r="J37" s="459"/>
    </row>
    <row r="38" spans="1:11">
      <c r="A38" s="448" t="str">
        <f t="shared" si="1"/>
        <v>50 Community College System Office</v>
      </c>
      <c r="B38" s="449">
        <v>50</v>
      </c>
      <c r="C38" s="449" t="str">
        <f t="shared" si="0"/>
        <v>50</v>
      </c>
      <c r="D38" s="448" t="s">
        <v>1368</v>
      </c>
      <c r="E38" s="448" t="s">
        <v>1257</v>
      </c>
      <c r="F38" s="448" t="s">
        <v>1258</v>
      </c>
      <c r="G38" s="454" t="s">
        <v>1369</v>
      </c>
      <c r="H38" s="556" t="s">
        <v>1370</v>
      </c>
    </row>
    <row r="39" spans="1:11">
      <c r="A39" s="448" t="str">
        <f t="shared" si="1"/>
        <v>60 State Board of Elections</v>
      </c>
      <c r="B39" s="449">
        <v>60</v>
      </c>
      <c r="C39" s="449" t="str">
        <f t="shared" si="0"/>
        <v>60</v>
      </c>
      <c r="D39" s="448" t="s">
        <v>1371</v>
      </c>
      <c r="E39" s="448" t="s">
        <v>1257</v>
      </c>
      <c r="F39" s="448" t="s">
        <v>1258</v>
      </c>
      <c r="G39" s="454" t="s">
        <v>1268</v>
      </c>
      <c r="H39" s="448" t="s">
        <v>1269</v>
      </c>
    </row>
    <row r="40" spans="1:11">
      <c r="A40" s="448" t="str">
        <f t="shared" si="1"/>
        <v>61 NC Education Lottery</v>
      </c>
      <c r="B40" s="449" t="s">
        <v>1372</v>
      </c>
      <c r="C40" s="449" t="str">
        <f t="shared" si="0"/>
        <v>61</v>
      </c>
      <c r="D40" s="448" t="s">
        <v>1373</v>
      </c>
      <c r="E40" s="448" t="s">
        <v>1257</v>
      </c>
      <c r="F40" s="448" t="s">
        <v>1258</v>
      </c>
      <c r="G40" s="454" t="s">
        <v>1374</v>
      </c>
      <c r="H40" s="448" t="s">
        <v>1375</v>
      </c>
    </row>
    <row r="41" spans="1:11">
      <c r="A41" s="448" t="str">
        <f t="shared" si="1"/>
        <v>67 Office of Administrative Hearings</v>
      </c>
      <c r="B41" s="449">
        <v>67</v>
      </c>
      <c r="C41" s="449" t="str">
        <f t="shared" si="0"/>
        <v>67</v>
      </c>
      <c r="D41" s="448" t="s">
        <v>1376</v>
      </c>
      <c r="E41" s="448" t="s">
        <v>1257</v>
      </c>
      <c r="F41" s="448" t="s">
        <v>1258</v>
      </c>
      <c r="G41" s="454" t="s">
        <v>1377</v>
      </c>
      <c r="H41" s="448" t="s">
        <v>1378</v>
      </c>
    </row>
    <row r="42" spans="1:11">
      <c r="A42" s="448" t="str">
        <f t="shared" si="1"/>
        <v>69 USS North Carolina Battleship Comm.</v>
      </c>
      <c r="B42" s="449" t="s">
        <v>1379</v>
      </c>
      <c r="C42" s="449" t="str">
        <f t="shared" si="0"/>
        <v>69</v>
      </c>
      <c r="D42" s="448" t="s">
        <v>1380</v>
      </c>
      <c r="E42" s="448" t="s">
        <v>1257</v>
      </c>
      <c r="F42" s="448" t="s">
        <v>1336</v>
      </c>
      <c r="G42" s="454" t="s">
        <v>1381</v>
      </c>
      <c r="H42" s="448" t="s">
        <v>1382</v>
      </c>
    </row>
    <row r="43" spans="1:11">
      <c r="A43" s="448" t="str">
        <f t="shared" si="1"/>
        <v>6BC Deferred Comp &amp; NC 401(k)-Combined Pkg</v>
      </c>
      <c r="B43" s="449" t="s">
        <v>1383</v>
      </c>
      <c r="C43" s="449" t="str">
        <f t="shared" si="0"/>
        <v>6BC</v>
      </c>
      <c r="D43" s="459" t="s">
        <v>1384</v>
      </c>
      <c r="E43" s="448" t="s">
        <v>1257</v>
      </c>
      <c r="F43" s="448" t="s">
        <v>1336</v>
      </c>
      <c r="G43" s="454" t="s">
        <v>1277</v>
      </c>
      <c r="H43" s="448" t="s">
        <v>1278</v>
      </c>
      <c r="J43" s="458"/>
    </row>
    <row r="44" spans="1:11">
      <c r="A44" s="448" t="str">
        <f t="shared" si="1"/>
        <v>87 NC School of Science &amp; Mathematics</v>
      </c>
      <c r="B44" s="449">
        <v>87</v>
      </c>
      <c r="C44" s="449" t="str">
        <f t="shared" si="0"/>
        <v>87</v>
      </c>
      <c r="D44" s="448" t="s">
        <v>1385</v>
      </c>
      <c r="E44" s="448" t="s">
        <v>1335</v>
      </c>
      <c r="F44" s="448" t="s">
        <v>1258</v>
      </c>
      <c r="G44" s="454" t="s">
        <v>1386</v>
      </c>
      <c r="H44" s="448" t="s">
        <v>1387</v>
      </c>
      <c r="I44" s="448" t="s">
        <v>493</v>
      </c>
      <c r="J44" s="456" t="s">
        <v>1388</v>
      </c>
    </row>
    <row r="45" spans="1:11">
      <c r="A45" s="448" t="str">
        <f t="shared" si="1"/>
        <v>90 General Fund - OSC</v>
      </c>
      <c r="B45" s="449" t="s">
        <v>1389</v>
      </c>
      <c r="C45" s="449" t="str">
        <f t="shared" si="0"/>
        <v>90</v>
      </c>
      <c r="D45" s="448" t="s">
        <v>1390</v>
      </c>
      <c r="E45" s="448" t="s">
        <v>1257</v>
      </c>
      <c r="F45" s="448" t="s">
        <v>1258</v>
      </c>
      <c r="G45" s="454" t="s">
        <v>1391</v>
      </c>
      <c r="H45" s="448" t="s">
        <v>1392</v>
      </c>
    </row>
    <row r="46" spans="1:11">
      <c r="A46" s="448" t="str">
        <f t="shared" si="1"/>
        <v>99 General Fund - DOR</v>
      </c>
      <c r="B46" s="449" t="s">
        <v>1393</v>
      </c>
      <c r="C46" s="449" t="str">
        <f t="shared" si="0"/>
        <v>99</v>
      </c>
      <c r="D46" s="448" t="s">
        <v>1394</v>
      </c>
      <c r="E46" s="448" t="s">
        <v>1257</v>
      </c>
      <c r="F46" s="448" t="s">
        <v>1258</v>
      </c>
      <c r="G46" s="454" t="s">
        <v>1395</v>
      </c>
      <c r="H46" s="448" t="s">
        <v>1396</v>
      </c>
    </row>
    <row r="47" spans="1:11">
      <c r="A47" s="448" t="str">
        <f t="shared" si="1"/>
        <v>RX OSC-Central Accounts</v>
      </c>
      <c r="B47" s="449" t="s">
        <v>1397</v>
      </c>
      <c r="C47" s="449" t="str">
        <f t="shared" ref="C47:C74" si="4">B47</f>
        <v>RX</v>
      </c>
      <c r="D47" s="448" t="s">
        <v>1398</v>
      </c>
      <c r="E47" s="448" t="s">
        <v>1257</v>
      </c>
      <c r="F47" s="448" t="s">
        <v>1258</v>
      </c>
      <c r="G47" s="454" t="s">
        <v>1399</v>
      </c>
      <c r="H47" s="448" t="s">
        <v>1400</v>
      </c>
    </row>
    <row r="48" spans="1:11" ht="18">
      <c r="A48" s="448" t="str">
        <f t="shared" si="1"/>
        <v>U10 UNC-System Office</v>
      </c>
      <c r="B48" s="449" t="s">
        <v>1401</v>
      </c>
      <c r="C48" s="449" t="str">
        <f t="shared" si="4"/>
        <v>U10</v>
      </c>
      <c r="D48" s="448" t="s">
        <v>1402</v>
      </c>
      <c r="E48" s="448" t="s">
        <v>1335</v>
      </c>
      <c r="F48" s="448" t="s">
        <v>1403</v>
      </c>
      <c r="G48" s="454" t="s">
        <v>1404</v>
      </c>
      <c r="H48" s="448" t="s">
        <v>1405</v>
      </c>
      <c r="I48" s="448" t="s">
        <v>493</v>
      </c>
      <c r="J48" s="747" t="s">
        <v>1406</v>
      </c>
    </row>
    <row r="49" spans="1:10" ht="18">
      <c r="A49" s="448" t="str">
        <f t="shared" si="1"/>
        <v>U20 UNC at Chapel Hill</v>
      </c>
      <c r="B49" s="449" t="s">
        <v>1407</v>
      </c>
      <c r="C49" s="449" t="str">
        <f t="shared" si="4"/>
        <v>U20</v>
      </c>
      <c r="D49" s="448" t="s">
        <v>1408</v>
      </c>
      <c r="E49" s="448" t="s">
        <v>1335</v>
      </c>
      <c r="F49" s="448" t="s">
        <v>1403</v>
      </c>
      <c r="G49" s="454" t="s">
        <v>1409</v>
      </c>
      <c r="H49" s="448" t="s">
        <v>1410</v>
      </c>
      <c r="I49" s="448" t="s">
        <v>493</v>
      </c>
      <c r="J49" s="459"/>
    </row>
    <row r="50" spans="1:10" ht="18">
      <c r="A50" s="448" t="str">
        <f t="shared" si="1"/>
        <v>U30 North Carolina State University</v>
      </c>
      <c r="B50" s="449" t="s">
        <v>1411</v>
      </c>
      <c r="C50" s="449" t="str">
        <f t="shared" si="4"/>
        <v>U30</v>
      </c>
      <c r="D50" s="448" t="s">
        <v>1412</v>
      </c>
      <c r="E50" s="448" t="s">
        <v>1335</v>
      </c>
      <c r="F50" s="448" t="s">
        <v>1403</v>
      </c>
      <c r="G50" s="454" t="s">
        <v>1413</v>
      </c>
      <c r="H50" s="448" t="s">
        <v>1414</v>
      </c>
      <c r="I50" s="448" t="s">
        <v>493</v>
      </c>
      <c r="J50" s="459"/>
    </row>
    <row r="51" spans="1:10" ht="18">
      <c r="A51" s="448" t="str">
        <f t="shared" si="1"/>
        <v>U40 UNC at Greensboro</v>
      </c>
      <c r="B51" s="449" t="s">
        <v>1415</v>
      </c>
      <c r="C51" s="449" t="str">
        <f t="shared" si="4"/>
        <v>U40</v>
      </c>
      <c r="D51" s="448" t="s">
        <v>1416</v>
      </c>
      <c r="E51" s="448" t="s">
        <v>1335</v>
      </c>
      <c r="F51" s="448" t="s">
        <v>1403</v>
      </c>
      <c r="G51" s="454" t="s">
        <v>1417</v>
      </c>
      <c r="H51" s="448" t="s">
        <v>1418</v>
      </c>
      <c r="I51" s="448" t="s">
        <v>493</v>
      </c>
    </row>
    <row r="52" spans="1:10" ht="18">
      <c r="A52" s="448" t="str">
        <f t="shared" si="1"/>
        <v>U50 UNC at Charlotte</v>
      </c>
      <c r="B52" s="449" t="s">
        <v>1419</v>
      </c>
      <c r="C52" s="449" t="str">
        <f t="shared" si="4"/>
        <v>U50</v>
      </c>
      <c r="D52" s="448" t="s">
        <v>1420</v>
      </c>
      <c r="E52" s="448" t="s">
        <v>1335</v>
      </c>
      <c r="F52" s="448" t="s">
        <v>1403</v>
      </c>
      <c r="G52" s="454" t="s">
        <v>1421</v>
      </c>
      <c r="H52" s="448" t="s">
        <v>1422</v>
      </c>
      <c r="I52" s="448" t="s">
        <v>493</v>
      </c>
    </row>
    <row r="53" spans="1:10" ht="18">
      <c r="A53" s="448" t="str">
        <f t="shared" si="1"/>
        <v>U55 UNC at Asheville</v>
      </c>
      <c r="B53" s="449" t="s">
        <v>1423</v>
      </c>
      <c r="C53" s="449" t="str">
        <f t="shared" si="4"/>
        <v>U55</v>
      </c>
      <c r="D53" s="448" t="s">
        <v>1424</v>
      </c>
      <c r="E53" s="448" t="s">
        <v>1335</v>
      </c>
      <c r="F53" s="448" t="s">
        <v>1403</v>
      </c>
      <c r="G53" s="454" t="s">
        <v>1425</v>
      </c>
      <c r="H53" s="448" t="s">
        <v>1426</v>
      </c>
      <c r="I53" s="448" t="s">
        <v>493</v>
      </c>
    </row>
    <row r="54" spans="1:10" ht="18">
      <c r="A54" s="448" t="str">
        <f t="shared" si="1"/>
        <v>U60 UNC at Wilmington</v>
      </c>
      <c r="B54" s="449" t="s">
        <v>1427</v>
      </c>
      <c r="C54" s="449" t="str">
        <f t="shared" si="4"/>
        <v>U60</v>
      </c>
      <c r="D54" s="448" t="s">
        <v>1428</v>
      </c>
      <c r="E54" s="448" t="s">
        <v>1335</v>
      </c>
      <c r="F54" s="448" t="s">
        <v>1403</v>
      </c>
      <c r="G54" s="454" t="s">
        <v>1429</v>
      </c>
      <c r="H54" s="448" t="s">
        <v>1430</v>
      </c>
      <c r="I54" s="448" t="s">
        <v>493</v>
      </c>
      <c r="J54" s="459"/>
    </row>
    <row r="55" spans="1:10" ht="18">
      <c r="A55" s="448" t="str">
        <f t="shared" si="1"/>
        <v>U65 East Carolina University</v>
      </c>
      <c r="B55" s="449" t="s">
        <v>1431</v>
      </c>
      <c r="C55" s="449" t="str">
        <f t="shared" si="4"/>
        <v>U65</v>
      </c>
      <c r="D55" s="448" t="s">
        <v>1432</v>
      </c>
      <c r="E55" s="448" t="s">
        <v>1335</v>
      </c>
      <c r="F55" s="448" t="s">
        <v>1403</v>
      </c>
      <c r="G55" s="454" t="s">
        <v>1433</v>
      </c>
      <c r="H55" s="448" t="s">
        <v>1434</v>
      </c>
      <c r="I55" s="448" t="s">
        <v>493</v>
      </c>
      <c r="J55" s="459"/>
    </row>
    <row r="56" spans="1:10" ht="18">
      <c r="A56" s="448" t="str">
        <f t="shared" si="1"/>
        <v>U70 North Carolina A&amp;T University</v>
      </c>
      <c r="B56" s="449" t="s">
        <v>1435</v>
      </c>
      <c r="C56" s="449" t="str">
        <f t="shared" si="4"/>
        <v>U70</v>
      </c>
      <c r="D56" s="448" t="s">
        <v>1436</v>
      </c>
      <c r="E56" s="448" t="s">
        <v>1335</v>
      </c>
      <c r="F56" s="448" t="s">
        <v>1403</v>
      </c>
      <c r="G56" s="454" t="s">
        <v>1437</v>
      </c>
      <c r="H56" s="448" t="s">
        <v>1438</v>
      </c>
      <c r="I56" s="448" t="s">
        <v>493</v>
      </c>
      <c r="J56" s="459"/>
    </row>
    <row r="57" spans="1:10" ht="18">
      <c r="A57" s="448" t="str">
        <f t="shared" si="1"/>
        <v>U75 Western Carolina University</v>
      </c>
      <c r="B57" s="449" t="s">
        <v>1439</v>
      </c>
      <c r="C57" s="449" t="str">
        <f t="shared" si="4"/>
        <v>U75</v>
      </c>
      <c r="D57" s="448" t="s">
        <v>1440</v>
      </c>
      <c r="E57" s="448" t="s">
        <v>1335</v>
      </c>
      <c r="F57" s="448" t="s">
        <v>1403</v>
      </c>
      <c r="G57" s="454" t="s">
        <v>1441</v>
      </c>
      <c r="H57" s="448" t="s">
        <v>1442</v>
      </c>
      <c r="I57" s="448" t="s">
        <v>493</v>
      </c>
    </row>
    <row r="58" spans="1:10" ht="18">
      <c r="A58" s="448" t="str">
        <f t="shared" si="1"/>
        <v>U80 Appalachian State University</v>
      </c>
      <c r="B58" s="449" t="s">
        <v>1443</v>
      </c>
      <c r="C58" s="449" t="str">
        <f t="shared" si="4"/>
        <v>U80</v>
      </c>
      <c r="D58" s="448" t="s">
        <v>1444</v>
      </c>
      <c r="E58" s="448" t="s">
        <v>1335</v>
      </c>
      <c r="F58" s="448" t="s">
        <v>1403</v>
      </c>
      <c r="G58" s="454" t="s">
        <v>1445</v>
      </c>
      <c r="H58" s="448" t="s">
        <v>1446</v>
      </c>
      <c r="I58" s="448" t="s">
        <v>493</v>
      </c>
    </row>
    <row r="59" spans="1:10" ht="18">
      <c r="A59" s="448" t="str">
        <f t="shared" si="1"/>
        <v>U82 UNC at Pembroke</v>
      </c>
      <c r="B59" s="449" t="s">
        <v>1447</v>
      </c>
      <c r="C59" s="449" t="str">
        <f t="shared" si="4"/>
        <v>U82</v>
      </c>
      <c r="D59" s="448" t="s">
        <v>1448</v>
      </c>
      <c r="E59" s="448" t="s">
        <v>1335</v>
      </c>
      <c r="F59" s="448" t="s">
        <v>1403</v>
      </c>
      <c r="G59" s="454" t="s">
        <v>1449</v>
      </c>
      <c r="H59" s="448" t="s">
        <v>1450</v>
      </c>
      <c r="I59" s="448" t="s">
        <v>493</v>
      </c>
    </row>
    <row r="60" spans="1:10" ht="18">
      <c r="A60" s="448" t="str">
        <f t="shared" si="1"/>
        <v>U84 Winston-Salem State University</v>
      </c>
      <c r="B60" s="449" t="s">
        <v>1451</v>
      </c>
      <c r="C60" s="449" t="str">
        <f t="shared" si="4"/>
        <v>U84</v>
      </c>
      <c r="D60" s="448" t="s">
        <v>1452</v>
      </c>
      <c r="E60" s="448" t="s">
        <v>1335</v>
      </c>
      <c r="F60" s="448" t="s">
        <v>1403</v>
      </c>
      <c r="G60" s="454" t="s">
        <v>1453</v>
      </c>
      <c r="H60" s="448" t="s">
        <v>1454</v>
      </c>
      <c r="I60" s="448" t="s">
        <v>493</v>
      </c>
    </row>
    <row r="61" spans="1:10" ht="18">
      <c r="A61" s="448" t="str">
        <f t="shared" si="1"/>
        <v>U86 Elizabeth City State University</v>
      </c>
      <c r="B61" s="449" t="s">
        <v>1455</v>
      </c>
      <c r="C61" s="449" t="str">
        <f t="shared" si="4"/>
        <v>U86</v>
      </c>
      <c r="D61" s="448" t="s">
        <v>1456</v>
      </c>
      <c r="E61" s="448" t="s">
        <v>1335</v>
      </c>
      <c r="F61" s="448" t="s">
        <v>1403</v>
      </c>
      <c r="G61" s="454" t="s">
        <v>1457</v>
      </c>
      <c r="H61" s="448" t="s">
        <v>1458</v>
      </c>
      <c r="I61" s="448" t="s">
        <v>493</v>
      </c>
    </row>
    <row r="62" spans="1:10" ht="18">
      <c r="A62" s="448" t="str">
        <f t="shared" si="1"/>
        <v>U88 Fayetteville State University</v>
      </c>
      <c r="B62" s="449" t="s">
        <v>1459</v>
      </c>
      <c r="C62" s="449" t="str">
        <f t="shared" si="4"/>
        <v>U88</v>
      </c>
      <c r="D62" s="448" t="s">
        <v>1460</v>
      </c>
      <c r="E62" s="448" t="s">
        <v>1335</v>
      </c>
      <c r="F62" s="448" t="s">
        <v>1403</v>
      </c>
      <c r="G62" s="454" t="s">
        <v>1461</v>
      </c>
      <c r="H62" s="448" t="s">
        <v>1462</v>
      </c>
      <c r="I62" s="448" t="s">
        <v>493</v>
      </c>
    </row>
    <row r="63" spans="1:10" ht="18">
      <c r="A63" s="448" t="str">
        <f t="shared" si="1"/>
        <v>U90 North Carolina Central University</v>
      </c>
      <c r="B63" s="449" t="s">
        <v>1463</v>
      </c>
      <c r="C63" s="449" t="str">
        <f t="shared" si="4"/>
        <v>U90</v>
      </c>
      <c r="D63" s="448" t="s">
        <v>1464</v>
      </c>
      <c r="E63" s="448" t="s">
        <v>1335</v>
      </c>
      <c r="F63" s="448" t="s">
        <v>1403</v>
      </c>
      <c r="G63" s="454" t="s">
        <v>1465</v>
      </c>
      <c r="H63" s="448" t="s">
        <v>1466</v>
      </c>
      <c r="I63" s="448" t="s">
        <v>493</v>
      </c>
    </row>
    <row r="64" spans="1:10" ht="18">
      <c r="A64" s="448" t="str">
        <f t="shared" si="1"/>
        <v>U92 UNC School of the Arts</v>
      </c>
      <c r="B64" s="449" t="s">
        <v>1467</v>
      </c>
      <c r="C64" s="449" t="str">
        <f t="shared" si="4"/>
        <v>U92</v>
      </c>
      <c r="D64" s="448" t="s">
        <v>1468</v>
      </c>
      <c r="E64" s="448" t="s">
        <v>1335</v>
      </c>
      <c r="F64" s="448" t="s">
        <v>1403</v>
      </c>
      <c r="G64" s="454" t="s">
        <v>1469</v>
      </c>
      <c r="H64" s="448" t="s">
        <v>1470</v>
      </c>
      <c r="I64" s="448" t="s">
        <v>493</v>
      </c>
    </row>
    <row r="65" spans="1:10">
      <c r="A65" s="448" t="str">
        <f>C65&amp;" "&amp;D65</f>
        <v>0A North Carolina Housing Finance Ag.</v>
      </c>
      <c r="B65" s="449" t="s">
        <v>1471</v>
      </c>
      <c r="C65" s="449" t="str">
        <f>TEXT(B65,"00")</f>
        <v>0A</v>
      </c>
      <c r="D65" s="448" t="s">
        <v>1472</v>
      </c>
      <c r="E65" s="448" t="s">
        <v>1473</v>
      </c>
      <c r="F65" s="448" t="s">
        <v>1336</v>
      </c>
      <c r="G65" s="454" t="s">
        <v>1474</v>
      </c>
      <c r="H65" s="448" t="s">
        <v>1475</v>
      </c>
      <c r="I65" s="811">
        <v>2611</v>
      </c>
      <c r="J65" s="459" t="s">
        <v>1476</v>
      </c>
    </row>
    <row r="66" spans="1:10">
      <c r="A66" s="448" t="str">
        <f>C66&amp;" "&amp;D66</f>
        <v>Z2 NC Biotechnology Center</v>
      </c>
      <c r="B66" s="449" t="s">
        <v>1477</v>
      </c>
      <c r="C66" s="449" t="str">
        <f>B66</f>
        <v>Z2</v>
      </c>
      <c r="D66" s="448" t="s">
        <v>1478</v>
      </c>
      <c r="E66" s="448" t="s">
        <v>1473</v>
      </c>
      <c r="F66" s="448" t="s">
        <v>1336</v>
      </c>
      <c r="G66" s="454" t="s">
        <v>1479</v>
      </c>
      <c r="H66" s="448" t="s">
        <v>1480</v>
      </c>
      <c r="I66" s="811">
        <v>2618</v>
      </c>
    </row>
    <row r="67" spans="1:10">
      <c r="A67" s="448" t="str">
        <f t="shared" ref="A67:A130" si="5">C67&amp;" "&amp;D67</f>
        <v>Z3 NC Global TransPark Authority</v>
      </c>
      <c r="B67" s="449" t="s">
        <v>1481</v>
      </c>
      <c r="C67" s="449" t="str">
        <f t="shared" si="4"/>
        <v>Z3</v>
      </c>
      <c r="D67" s="448" t="s">
        <v>1482</v>
      </c>
      <c r="E67" s="448" t="s">
        <v>1473</v>
      </c>
      <c r="F67" s="448" t="s">
        <v>1483</v>
      </c>
      <c r="G67" s="454" t="s">
        <v>1484</v>
      </c>
      <c r="H67" s="448" t="s">
        <v>1485</v>
      </c>
      <c r="I67" s="811">
        <v>2615</v>
      </c>
      <c r="J67" s="456"/>
    </row>
    <row r="68" spans="1:10">
      <c r="A68" s="448" t="str">
        <f>C68&amp;" "&amp;D68</f>
        <v>Z3F NC Global TransPark Authority Foundation</v>
      </c>
      <c r="B68" s="449" t="s">
        <v>1486</v>
      </c>
      <c r="C68" s="449" t="str">
        <f>B68</f>
        <v>Z3F</v>
      </c>
      <c r="D68" s="448" t="s">
        <v>1487</v>
      </c>
      <c r="E68" s="448" t="s">
        <v>1473</v>
      </c>
      <c r="F68" s="448" t="s">
        <v>1336</v>
      </c>
      <c r="G68" s="454" t="s">
        <v>1488</v>
      </c>
      <c r="H68" s="448" t="s">
        <v>1489</v>
      </c>
      <c r="I68" s="811">
        <v>2615</v>
      </c>
      <c r="J68" s="456" t="s">
        <v>1490</v>
      </c>
    </row>
    <row r="69" spans="1:10">
      <c r="A69" s="448" t="str">
        <f t="shared" si="5"/>
        <v>Z7 NC Partnership for Children</v>
      </c>
      <c r="B69" s="449" t="s">
        <v>1491</v>
      </c>
      <c r="C69" s="449" t="str">
        <f t="shared" si="4"/>
        <v>Z7</v>
      </c>
      <c r="D69" s="448" t="s">
        <v>1492</v>
      </c>
      <c r="E69" s="448" t="s">
        <v>1473</v>
      </c>
      <c r="F69" s="448" t="s">
        <v>1336</v>
      </c>
      <c r="G69" s="454" t="s">
        <v>1493</v>
      </c>
      <c r="H69" s="448" t="s">
        <v>1494</v>
      </c>
      <c r="I69" s="811">
        <v>2621</v>
      </c>
    </row>
    <row r="70" spans="1:10">
      <c r="A70" s="448" t="str">
        <f t="shared" si="5"/>
        <v>ZA NC State Ports Authority</v>
      </c>
      <c r="B70" s="449" t="s">
        <v>1495</v>
      </c>
      <c r="C70" s="449" t="str">
        <f t="shared" si="4"/>
        <v>ZA</v>
      </c>
      <c r="D70" s="448" t="s">
        <v>1496</v>
      </c>
      <c r="E70" s="448" t="s">
        <v>1473</v>
      </c>
      <c r="F70" s="448" t="s">
        <v>1483</v>
      </c>
      <c r="G70" s="454" t="s">
        <v>1497</v>
      </c>
      <c r="H70" s="448" t="s">
        <v>1498</v>
      </c>
      <c r="I70" s="811">
        <v>2612</v>
      </c>
    </row>
    <row r="71" spans="1:10">
      <c r="A71" s="448" t="str">
        <f t="shared" si="5"/>
        <v>ZB State Education Assistance Authority</v>
      </c>
      <c r="B71" s="449" t="s">
        <v>1499</v>
      </c>
      <c r="C71" s="449" t="str">
        <f t="shared" si="4"/>
        <v>ZB</v>
      </c>
      <c r="D71" s="448" t="s">
        <v>1500</v>
      </c>
      <c r="E71" s="448" t="s">
        <v>1473</v>
      </c>
      <c r="F71" s="448" t="s">
        <v>1336</v>
      </c>
      <c r="G71" s="454" t="s">
        <v>1501</v>
      </c>
      <c r="H71" s="448" t="s">
        <v>1502</v>
      </c>
      <c r="I71" s="811">
        <v>2620</v>
      </c>
      <c r="J71" s="456" t="s">
        <v>1503</v>
      </c>
    </row>
    <row r="72" spans="1:10">
      <c r="A72" s="448" t="str">
        <f>C72&amp;" "&amp;D72</f>
        <v>ZG Centennial Authority</v>
      </c>
      <c r="B72" s="449" t="s">
        <v>1504</v>
      </c>
      <c r="C72" s="449" t="str">
        <f>B72</f>
        <v>ZG</v>
      </c>
      <c r="D72" s="448" t="s">
        <v>1505</v>
      </c>
      <c r="E72" s="448" t="s">
        <v>1473</v>
      </c>
      <c r="F72" s="448" t="s">
        <v>1336</v>
      </c>
      <c r="G72" s="454" t="s">
        <v>1506</v>
      </c>
      <c r="H72" s="448" t="s">
        <v>1507</v>
      </c>
      <c r="I72" s="811">
        <v>2626</v>
      </c>
      <c r="J72" s="456" t="s">
        <v>1508</v>
      </c>
    </row>
    <row r="73" spans="1:10">
      <c r="A73" s="448" t="str">
        <f t="shared" si="5"/>
        <v>ZH NC Railroad Company</v>
      </c>
      <c r="B73" s="449" t="s">
        <v>1509</v>
      </c>
      <c r="C73" s="449" t="str">
        <f t="shared" si="4"/>
        <v>ZH</v>
      </c>
      <c r="D73" s="448" t="s">
        <v>1510</v>
      </c>
      <c r="E73" s="448" t="s">
        <v>1473</v>
      </c>
      <c r="F73" s="448" t="s">
        <v>1336</v>
      </c>
      <c r="G73" s="454" t="s">
        <v>1511</v>
      </c>
      <c r="H73" s="448" t="s">
        <v>1512</v>
      </c>
      <c r="I73" s="811">
        <v>2627</v>
      </c>
    </row>
    <row r="74" spans="1:10">
      <c r="A74" s="448" t="str">
        <f t="shared" si="5"/>
        <v>ZI The Golden LEAF, Inc.</v>
      </c>
      <c r="B74" s="449" t="s">
        <v>1513</v>
      </c>
      <c r="C74" s="449" t="str">
        <f t="shared" si="4"/>
        <v>ZI</v>
      </c>
      <c r="D74" s="448" t="s">
        <v>1514</v>
      </c>
      <c r="E74" s="448" t="s">
        <v>1473</v>
      </c>
      <c r="F74" s="448" t="s">
        <v>1336</v>
      </c>
      <c r="G74" s="454" t="s">
        <v>1515</v>
      </c>
      <c r="H74" s="448" t="s">
        <v>1516</v>
      </c>
      <c r="I74" s="811">
        <v>2640</v>
      </c>
      <c r="J74" s="456" t="s">
        <v>1503</v>
      </c>
    </row>
    <row r="75" spans="1:10">
      <c r="A75" s="448" t="str">
        <f>C75&amp;" "&amp;D75</f>
        <v>ZL Gateway University Research Park, Inc.</v>
      </c>
      <c r="B75" s="449" t="s">
        <v>1517</v>
      </c>
      <c r="C75" s="449" t="str">
        <f>B75</f>
        <v>ZL</v>
      </c>
      <c r="D75" s="448" t="s">
        <v>1518</v>
      </c>
      <c r="E75" s="448" t="s">
        <v>1335</v>
      </c>
      <c r="F75" s="448" t="s">
        <v>1336</v>
      </c>
      <c r="G75" s="454" t="s">
        <v>1519</v>
      </c>
      <c r="H75" s="448" t="s">
        <v>1520</v>
      </c>
      <c r="I75" s="454" t="s">
        <v>493</v>
      </c>
      <c r="J75" s="456" t="s">
        <v>1521</v>
      </c>
    </row>
    <row r="76" spans="1:10">
      <c r="A76" s="448" t="str">
        <f t="shared" si="5"/>
        <v>ZM Economic Development Partnership of NC</v>
      </c>
      <c r="B76" s="449" t="s">
        <v>1522</v>
      </c>
      <c r="C76" s="449" t="str">
        <f>B76</f>
        <v>ZM</v>
      </c>
      <c r="D76" s="448" t="s">
        <v>1523</v>
      </c>
      <c r="E76" s="448" t="s">
        <v>1473</v>
      </c>
      <c r="F76" s="448" t="s">
        <v>1336</v>
      </c>
      <c r="G76" s="454" t="s">
        <v>1524</v>
      </c>
      <c r="H76" s="448" t="s">
        <v>1525</v>
      </c>
      <c r="I76" s="811">
        <v>2644</v>
      </c>
      <c r="J76" s="456" t="s">
        <v>1526</v>
      </c>
    </row>
    <row r="77" spans="1:10">
      <c r="A77" s="448" t="str">
        <f t="shared" si="5"/>
        <v>C0 Alamance Community College</v>
      </c>
      <c r="B77" s="449" t="s">
        <v>1070</v>
      </c>
      <c r="C77" s="449" t="s">
        <v>1070</v>
      </c>
      <c r="D77" s="448" t="s">
        <v>5</v>
      </c>
      <c r="E77" s="448" t="s">
        <v>1527</v>
      </c>
      <c r="F77" s="448" t="s">
        <v>1336</v>
      </c>
      <c r="G77" s="454" t="s">
        <v>1528</v>
      </c>
      <c r="H77" s="448" t="s">
        <v>1529</v>
      </c>
      <c r="I77" s="448" t="s">
        <v>493</v>
      </c>
    </row>
    <row r="78" spans="1:10">
      <c r="A78" s="448" t="str">
        <f t="shared" si="5"/>
        <v>C2 Asheville-Buncombe Technical Community College</v>
      </c>
      <c r="B78" s="449" t="s">
        <v>1072</v>
      </c>
      <c r="C78" s="449" t="s">
        <v>1072</v>
      </c>
      <c r="D78" s="448" t="s">
        <v>1073</v>
      </c>
      <c r="E78" s="448" t="s">
        <v>1527</v>
      </c>
      <c r="F78" s="448" t="s">
        <v>1336</v>
      </c>
      <c r="G78" s="454" t="s">
        <v>1530</v>
      </c>
      <c r="H78" s="448" t="s">
        <v>1531</v>
      </c>
      <c r="I78" s="448" t="s">
        <v>493</v>
      </c>
    </row>
    <row r="79" spans="1:10">
      <c r="A79" s="448" t="str">
        <f t="shared" si="5"/>
        <v>C3 Beaufort County Community College</v>
      </c>
      <c r="B79" s="449" t="s">
        <v>1075</v>
      </c>
      <c r="C79" s="449" t="s">
        <v>1075</v>
      </c>
      <c r="D79" s="448" t="s">
        <v>1076</v>
      </c>
      <c r="E79" s="448" t="s">
        <v>1527</v>
      </c>
      <c r="F79" s="448" t="s">
        <v>1336</v>
      </c>
      <c r="G79" s="454" t="s">
        <v>1532</v>
      </c>
      <c r="H79" s="448" t="s">
        <v>1533</v>
      </c>
      <c r="I79" s="448" t="s">
        <v>493</v>
      </c>
    </row>
    <row r="80" spans="1:10">
      <c r="A80" s="448" t="str">
        <f t="shared" si="5"/>
        <v>C4 Bladen Community College</v>
      </c>
      <c r="B80" s="449" t="s">
        <v>1078</v>
      </c>
      <c r="C80" s="449" t="s">
        <v>1078</v>
      </c>
      <c r="D80" s="448" t="s">
        <v>1079</v>
      </c>
      <c r="E80" s="448" t="s">
        <v>1527</v>
      </c>
      <c r="F80" s="448" t="s">
        <v>1336</v>
      </c>
      <c r="G80" s="454" t="s">
        <v>1534</v>
      </c>
      <c r="H80" s="448" t="s">
        <v>1535</v>
      </c>
      <c r="I80" s="448" t="s">
        <v>493</v>
      </c>
    </row>
    <row r="81" spans="1:9">
      <c r="A81" s="448" t="str">
        <f t="shared" si="5"/>
        <v>C5 Blue Ridge Community College</v>
      </c>
      <c r="B81" s="449" t="s">
        <v>1081</v>
      </c>
      <c r="C81" s="449" t="s">
        <v>1081</v>
      </c>
      <c r="D81" s="448" t="s">
        <v>1082</v>
      </c>
      <c r="E81" s="448" t="s">
        <v>1527</v>
      </c>
      <c r="F81" s="448" t="s">
        <v>1336</v>
      </c>
      <c r="G81" s="454" t="s">
        <v>1536</v>
      </c>
      <c r="H81" s="448" t="s">
        <v>1537</v>
      </c>
      <c r="I81" s="448" t="s">
        <v>493</v>
      </c>
    </row>
    <row r="82" spans="1:9">
      <c r="A82" s="448" t="str">
        <f t="shared" si="5"/>
        <v>C6 Brunswick Community College</v>
      </c>
      <c r="B82" s="449" t="s">
        <v>1084</v>
      </c>
      <c r="C82" s="449" t="s">
        <v>1084</v>
      </c>
      <c r="D82" s="448" t="s">
        <v>1085</v>
      </c>
      <c r="E82" s="448" t="s">
        <v>1527</v>
      </c>
      <c r="F82" s="448" t="s">
        <v>1336</v>
      </c>
      <c r="G82" s="454" t="s">
        <v>1538</v>
      </c>
      <c r="H82" s="448" t="s">
        <v>1539</v>
      </c>
      <c r="I82" s="448" t="s">
        <v>493</v>
      </c>
    </row>
    <row r="83" spans="1:9">
      <c r="A83" s="448" t="str">
        <f t="shared" si="5"/>
        <v>C7 Caldwell Community College and Technical Institute</v>
      </c>
      <c r="B83" s="449" t="s">
        <v>1087</v>
      </c>
      <c r="C83" s="449" t="s">
        <v>1087</v>
      </c>
      <c r="D83" s="448" t="s">
        <v>1088</v>
      </c>
      <c r="E83" s="448" t="s">
        <v>1527</v>
      </c>
      <c r="F83" s="448" t="s">
        <v>1336</v>
      </c>
      <c r="G83" s="454" t="s">
        <v>1540</v>
      </c>
      <c r="H83" s="448" t="s">
        <v>1541</v>
      </c>
      <c r="I83" s="448" t="s">
        <v>493</v>
      </c>
    </row>
    <row r="84" spans="1:9">
      <c r="A84" s="448" t="str">
        <f t="shared" si="5"/>
        <v>C8 Cape Fear Community College</v>
      </c>
      <c r="B84" s="449" t="s">
        <v>1090</v>
      </c>
      <c r="C84" s="449" t="s">
        <v>1090</v>
      </c>
      <c r="D84" s="448" t="s">
        <v>1091</v>
      </c>
      <c r="E84" s="448" t="s">
        <v>1527</v>
      </c>
      <c r="F84" s="448" t="s">
        <v>1336</v>
      </c>
      <c r="G84" s="454" t="s">
        <v>1542</v>
      </c>
      <c r="H84" s="448" t="s">
        <v>1543</v>
      </c>
      <c r="I84" s="448" t="s">
        <v>493</v>
      </c>
    </row>
    <row r="85" spans="1:9">
      <c r="A85" s="448" t="str">
        <f t="shared" si="5"/>
        <v>C9 Carteret Community College</v>
      </c>
      <c r="B85" s="449" t="s">
        <v>1093</v>
      </c>
      <c r="C85" s="449" t="s">
        <v>1093</v>
      </c>
      <c r="D85" s="448" t="s">
        <v>1094</v>
      </c>
      <c r="E85" s="448" t="s">
        <v>1527</v>
      </c>
      <c r="F85" s="448" t="s">
        <v>1336</v>
      </c>
      <c r="G85" s="454" t="s">
        <v>1544</v>
      </c>
      <c r="H85" s="448" t="s">
        <v>1545</v>
      </c>
      <c r="I85" s="448" t="s">
        <v>493</v>
      </c>
    </row>
    <row r="86" spans="1:9">
      <c r="A86" s="448" t="str">
        <f t="shared" si="5"/>
        <v>CA Catawba Valley Community College</v>
      </c>
      <c r="B86" s="449" t="s">
        <v>1096</v>
      </c>
      <c r="C86" s="449" t="s">
        <v>1096</v>
      </c>
      <c r="D86" s="448" t="s">
        <v>1097</v>
      </c>
      <c r="E86" s="448" t="s">
        <v>1527</v>
      </c>
      <c r="F86" s="448" t="s">
        <v>1336</v>
      </c>
      <c r="G86" s="454" t="s">
        <v>1546</v>
      </c>
      <c r="H86" s="448" t="s">
        <v>1547</v>
      </c>
      <c r="I86" s="448" t="s">
        <v>493</v>
      </c>
    </row>
    <row r="87" spans="1:9">
      <c r="A87" s="448" t="str">
        <f t="shared" si="5"/>
        <v>CB Central Carolina Community College</v>
      </c>
      <c r="B87" s="449" t="s">
        <v>1099</v>
      </c>
      <c r="C87" s="449" t="s">
        <v>1099</v>
      </c>
      <c r="D87" s="448" t="s">
        <v>1100</v>
      </c>
      <c r="E87" s="448" t="s">
        <v>1527</v>
      </c>
      <c r="F87" s="448" t="s">
        <v>1336</v>
      </c>
      <c r="G87" s="454" t="s">
        <v>1548</v>
      </c>
      <c r="H87" s="448" t="s">
        <v>1549</v>
      </c>
      <c r="I87" s="448" t="s">
        <v>493</v>
      </c>
    </row>
    <row r="88" spans="1:9">
      <c r="A88" s="448" t="str">
        <f t="shared" si="5"/>
        <v>CC Central Piedmont Community College</v>
      </c>
      <c r="B88" s="449" t="s">
        <v>1102</v>
      </c>
      <c r="C88" s="449" t="s">
        <v>1102</v>
      </c>
      <c r="D88" s="448" t="s">
        <v>1103</v>
      </c>
      <c r="E88" s="448" t="s">
        <v>1527</v>
      </c>
      <c r="F88" s="448" t="s">
        <v>1336</v>
      </c>
      <c r="G88" s="454" t="s">
        <v>1550</v>
      </c>
      <c r="H88" s="448" t="s">
        <v>1551</v>
      </c>
      <c r="I88" s="448" t="s">
        <v>493</v>
      </c>
    </row>
    <row r="89" spans="1:9">
      <c r="A89" s="448" t="str">
        <f t="shared" si="5"/>
        <v>CD Cleveland Community College</v>
      </c>
      <c r="B89" s="449" t="s">
        <v>1105</v>
      </c>
      <c r="C89" s="449" t="s">
        <v>1105</v>
      </c>
      <c r="D89" s="448" t="s">
        <v>1106</v>
      </c>
      <c r="E89" s="448" t="s">
        <v>1527</v>
      </c>
      <c r="F89" s="448" t="s">
        <v>1336</v>
      </c>
      <c r="G89" s="454" t="s">
        <v>1552</v>
      </c>
      <c r="H89" s="448" t="s">
        <v>1553</v>
      </c>
      <c r="I89" s="448" t="s">
        <v>493</v>
      </c>
    </row>
    <row r="90" spans="1:9">
      <c r="A90" s="448" t="str">
        <f t="shared" si="5"/>
        <v>CE Coastal Carolina Community College</v>
      </c>
      <c r="B90" s="449" t="s">
        <v>1108</v>
      </c>
      <c r="C90" s="449" t="s">
        <v>1108</v>
      </c>
      <c r="D90" s="448" t="s">
        <v>1109</v>
      </c>
      <c r="E90" s="448" t="s">
        <v>1527</v>
      </c>
      <c r="F90" s="448" t="s">
        <v>1336</v>
      </c>
      <c r="G90" s="454" t="s">
        <v>1554</v>
      </c>
      <c r="H90" s="448" t="s">
        <v>1555</v>
      </c>
      <c r="I90" s="448" t="s">
        <v>493</v>
      </c>
    </row>
    <row r="91" spans="1:9">
      <c r="A91" s="448" t="str">
        <f t="shared" si="5"/>
        <v>CF College of the Albemarle</v>
      </c>
      <c r="B91" s="449" t="s">
        <v>1111</v>
      </c>
      <c r="C91" s="449" t="s">
        <v>1111</v>
      </c>
      <c r="D91" s="448" t="s">
        <v>1112</v>
      </c>
      <c r="E91" s="448" t="s">
        <v>1527</v>
      </c>
      <c r="F91" s="448" t="s">
        <v>1336</v>
      </c>
      <c r="G91" s="454" t="s">
        <v>1556</v>
      </c>
      <c r="H91" s="448" t="s">
        <v>1557</v>
      </c>
      <c r="I91" s="448" t="s">
        <v>493</v>
      </c>
    </row>
    <row r="92" spans="1:9">
      <c r="A92" s="448" t="str">
        <f t="shared" si="5"/>
        <v>CG Craven Community College</v>
      </c>
      <c r="B92" s="449" t="s">
        <v>1114</v>
      </c>
      <c r="C92" s="449" t="s">
        <v>1114</v>
      </c>
      <c r="D92" s="448" t="s">
        <v>1115</v>
      </c>
      <c r="E92" s="448" t="s">
        <v>1527</v>
      </c>
      <c r="F92" s="448" t="s">
        <v>1336</v>
      </c>
      <c r="G92" s="454" t="s">
        <v>1558</v>
      </c>
      <c r="H92" s="448" t="s">
        <v>1559</v>
      </c>
      <c r="I92" s="448" t="s">
        <v>493</v>
      </c>
    </row>
    <row r="93" spans="1:9">
      <c r="A93" s="448" t="str">
        <f t="shared" si="5"/>
        <v>CH Davidson-Davie Community College</v>
      </c>
      <c r="B93" s="449" t="s">
        <v>1117</v>
      </c>
      <c r="C93" s="449" t="s">
        <v>1117</v>
      </c>
      <c r="D93" s="448" t="s">
        <v>1118</v>
      </c>
      <c r="E93" s="448" t="s">
        <v>1527</v>
      </c>
      <c r="F93" s="448" t="s">
        <v>1336</v>
      </c>
      <c r="G93" s="454" t="s">
        <v>1560</v>
      </c>
      <c r="H93" s="448" t="s">
        <v>1561</v>
      </c>
      <c r="I93" s="448" t="s">
        <v>493</v>
      </c>
    </row>
    <row r="94" spans="1:9">
      <c r="A94" s="448" t="str">
        <f t="shared" si="5"/>
        <v>CJ Durham Technical Community College</v>
      </c>
      <c r="B94" s="449" t="s">
        <v>1120</v>
      </c>
      <c r="C94" s="449" t="s">
        <v>1120</v>
      </c>
      <c r="D94" s="448" t="s">
        <v>1121</v>
      </c>
      <c r="E94" s="448" t="s">
        <v>1527</v>
      </c>
      <c r="F94" s="448" t="s">
        <v>1336</v>
      </c>
      <c r="G94" s="454" t="s">
        <v>1562</v>
      </c>
      <c r="H94" s="448" t="s">
        <v>1563</v>
      </c>
      <c r="I94" s="448" t="s">
        <v>493</v>
      </c>
    </row>
    <row r="95" spans="1:9">
      <c r="A95" s="448" t="str">
        <f t="shared" si="5"/>
        <v>CK Edgecombe Community College</v>
      </c>
      <c r="B95" s="449" t="s">
        <v>1123</v>
      </c>
      <c r="C95" s="449" t="s">
        <v>1123</v>
      </c>
      <c r="D95" s="448" t="s">
        <v>1124</v>
      </c>
      <c r="E95" s="448" t="s">
        <v>1527</v>
      </c>
      <c r="F95" s="448" t="s">
        <v>1336</v>
      </c>
      <c r="G95" s="454" t="s">
        <v>1564</v>
      </c>
      <c r="H95" s="448" t="s">
        <v>1565</v>
      </c>
      <c r="I95" s="448" t="s">
        <v>493</v>
      </c>
    </row>
    <row r="96" spans="1:9">
      <c r="A96" s="448" t="str">
        <f t="shared" si="5"/>
        <v>CL Fayetteville Technical Community College</v>
      </c>
      <c r="B96" s="449" t="s">
        <v>1126</v>
      </c>
      <c r="C96" s="449" t="s">
        <v>1126</v>
      </c>
      <c r="D96" s="448" t="s">
        <v>1127</v>
      </c>
      <c r="E96" s="448" t="s">
        <v>1527</v>
      </c>
      <c r="F96" s="448" t="s">
        <v>1336</v>
      </c>
      <c r="G96" s="454" t="s">
        <v>1566</v>
      </c>
      <c r="H96" s="448" t="s">
        <v>1567</v>
      </c>
      <c r="I96" s="448" t="s">
        <v>493</v>
      </c>
    </row>
    <row r="97" spans="1:9">
      <c r="A97" s="448" t="str">
        <f t="shared" si="5"/>
        <v>CM Forsyth Technical Community College</v>
      </c>
      <c r="B97" s="449" t="s">
        <v>1129</v>
      </c>
      <c r="C97" s="449" t="s">
        <v>1129</v>
      </c>
      <c r="D97" s="448" t="s">
        <v>1130</v>
      </c>
      <c r="E97" s="448" t="s">
        <v>1527</v>
      </c>
      <c r="F97" s="448" t="s">
        <v>1336</v>
      </c>
      <c r="G97" s="454" t="s">
        <v>1568</v>
      </c>
      <c r="H97" s="448" t="s">
        <v>1569</v>
      </c>
      <c r="I97" s="448" t="s">
        <v>493</v>
      </c>
    </row>
    <row r="98" spans="1:9">
      <c r="A98" s="448" t="str">
        <f t="shared" si="5"/>
        <v>CN Gaston College</v>
      </c>
      <c r="B98" s="449" t="s">
        <v>1132</v>
      </c>
      <c r="C98" s="449" t="s">
        <v>1132</v>
      </c>
      <c r="D98" s="448" t="s">
        <v>1133</v>
      </c>
      <c r="E98" s="448" t="s">
        <v>1527</v>
      </c>
      <c r="F98" s="448" t="s">
        <v>1336</v>
      </c>
      <c r="G98" s="454" t="s">
        <v>1570</v>
      </c>
      <c r="H98" s="448" t="s">
        <v>1571</v>
      </c>
      <c r="I98" s="448" t="s">
        <v>493</v>
      </c>
    </row>
    <row r="99" spans="1:9">
      <c r="A99" s="448" t="str">
        <f t="shared" si="5"/>
        <v>CP Guilford Technical Community College</v>
      </c>
      <c r="B99" s="449" t="s">
        <v>1135</v>
      </c>
      <c r="C99" s="449" t="s">
        <v>1135</v>
      </c>
      <c r="D99" s="448" t="s">
        <v>1136</v>
      </c>
      <c r="E99" s="448" t="s">
        <v>1527</v>
      </c>
      <c r="F99" s="448" t="s">
        <v>1336</v>
      </c>
      <c r="G99" s="454" t="s">
        <v>1572</v>
      </c>
      <c r="H99" s="448" t="s">
        <v>1573</v>
      </c>
      <c r="I99" s="448" t="s">
        <v>493</v>
      </c>
    </row>
    <row r="100" spans="1:9">
      <c r="A100" s="448" t="str">
        <f t="shared" si="5"/>
        <v>CQ Halifax Community College</v>
      </c>
      <c r="B100" s="449" t="s">
        <v>1138</v>
      </c>
      <c r="C100" s="449" t="s">
        <v>1138</v>
      </c>
      <c r="D100" s="448" t="s">
        <v>1139</v>
      </c>
      <c r="E100" s="448" t="s">
        <v>1527</v>
      </c>
      <c r="F100" s="448" t="s">
        <v>1336</v>
      </c>
      <c r="G100" s="454" t="s">
        <v>1574</v>
      </c>
      <c r="H100" s="448" t="s">
        <v>1575</v>
      </c>
      <c r="I100" s="448" t="s">
        <v>493</v>
      </c>
    </row>
    <row r="101" spans="1:9">
      <c r="A101" s="448" t="str">
        <f t="shared" si="5"/>
        <v>CR Haywood Community College</v>
      </c>
      <c r="B101" s="449" t="s">
        <v>1141</v>
      </c>
      <c r="C101" s="449" t="s">
        <v>1141</v>
      </c>
      <c r="D101" s="448" t="s">
        <v>1142</v>
      </c>
      <c r="E101" s="448" t="s">
        <v>1527</v>
      </c>
      <c r="F101" s="448" t="s">
        <v>1336</v>
      </c>
      <c r="G101" s="454" t="s">
        <v>1576</v>
      </c>
      <c r="H101" s="448" t="s">
        <v>1577</v>
      </c>
      <c r="I101" s="448" t="s">
        <v>493</v>
      </c>
    </row>
    <row r="102" spans="1:9">
      <c r="A102" s="448" t="str">
        <f t="shared" si="5"/>
        <v>CS Isothermal Community College</v>
      </c>
      <c r="B102" s="449" t="s">
        <v>1144</v>
      </c>
      <c r="C102" s="449" t="s">
        <v>1144</v>
      </c>
      <c r="D102" s="448" t="s">
        <v>1145</v>
      </c>
      <c r="E102" s="448" t="s">
        <v>1527</v>
      </c>
      <c r="F102" s="448" t="s">
        <v>1336</v>
      </c>
      <c r="G102" s="454" t="s">
        <v>1578</v>
      </c>
      <c r="H102" s="448" t="s">
        <v>1579</v>
      </c>
      <c r="I102" s="448" t="s">
        <v>493</v>
      </c>
    </row>
    <row r="103" spans="1:9">
      <c r="A103" s="448" t="str">
        <f t="shared" si="5"/>
        <v>CT James Sprunt Community College</v>
      </c>
      <c r="B103" s="449" t="s">
        <v>1147</v>
      </c>
      <c r="C103" s="449" t="s">
        <v>1147</v>
      </c>
      <c r="D103" s="448" t="s">
        <v>1148</v>
      </c>
      <c r="E103" s="448" t="s">
        <v>1527</v>
      </c>
      <c r="F103" s="448" t="s">
        <v>1336</v>
      </c>
      <c r="G103" s="454" t="s">
        <v>1580</v>
      </c>
      <c r="H103" s="448" t="s">
        <v>1581</v>
      </c>
      <c r="I103" s="448" t="s">
        <v>493</v>
      </c>
    </row>
    <row r="104" spans="1:9">
      <c r="A104" s="448" t="str">
        <f t="shared" si="5"/>
        <v>CU Johnston Community College</v>
      </c>
      <c r="B104" s="449" t="s">
        <v>1150</v>
      </c>
      <c r="C104" s="449" t="s">
        <v>1150</v>
      </c>
      <c r="D104" s="448" t="s">
        <v>1151</v>
      </c>
      <c r="E104" s="448" t="s">
        <v>1527</v>
      </c>
      <c r="F104" s="448" t="s">
        <v>1336</v>
      </c>
      <c r="G104" s="454" t="s">
        <v>1582</v>
      </c>
      <c r="H104" s="448" t="s">
        <v>1583</v>
      </c>
      <c r="I104" s="448" t="s">
        <v>493</v>
      </c>
    </row>
    <row r="105" spans="1:9">
      <c r="A105" s="448" t="str">
        <f t="shared" si="5"/>
        <v>CV Lenoir Community College</v>
      </c>
      <c r="B105" s="449" t="s">
        <v>1153</v>
      </c>
      <c r="C105" s="449" t="s">
        <v>1153</v>
      </c>
      <c r="D105" s="448" t="s">
        <v>1154</v>
      </c>
      <c r="E105" s="448" t="s">
        <v>1527</v>
      </c>
      <c r="F105" s="448" t="s">
        <v>1336</v>
      </c>
      <c r="G105" s="454" t="s">
        <v>1584</v>
      </c>
      <c r="H105" s="448" t="s">
        <v>1585</v>
      </c>
      <c r="I105" s="448" t="s">
        <v>493</v>
      </c>
    </row>
    <row r="106" spans="1:9">
      <c r="A106" s="448" t="str">
        <f t="shared" si="5"/>
        <v>CW Martin Community College</v>
      </c>
      <c r="B106" s="449" t="s">
        <v>1156</v>
      </c>
      <c r="C106" s="449" t="s">
        <v>1156</v>
      </c>
      <c r="D106" s="448" t="s">
        <v>1157</v>
      </c>
      <c r="E106" s="448" t="s">
        <v>1527</v>
      </c>
      <c r="F106" s="448" t="s">
        <v>1336</v>
      </c>
      <c r="G106" s="454" t="s">
        <v>1586</v>
      </c>
      <c r="H106" s="448" t="s">
        <v>1587</v>
      </c>
      <c r="I106" s="448" t="s">
        <v>493</v>
      </c>
    </row>
    <row r="107" spans="1:9">
      <c r="A107" s="448" t="str">
        <f t="shared" si="5"/>
        <v>CX Mayland Community College</v>
      </c>
      <c r="B107" s="449" t="s">
        <v>1159</v>
      </c>
      <c r="C107" s="449" t="s">
        <v>1159</v>
      </c>
      <c r="D107" s="448" t="s">
        <v>1160</v>
      </c>
      <c r="E107" s="448" t="s">
        <v>1527</v>
      </c>
      <c r="F107" s="448" t="s">
        <v>1336</v>
      </c>
      <c r="G107" s="454" t="s">
        <v>1588</v>
      </c>
      <c r="H107" s="448" t="s">
        <v>1589</v>
      </c>
      <c r="I107" s="448" t="s">
        <v>493</v>
      </c>
    </row>
    <row r="108" spans="1:9">
      <c r="A108" s="448" t="str">
        <f t="shared" si="5"/>
        <v>CY McDowell Technical Community College</v>
      </c>
      <c r="B108" s="449" t="s">
        <v>1162</v>
      </c>
      <c r="C108" s="449" t="s">
        <v>1162</v>
      </c>
      <c r="D108" s="448" t="s">
        <v>1163</v>
      </c>
      <c r="E108" s="448" t="s">
        <v>1527</v>
      </c>
      <c r="F108" s="448" t="s">
        <v>1336</v>
      </c>
      <c r="G108" s="454" t="s">
        <v>1590</v>
      </c>
      <c r="H108" s="448" t="s">
        <v>1591</v>
      </c>
      <c r="I108" s="448" t="s">
        <v>493</v>
      </c>
    </row>
    <row r="109" spans="1:9">
      <c r="A109" s="448" t="str">
        <f t="shared" si="5"/>
        <v>CZ Mitchell Community College</v>
      </c>
      <c r="B109" s="449" t="s">
        <v>1165</v>
      </c>
      <c r="C109" s="449" t="s">
        <v>1165</v>
      </c>
      <c r="D109" s="448" t="s">
        <v>1166</v>
      </c>
      <c r="E109" s="448" t="s">
        <v>1527</v>
      </c>
      <c r="F109" s="448" t="s">
        <v>1336</v>
      </c>
      <c r="G109" s="454" t="s">
        <v>1592</v>
      </c>
      <c r="H109" s="448" t="s">
        <v>1593</v>
      </c>
      <c r="I109" s="448" t="s">
        <v>493</v>
      </c>
    </row>
    <row r="110" spans="1:9">
      <c r="A110" s="448" t="str">
        <f t="shared" si="5"/>
        <v>D0 Montgomery Community College</v>
      </c>
      <c r="B110" s="449" t="s">
        <v>1168</v>
      </c>
      <c r="C110" s="449" t="s">
        <v>1168</v>
      </c>
      <c r="D110" s="448" t="s">
        <v>1169</v>
      </c>
      <c r="E110" s="448" t="s">
        <v>1527</v>
      </c>
      <c r="F110" s="448" t="s">
        <v>1336</v>
      </c>
      <c r="G110" s="454" t="s">
        <v>1594</v>
      </c>
      <c r="H110" s="448" t="s">
        <v>1595</v>
      </c>
      <c r="I110" s="448" t="s">
        <v>493</v>
      </c>
    </row>
    <row r="111" spans="1:9">
      <c r="A111" s="448" t="str">
        <f t="shared" si="5"/>
        <v>D1 Nash Community College</v>
      </c>
      <c r="B111" s="449" t="s">
        <v>1171</v>
      </c>
      <c r="C111" s="449" t="s">
        <v>1171</v>
      </c>
      <c r="D111" s="448" t="s">
        <v>1172</v>
      </c>
      <c r="E111" s="448" t="s">
        <v>1527</v>
      </c>
      <c r="F111" s="448" t="s">
        <v>1336</v>
      </c>
      <c r="G111" s="454" t="s">
        <v>1596</v>
      </c>
      <c r="H111" s="448" t="s">
        <v>1597</v>
      </c>
      <c r="I111" s="448" t="s">
        <v>493</v>
      </c>
    </row>
    <row r="112" spans="1:9">
      <c r="A112" s="448" t="str">
        <f t="shared" si="5"/>
        <v>D2 Pamlico Community College</v>
      </c>
      <c r="B112" s="449" t="s">
        <v>1174</v>
      </c>
      <c r="C112" s="449" t="s">
        <v>1174</v>
      </c>
      <c r="D112" s="448" t="s">
        <v>1175</v>
      </c>
      <c r="E112" s="448" t="s">
        <v>1527</v>
      </c>
      <c r="F112" s="448" t="s">
        <v>1336</v>
      </c>
      <c r="G112" s="454" t="s">
        <v>1598</v>
      </c>
      <c r="H112" s="448" t="s">
        <v>1599</v>
      </c>
      <c r="I112" s="448" t="s">
        <v>493</v>
      </c>
    </row>
    <row r="113" spans="1:9">
      <c r="A113" s="448" t="str">
        <f t="shared" si="5"/>
        <v>D3 Piedmont Community College</v>
      </c>
      <c r="B113" s="449" t="s">
        <v>1177</v>
      </c>
      <c r="C113" s="449" t="s">
        <v>1177</v>
      </c>
      <c r="D113" s="448" t="s">
        <v>1178</v>
      </c>
      <c r="E113" s="448" t="s">
        <v>1527</v>
      </c>
      <c r="F113" s="448" t="s">
        <v>1336</v>
      </c>
      <c r="G113" s="454" t="s">
        <v>1600</v>
      </c>
      <c r="H113" s="448" t="s">
        <v>1601</v>
      </c>
      <c r="I113" s="448" t="s">
        <v>493</v>
      </c>
    </row>
    <row r="114" spans="1:9">
      <c r="A114" s="448" t="str">
        <f t="shared" si="5"/>
        <v>D4 Pitt Community College</v>
      </c>
      <c r="B114" s="449" t="s">
        <v>1180</v>
      </c>
      <c r="C114" s="449" t="s">
        <v>1180</v>
      </c>
      <c r="D114" s="448" t="s">
        <v>1181</v>
      </c>
      <c r="E114" s="448" t="s">
        <v>1527</v>
      </c>
      <c r="F114" s="448" t="s">
        <v>1336</v>
      </c>
      <c r="G114" s="454" t="s">
        <v>1602</v>
      </c>
      <c r="H114" s="448" t="s">
        <v>1603</v>
      </c>
      <c r="I114" s="448" t="s">
        <v>493</v>
      </c>
    </row>
    <row r="115" spans="1:9">
      <c r="A115" s="448" t="str">
        <f t="shared" si="5"/>
        <v>D5 Randolph Community College</v>
      </c>
      <c r="B115" s="449" t="s">
        <v>1183</v>
      </c>
      <c r="C115" s="449" t="s">
        <v>1183</v>
      </c>
      <c r="D115" s="448" t="s">
        <v>1184</v>
      </c>
      <c r="E115" s="448" t="s">
        <v>1527</v>
      </c>
      <c r="F115" s="448" t="s">
        <v>1336</v>
      </c>
      <c r="G115" s="454" t="s">
        <v>1604</v>
      </c>
      <c r="H115" s="448" t="s">
        <v>1605</v>
      </c>
      <c r="I115" s="448" t="s">
        <v>493</v>
      </c>
    </row>
    <row r="116" spans="1:9">
      <c r="A116" s="448" t="str">
        <f t="shared" si="5"/>
        <v>D6 Richmond Community College</v>
      </c>
      <c r="B116" s="449" t="s">
        <v>1186</v>
      </c>
      <c r="C116" s="449" t="s">
        <v>1186</v>
      </c>
      <c r="D116" s="448" t="s">
        <v>1187</v>
      </c>
      <c r="E116" s="448" t="s">
        <v>1527</v>
      </c>
      <c r="F116" s="448" t="s">
        <v>1336</v>
      </c>
      <c r="G116" s="454" t="s">
        <v>1606</v>
      </c>
      <c r="H116" s="448" t="s">
        <v>1607</v>
      </c>
      <c r="I116" s="448" t="s">
        <v>493</v>
      </c>
    </row>
    <row r="117" spans="1:9">
      <c r="A117" s="448" t="str">
        <f t="shared" si="5"/>
        <v>D7 Roanoke-Chowan Community College</v>
      </c>
      <c r="B117" s="449" t="s">
        <v>1189</v>
      </c>
      <c r="C117" s="449" t="s">
        <v>1189</v>
      </c>
      <c r="D117" s="448" t="s">
        <v>1190</v>
      </c>
      <c r="E117" s="448" t="s">
        <v>1527</v>
      </c>
      <c r="F117" s="448" t="s">
        <v>1336</v>
      </c>
      <c r="G117" s="454" t="s">
        <v>1608</v>
      </c>
      <c r="H117" s="448" t="s">
        <v>1609</v>
      </c>
      <c r="I117" s="448" t="s">
        <v>493</v>
      </c>
    </row>
    <row r="118" spans="1:9">
      <c r="A118" s="448" t="str">
        <f t="shared" si="5"/>
        <v>D8 Robeson Community College</v>
      </c>
      <c r="B118" s="449" t="s">
        <v>1192</v>
      </c>
      <c r="C118" s="449" t="s">
        <v>1192</v>
      </c>
      <c r="D118" s="448" t="s">
        <v>1193</v>
      </c>
      <c r="E118" s="448" t="s">
        <v>1527</v>
      </c>
      <c r="F118" s="448" t="s">
        <v>1336</v>
      </c>
      <c r="G118" s="454" t="s">
        <v>1610</v>
      </c>
      <c r="H118" s="448" t="s">
        <v>1611</v>
      </c>
      <c r="I118" s="448" t="s">
        <v>493</v>
      </c>
    </row>
    <row r="119" spans="1:9">
      <c r="A119" s="448" t="str">
        <f t="shared" si="5"/>
        <v>D9 Rockingham Community College</v>
      </c>
      <c r="B119" s="449" t="s">
        <v>1195</v>
      </c>
      <c r="C119" s="449" t="s">
        <v>1195</v>
      </c>
      <c r="D119" s="448" t="s">
        <v>1196</v>
      </c>
      <c r="E119" s="448" t="s">
        <v>1527</v>
      </c>
      <c r="F119" s="448" t="s">
        <v>1336</v>
      </c>
      <c r="G119" s="454" t="s">
        <v>1612</v>
      </c>
      <c r="H119" s="448" t="s">
        <v>1613</v>
      </c>
      <c r="I119" s="448" t="s">
        <v>493</v>
      </c>
    </row>
    <row r="120" spans="1:9">
      <c r="A120" s="448" t="str">
        <f t="shared" si="5"/>
        <v>DA Rowan-Cabarrus Community College</v>
      </c>
      <c r="B120" s="449" t="s">
        <v>1198</v>
      </c>
      <c r="C120" s="449" t="s">
        <v>1198</v>
      </c>
      <c r="D120" s="448" t="s">
        <v>1199</v>
      </c>
      <c r="E120" s="448" t="s">
        <v>1527</v>
      </c>
      <c r="F120" s="448" t="s">
        <v>1336</v>
      </c>
      <c r="G120" s="454" t="s">
        <v>1614</v>
      </c>
      <c r="H120" s="448" t="s">
        <v>1615</v>
      </c>
      <c r="I120" s="448" t="s">
        <v>493</v>
      </c>
    </row>
    <row r="121" spans="1:9">
      <c r="A121" s="448" t="str">
        <f t="shared" si="5"/>
        <v>DB Sampson Community College</v>
      </c>
      <c r="B121" s="449" t="s">
        <v>1201</v>
      </c>
      <c r="C121" s="449" t="s">
        <v>1201</v>
      </c>
      <c r="D121" s="448" t="s">
        <v>1202</v>
      </c>
      <c r="E121" s="448" t="s">
        <v>1527</v>
      </c>
      <c r="F121" s="448" t="s">
        <v>1336</v>
      </c>
      <c r="G121" s="454" t="s">
        <v>1616</v>
      </c>
      <c r="H121" s="448" t="s">
        <v>1617</v>
      </c>
      <c r="I121" s="448" t="s">
        <v>493</v>
      </c>
    </row>
    <row r="122" spans="1:9">
      <c r="A122" s="448" t="str">
        <f t="shared" si="5"/>
        <v>DC Sandhills Community College</v>
      </c>
      <c r="B122" s="449" t="s">
        <v>1204</v>
      </c>
      <c r="C122" s="449" t="s">
        <v>1204</v>
      </c>
      <c r="D122" s="448" t="s">
        <v>1205</v>
      </c>
      <c r="E122" s="448" t="s">
        <v>1527</v>
      </c>
      <c r="F122" s="448" t="s">
        <v>1336</v>
      </c>
      <c r="G122" s="454" t="s">
        <v>1618</v>
      </c>
      <c r="H122" s="448" t="s">
        <v>1619</v>
      </c>
      <c r="I122" s="448" t="s">
        <v>493</v>
      </c>
    </row>
    <row r="123" spans="1:9">
      <c r="A123" s="448" t="str">
        <f t="shared" si="5"/>
        <v>C1 South Piedmont Community College</v>
      </c>
      <c r="B123" s="449" t="s">
        <v>1207</v>
      </c>
      <c r="C123" s="449" t="s">
        <v>1207</v>
      </c>
      <c r="D123" s="448" t="s">
        <v>1208</v>
      </c>
      <c r="E123" s="448" t="s">
        <v>1527</v>
      </c>
      <c r="F123" s="448" t="s">
        <v>1336</v>
      </c>
      <c r="G123" s="454" t="s">
        <v>1620</v>
      </c>
      <c r="H123" s="448" t="s">
        <v>1621</v>
      </c>
      <c r="I123" s="448" t="s">
        <v>493</v>
      </c>
    </row>
    <row r="124" spans="1:9">
      <c r="A124" s="448" t="str">
        <f t="shared" si="5"/>
        <v>DD Southeastern Community College</v>
      </c>
      <c r="B124" s="449" t="s">
        <v>1210</v>
      </c>
      <c r="C124" s="449" t="s">
        <v>1210</v>
      </c>
      <c r="D124" s="448" t="s">
        <v>1211</v>
      </c>
      <c r="E124" s="448" t="s">
        <v>1527</v>
      </c>
      <c r="F124" s="448" t="s">
        <v>1336</v>
      </c>
      <c r="G124" s="454" t="s">
        <v>1622</v>
      </c>
      <c r="H124" s="448" t="s">
        <v>1623</v>
      </c>
      <c r="I124" s="448" t="s">
        <v>493</v>
      </c>
    </row>
    <row r="125" spans="1:9">
      <c r="A125" s="448" t="str">
        <f t="shared" si="5"/>
        <v>DE Southwestern Community College</v>
      </c>
      <c r="B125" s="449" t="s">
        <v>1213</v>
      </c>
      <c r="C125" s="449" t="s">
        <v>1213</v>
      </c>
      <c r="D125" s="448" t="s">
        <v>1214</v>
      </c>
      <c r="E125" s="448" t="s">
        <v>1527</v>
      </c>
      <c r="F125" s="448" t="s">
        <v>1336</v>
      </c>
      <c r="G125" s="454" t="s">
        <v>1624</v>
      </c>
      <c r="H125" s="448" t="s">
        <v>1625</v>
      </c>
      <c r="I125" s="448" t="s">
        <v>493</v>
      </c>
    </row>
    <row r="126" spans="1:9">
      <c r="A126" s="448" t="str">
        <f t="shared" si="5"/>
        <v>DF Stanly Community College</v>
      </c>
      <c r="B126" s="449" t="s">
        <v>1216</v>
      </c>
      <c r="C126" s="449" t="s">
        <v>1216</v>
      </c>
      <c r="D126" s="448" t="s">
        <v>1217</v>
      </c>
      <c r="E126" s="448" t="s">
        <v>1527</v>
      </c>
      <c r="F126" s="448" t="s">
        <v>1336</v>
      </c>
      <c r="G126" s="454" t="s">
        <v>1626</v>
      </c>
      <c r="H126" s="448" t="s">
        <v>1627</v>
      </c>
      <c r="I126" s="448" t="s">
        <v>493</v>
      </c>
    </row>
    <row r="127" spans="1:9">
      <c r="A127" s="448" t="str">
        <f t="shared" si="5"/>
        <v>DG Surry Community College</v>
      </c>
      <c r="B127" s="449" t="s">
        <v>1219</v>
      </c>
      <c r="C127" s="449" t="s">
        <v>1219</v>
      </c>
      <c r="D127" s="448" t="s">
        <v>1220</v>
      </c>
      <c r="E127" s="448" t="s">
        <v>1527</v>
      </c>
      <c r="F127" s="448" t="s">
        <v>1336</v>
      </c>
      <c r="G127" s="454" t="s">
        <v>1628</v>
      </c>
      <c r="H127" s="448" t="s">
        <v>1629</v>
      </c>
      <c r="I127" s="448" t="s">
        <v>493</v>
      </c>
    </row>
    <row r="128" spans="1:9">
      <c r="A128" s="448" t="str">
        <f t="shared" si="5"/>
        <v>DH Tri-County Community College</v>
      </c>
      <c r="B128" s="449" t="s">
        <v>1222</v>
      </c>
      <c r="C128" s="449" t="s">
        <v>1222</v>
      </c>
      <c r="D128" s="448" t="s">
        <v>1223</v>
      </c>
      <c r="E128" s="448" t="s">
        <v>1527</v>
      </c>
      <c r="F128" s="448" t="s">
        <v>1336</v>
      </c>
      <c r="G128" s="454" t="s">
        <v>1630</v>
      </c>
      <c r="H128" s="448" t="s">
        <v>1631</v>
      </c>
      <c r="I128" s="448" t="s">
        <v>493</v>
      </c>
    </row>
    <row r="129" spans="1:9">
      <c r="A129" s="448" t="str">
        <f t="shared" si="5"/>
        <v>DJ Vance-Granville Community College</v>
      </c>
      <c r="B129" s="449" t="s">
        <v>1225</v>
      </c>
      <c r="C129" s="449" t="s">
        <v>1225</v>
      </c>
      <c r="D129" s="448" t="s">
        <v>1226</v>
      </c>
      <c r="E129" s="448" t="s">
        <v>1527</v>
      </c>
      <c r="F129" s="448" t="s">
        <v>1336</v>
      </c>
      <c r="G129" s="454" t="s">
        <v>1632</v>
      </c>
      <c r="H129" s="448" t="s">
        <v>1633</v>
      </c>
      <c r="I129" s="448" t="s">
        <v>493</v>
      </c>
    </row>
    <row r="130" spans="1:9">
      <c r="A130" s="448" t="str">
        <f t="shared" si="5"/>
        <v>DK Wake Technical Community College</v>
      </c>
      <c r="B130" s="449" t="s">
        <v>1228</v>
      </c>
      <c r="C130" s="449" t="s">
        <v>1228</v>
      </c>
      <c r="D130" s="448" t="s">
        <v>1229</v>
      </c>
      <c r="E130" s="448" t="s">
        <v>1527</v>
      </c>
      <c r="F130" s="448" t="s">
        <v>1336</v>
      </c>
      <c r="G130" s="454" t="s">
        <v>1634</v>
      </c>
      <c r="H130" s="448" t="s">
        <v>1635</v>
      </c>
      <c r="I130" s="448" t="s">
        <v>493</v>
      </c>
    </row>
    <row r="131" spans="1:9">
      <c r="A131" s="448" t="str">
        <f>C131&amp;" "&amp;D131</f>
        <v>DL Wayne Community College</v>
      </c>
      <c r="B131" s="449" t="s">
        <v>1231</v>
      </c>
      <c r="C131" s="449" t="s">
        <v>1231</v>
      </c>
      <c r="D131" s="448" t="s">
        <v>1232</v>
      </c>
      <c r="E131" s="448" t="s">
        <v>1527</v>
      </c>
      <c r="F131" s="448" t="s">
        <v>1336</v>
      </c>
      <c r="G131" s="454" t="s">
        <v>1636</v>
      </c>
      <c r="H131" s="448" t="s">
        <v>1637</v>
      </c>
      <c r="I131" s="448" t="s">
        <v>493</v>
      </c>
    </row>
    <row r="132" spans="1:9">
      <c r="A132" s="448" t="str">
        <f>C132&amp;" "&amp;D132</f>
        <v>DM Western Piedmont Community College</v>
      </c>
      <c r="B132" s="449" t="s">
        <v>1234</v>
      </c>
      <c r="C132" s="449" t="s">
        <v>1234</v>
      </c>
      <c r="D132" s="448" t="s">
        <v>1235</v>
      </c>
      <c r="E132" s="448" t="s">
        <v>1527</v>
      </c>
      <c r="F132" s="448" t="s">
        <v>1336</v>
      </c>
      <c r="G132" s="454" t="s">
        <v>1638</v>
      </c>
      <c r="H132" s="448" t="s">
        <v>1639</v>
      </c>
      <c r="I132" s="448" t="s">
        <v>493</v>
      </c>
    </row>
    <row r="133" spans="1:9">
      <c r="A133" s="448" t="str">
        <f>C133&amp;" "&amp;D133</f>
        <v>DN Wilkes Community College</v>
      </c>
      <c r="B133" s="449" t="s">
        <v>1237</v>
      </c>
      <c r="C133" s="449" t="s">
        <v>1237</v>
      </c>
      <c r="D133" s="448" t="s">
        <v>1238</v>
      </c>
      <c r="E133" s="448" t="s">
        <v>1527</v>
      </c>
      <c r="F133" s="448" t="s">
        <v>1336</v>
      </c>
      <c r="G133" s="454" t="s">
        <v>1640</v>
      </c>
      <c r="H133" s="448" t="s">
        <v>1641</v>
      </c>
      <c r="I133" s="448" t="s">
        <v>493</v>
      </c>
    </row>
    <row r="134" spans="1:9">
      <c r="A134" s="448" t="str">
        <f>C134&amp;" "&amp;D134</f>
        <v>DP Wilson Community College</v>
      </c>
      <c r="B134" s="449" t="s">
        <v>1240</v>
      </c>
      <c r="C134" s="449" t="s">
        <v>1240</v>
      </c>
      <c r="D134" s="448" t="s">
        <v>1241</v>
      </c>
      <c r="E134" s="448" t="s">
        <v>1527</v>
      </c>
      <c r="F134" s="448" t="s">
        <v>1336</v>
      </c>
      <c r="G134" s="454" t="s">
        <v>1642</v>
      </c>
      <c r="H134" s="448" t="s">
        <v>1643</v>
      </c>
      <c r="I134" s="448" t="s">
        <v>493</v>
      </c>
    </row>
    <row r="135" spans="1:9">
      <c r="B135" s="449" t="s">
        <v>1644</v>
      </c>
      <c r="C135" s="449"/>
    </row>
    <row r="137" spans="1:9">
      <c r="C137" s="448" t="s">
        <v>1645</v>
      </c>
    </row>
    <row r="138" spans="1:9">
      <c r="C138" s="448" t="s">
        <v>1150</v>
      </c>
      <c r="D138" s="448" t="s">
        <v>1646</v>
      </c>
    </row>
    <row r="139" spans="1:9">
      <c r="C139" s="448" t="s">
        <v>1647</v>
      </c>
      <c r="D139" s="448" t="s">
        <v>1648</v>
      </c>
    </row>
    <row r="140" spans="1:9">
      <c r="C140" s="448" t="s">
        <v>1102</v>
      </c>
      <c r="D140" s="448" t="s">
        <v>1649</v>
      </c>
    </row>
    <row r="141" spans="1:9">
      <c r="C141" s="459" t="s">
        <v>1650</v>
      </c>
      <c r="D141" s="448" t="s">
        <v>1651</v>
      </c>
    </row>
    <row r="142" spans="1:9">
      <c r="C142" s="448" t="s">
        <v>1258</v>
      </c>
      <c r="D142" s="460" t="s">
        <v>1652</v>
      </c>
    </row>
    <row r="143" spans="1:9">
      <c r="C143" s="448" t="s">
        <v>1336</v>
      </c>
      <c r="D143" s="460" t="s">
        <v>1653</v>
      </c>
    </row>
    <row r="145" spans="1:11">
      <c r="C145" s="448" t="s">
        <v>1654</v>
      </c>
    </row>
    <row r="146" spans="1:11">
      <c r="C146" s="448" t="s">
        <v>1655</v>
      </c>
    </row>
    <row r="149" spans="1:11">
      <c r="A149" s="448" t="str">
        <f>C149&amp;" "&amp;D149</f>
        <v xml:space="preserve"> </v>
      </c>
      <c r="B149" s="602">
        <v>40</v>
      </c>
      <c r="C149" s="449"/>
      <c r="G149" s="454"/>
      <c r="K149" s="448" t="b">
        <f>ISTEXT(B149)</f>
        <v>0</v>
      </c>
    </row>
  </sheetData>
  <sheetProtection algorithmName="SHA-512" hashValue="7qgQ/IJFJyyhJMoBSfT1aiAJfWhCNPAKySO1z/SSFYU8rZ23ymVoXou4sYctVZVzUmtqdnyb+ZOubLzJd3J9Uw==" saltValue="ZKe74J8jCwPrSi7xaFeF2g==" spinCount="100000" sheet="1" objects="1" scenarios="1" autoFilter="0"/>
  <hyperlinks>
    <hyperlink ref="D1" location="Index!A1" display="Office of the State Controller" xr:uid="{00000000-0004-0000-1D00-000000000000}"/>
  </hyperlinks>
  <printOptions gridLines="1"/>
  <pageMargins left="0.43" right="0.18" top="1" bottom="1" header="0.5" footer="0.5"/>
  <pageSetup scale="97"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E235"/>
  <sheetViews>
    <sheetView showGridLines="0" zoomScaleNormal="100" workbookViewId="0">
      <pane xSplit="1" ySplit="4" topLeftCell="B93" activePane="bottomRight" state="frozenSplit"/>
      <selection pane="topRight" activeCell="B2" sqref="B2"/>
      <selection pane="bottomLeft" activeCell="B2" sqref="B2"/>
      <selection pane="bottomRight" activeCell="C53" sqref="C53"/>
    </sheetView>
  </sheetViews>
  <sheetFormatPr defaultColWidth="9.28515625" defaultRowHeight="13.8"/>
  <cols>
    <col min="1" max="1" width="58.140625" style="81" customWidth="1"/>
    <col min="2" max="2" width="1.42578125" style="335" customWidth="1"/>
    <col min="3" max="3" width="17.42578125" style="81" customWidth="1"/>
    <col min="4" max="4" width="16" style="36" customWidth="1"/>
    <col min="5" max="5" width="30.140625" style="36" customWidth="1"/>
    <col min="6" max="16384" width="9.28515625" style="36"/>
  </cols>
  <sheetData>
    <row r="1" spans="1:5" ht="6.75" customHeight="1"/>
    <row r="2" spans="1:5">
      <c r="A2" s="158" t="str">
        <f>Index!D10</f>
        <v>C0</v>
      </c>
      <c r="C2" s="336"/>
      <c r="D2" s="337" t="s">
        <v>169</v>
      </c>
      <c r="E2" s="159">
        <f>+Index!D11</f>
        <v>0</v>
      </c>
    </row>
    <row r="3" spans="1:5">
      <c r="A3" s="37" t="str">
        <f>IF(ISNA(MATCH('ExhA&amp;B-definitions&amp;messages'!$A$2,EquityDataRow,0)),"College Name",INDEX(EquityData,MATCH('ExhA&amp;B-definitions&amp;messages'!$A$2,EquityDataRow,0),2))</f>
        <v>Alamance Community College</v>
      </c>
      <c r="C3" s="37"/>
      <c r="D3" s="337" t="s">
        <v>173</v>
      </c>
      <c r="E3" s="160">
        <f>+Index!D12</f>
        <v>0</v>
      </c>
    </row>
    <row r="4" spans="1:5" ht="12" customHeight="1">
      <c r="A4" s="62">
        <f>+Index!$A$118</f>
        <v>45107</v>
      </c>
      <c r="B4" s="327"/>
      <c r="C4" s="37"/>
      <c r="D4" s="338" t="s">
        <v>9</v>
      </c>
      <c r="E4" s="160">
        <f>+Index!D13</f>
        <v>0</v>
      </c>
    </row>
    <row r="5" spans="1:5" ht="12" customHeight="1">
      <c r="A5" s="339" t="s">
        <v>1656</v>
      </c>
      <c r="B5" s="339"/>
      <c r="C5" s="339"/>
    </row>
    <row r="6" spans="1:5" ht="12.75" customHeight="1">
      <c r="A6" s="38" t="s">
        <v>175</v>
      </c>
      <c r="B6" s="327"/>
      <c r="C6" s="37"/>
      <c r="D6" s="32"/>
    </row>
    <row r="7" spans="1:5" ht="12" customHeight="1">
      <c r="A7" s="39" t="s">
        <v>177</v>
      </c>
      <c r="D7" s="183"/>
    </row>
    <row r="8" spans="1:5" s="40" customFormat="1" ht="12" customHeight="1">
      <c r="A8" s="39" t="s">
        <v>178</v>
      </c>
      <c r="B8" s="340"/>
      <c r="C8" s="82"/>
      <c r="D8" s="184"/>
    </row>
    <row r="9" spans="1:5">
      <c r="A9" s="43" t="s">
        <v>179</v>
      </c>
      <c r="C9" s="522">
        <v>-2</v>
      </c>
      <c r="D9" s="164" t="str">
        <f>IF(C9&lt;0,"Problem: Cash should not be negative"," ")</f>
        <v>Problem: Cash should not be negative</v>
      </c>
    </row>
    <row r="10" spans="1:5">
      <c r="A10" s="43" t="s">
        <v>180</v>
      </c>
      <c r="C10" s="523">
        <v>-3</v>
      </c>
      <c r="D10" s="164" t="str">
        <f>IF(C10&lt;0,"Problem: Cash should not be negative"," ")</f>
        <v>Problem: Cash should not be negative</v>
      </c>
    </row>
    <row r="11" spans="1:5">
      <c r="A11" s="43" t="s">
        <v>182</v>
      </c>
      <c r="C11" s="86">
        <v>0</v>
      </c>
    </row>
    <row r="12" spans="1:5">
      <c r="A12" s="43" t="s">
        <v>183</v>
      </c>
      <c r="C12" s="86">
        <v>0</v>
      </c>
    </row>
    <row r="13" spans="1:5" ht="12.75" customHeight="1">
      <c r="A13" s="43" t="s">
        <v>184</v>
      </c>
      <c r="C13" s="86">
        <v>0</v>
      </c>
    </row>
    <row r="14" spans="1:5">
      <c r="A14" s="43" t="s">
        <v>185</v>
      </c>
      <c r="C14" s="523">
        <v>5</v>
      </c>
      <c r="D14" s="164" t="str">
        <f>IF(AND(C14&gt;=1,C14&lt;1000000),"Problem: Under $1 million threshold - reclassify to A/R"," ")</f>
        <v>Problem: Under $1 million threshold - reclassify to A/R</v>
      </c>
    </row>
    <row r="15" spans="1:5">
      <c r="A15" s="43" t="s">
        <v>1657</v>
      </c>
      <c r="C15" s="523">
        <v>6</v>
      </c>
      <c r="D15" s="189" t="str">
        <f>IF(C15='525'!E21," ","Problem: Must agree to Sched of Due from State of NC Comp Unit, w/s 525 total")</f>
        <v>Problem: Must agree to Sched of Due from State of NC Comp Unit, w/s 525 total</v>
      </c>
    </row>
    <row r="16" spans="1:5">
      <c r="A16" s="43" t="s">
        <v>1658</v>
      </c>
      <c r="C16" s="523">
        <v>7</v>
      </c>
      <c r="D16" s="189" t="str">
        <f>IF(C16='616'!D27," ","Problem: Must agree to Sched of Due from College Comp Unit,w/s 615 total")</f>
        <v>Problem: Must agree to Sched of Due from College Comp Unit,w/s 615 total</v>
      </c>
    </row>
    <row r="17" spans="1:5" ht="11.25" customHeight="1">
      <c r="A17" s="43" t="s">
        <v>188</v>
      </c>
      <c r="C17" s="86">
        <v>0</v>
      </c>
    </row>
    <row r="18" spans="1:5" ht="11.25" customHeight="1">
      <c r="A18" s="43" t="s">
        <v>189</v>
      </c>
      <c r="C18" s="86">
        <v>0</v>
      </c>
    </row>
    <row r="19" spans="1:5" ht="11.25" customHeight="1">
      <c r="A19" s="43" t="s">
        <v>190</v>
      </c>
      <c r="C19" s="86">
        <v>0</v>
      </c>
    </row>
    <row r="20" spans="1:5">
      <c r="A20" s="43" t="s">
        <v>196</v>
      </c>
      <c r="C20" s="85">
        <f>SUM(C9:C19)</f>
        <v>13</v>
      </c>
    </row>
    <row r="21" spans="1:5" ht="12" customHeight="1">
      <c r="A21" s="43"/>
      <c r="C21" s="86"/>
    </row>
    <row r="22" spans="1:5" ht="12.75" customHeight="1">
      <c r="A22" s="39" t="s">
        <v>197</v>
      </c>
      <c r="C22" s="86"/>
    </row>
    <row r="23" spans="1:5">
      <c r="A23" s="43" t="s">
        <v>180</v>
      </c>
      <c r="C23" s="523">
        <v>-5</v>
      </c>
      <c r="D23" s="164" t="str">
        <f>IF(C23&lt;0,"Problem: Cash should not be negative"," ")</f>
        <v>Problem: Cash should not be negative</v>
      </c>
    </row>
    <row r="24" spans="1:5" ht="12.75" customHeight="1">
      <c r="A24" s="43" t="s">
        <v>184</v>
      </c>
      <c r="C24" s="86">
        <v>0</v>
      </c>
    </row>
    <row r="25" spans="1:5" ht="12.75" customHeight="1">
      <c r="A25" s="43" t="s">
        <v>198</v>
      </c>
      <c r="C25" s="155">
        <v>0</v>
      </c>
      <c r="D25" s="36" t="s">
        <v>1659</v>
      </c>
    </row>
    <row r="26" spans="1:5" ht="12.75" customHeight="1">
      <c r="A26" s="43" t="s">
        <v>1660</v>
      </c>
      <c r="C26" s="523">
        <v>85</v>
      </c>
      <c r="D26" s="189" t="str">
        <f>IF(C26='525'!E30," ","Problem: Must agree to Sched of Restr Due Frm  State of NC Comp Unit, w/s 525 total")</f>
        <v>Problem: Must agree to Sched of Restr Due Frm  State of NC Comp Unit, w/s 525 total</v>
      </c>
    </row>
    <row r="27" spans="1:5" ht="12.75" customHeight="1">
      <c r="A27" s="43" t="s">
        <v>200</v>
      </c>
      <c r="C27" s="86">
        <v>0</v>
      </c>
    </row>
    <row r="28" spans="1:5" ht="11.25" customHeight="1">
      <c r="A28" s="43" t="s">
        <v>201</v>
      </c>
      <c r="C28" s="86">
        <v>0</v>
      </c>
    </row>
    <row r="29" spans="1:5" ht="12" customHeight="1">
      <c r="A29" s="43" t="s">
        <v>190</v>
      </c>
      <c r="C29" s="86">
        <v>0</v>
      </c>
    </row>
    <row r="30" spans="1:5" ht="11.25" customHeight="1">
      <c r="A30" s="43" t="s">
        <v>202</v>
      </c>
      <c r="C30" s="155">
        <f>'Capital Assets'!Q24</f>
        <v>20942769.91</v>
      </c>
      <c r="D30" s="36" t="s">
        <v>1661</v>
      </c>
      <c r="E30" s="185"/>
    </row>
    <row r="31" spans="1:5">
      <c r="A31" s="43" t="s">
        <v>203</v>
      </c>
      <c r="C31" s="155">
        <f>'Capital Assets'!Q57</f>
        <v>47305098.560000002</v>
      </c>
      <c r="D31" s="36" t="s">
        <v>1661</v>
      </c>
      <c r="E31" s="341"/>
    </row>
    <row r="32" spans="1:5">
      <c r="A32" s="43" t="s">
        <v>204</v>
      </c>
      <c r="C32" s="85">
        <f>SUM(C23:C31)</f>
        <v>68247948.469999999</v>
      </c>
      <c r="E32" s="185"/>
    </row>
    <row r="33" spans="1:5">
      <c r="A33" s="43" t="s">
        <v>205</v>
      </c>
      <c r="C33" s="85">
        <f>C20+C32</f>
        <v>68247961.469999999</v>
      </c>
    </row>
    <row r="34" spans="1:5">
      <c r="A34" s="43"/>
      <c r="C34" s="91"/>
    </row>
    <row r="35" spans="1:5">
      <c r="A35" s="39" t="s">
        <v>206</v>
      </c>
      <c r="C35" s="91"/>
    </row>
    <row r="36" spans="1:5">
      <c r="A36" s="43" t="s">
        <v>208</v>
      </c>
      <c r="C36" s="86">
        <v>0</v>
      </c>
    </row>
    <row r="37" spans="1:5">
      <c r="A37" s="43" t="s">
        <v>210</v>
      </c>
      <c r="C37" s="86">
        <v>100</v>
      </c>
      <c r="D37" s="491" t="s">
        <v>1662</v>
      </c>
    </row>
    <row r="38" spans="1:5">
      <c r="A38" s="43" t="s">
        <v>211</v>
      </c>
      <c r="C38" s="85">
        <f>SUM(C36:C37)</f>
        <v>100</v>
      </c>
    </row>
    <row r="39" spans="1:5" ht="12.75" customHeight="1">
      <c r="A39" s="43"/>
      <c r="C39" s="86"/>
    </row>
    <row r="40" spans="1:5" ht="13.5" customHeight="1">
      <c r="A40" s="39" t="s">
        <v>212</v>
      </c>
      <c r="C40" s="86"/>
    </row>
    <row r="41" spans="1:5">
      <c r="A41" s="41" t="s">
        <v>213</v>
      </c>
      <c r="C41" s="86"/>
    </row>
    <row r="42" spans="1:5">
      <c r="A42" s="43" t="s">
        <v>214</v>
      </c>
      <c r="C42" s="86">
        <v>0</v>
      </c>
    </row>
    <row r="43" spans="1:5">
      <c r="A43" s="43" t="s">
        <v>460</v>
      </c>
      <c r="C43" s="523">
        <v>5</v>
      </c>
      <c r="D43" s="189" t="str">
        <f>IF(C43='520'!E30," ","Problem: Must agree to Sched of Due to Primary Gov, worksheet 520 total")</f>
        <v>Problem: Must agree to Sched of Due to Primary Gov, worksheet 520 total</v>
      </c>
    </row>
    <row r="44" spans="1:5" ht="12" customHeight="1">
      <c r="A44" s="43" t="s">
        <v>461</v>
      </c>
      <c r="C44" s="523">
        <v>6</v>
      </c>
      <c r="D44" s="164" t="str">
        <f>IF(AND(C44&gt;=1,C44&lt;1000000),"Problem: Under $1 million threshold - reclassify to A/P"," ")</f>
        <v>Problem: Under $1 million threshold - reclassify to A/P</v>
      </c>
      <c r="E44" s="164"/>
    </row>
    <row r="45" spans="1:5">
      <c r="A45" s="43" t="s">
        <v>218</v>
      </c>
      <c r="C45" s="86">
        <v>0</v>
      </c>
    </row>
    <row r="46" spans="1:5">
      <c r="A46" s="43" t="s">
        <v>219</v>
      </c>
      <c r="C46" s="86">
        <v>0</v>
      </c>
    </row>
    <row r="47" spans="1:5">
      <c r="A47" s="43" t="s">
        <v>220</v>
      </c>
      <c r="C47" s="155">
        <f>'Long-Term Liabilities'!Q26</f>
        <v>682171.27</v>
      </c>
      <c r="D47" s="36" t="s">
        <v>1663</v>
      </c>
    </row>
    <row r="48" spans="1:5">
      <c r="A48" s="43" t="s">
        <v>221</v>
      </c>
      <c r="C48" s="87">
        <f>SUM(C42:C47)</f>
        <v>682182.27</v>
      </c>
    </row>
    <row r="49" spans="1:4">
      <c r="A49" s="43"/>
      <c r="C49" s="822"/>
    </row>
    <row r="50" spans="1:4">
      <c r="A50" s="41" t="s">
        <v>222</v>
      </c>
      <c r="C50" s="86"/>
    </row>
    <row r="51" spans="1:4">
      <c r="A51" s="43" t="s">
        <v>219</v>
      </c>
      <c r="C51" s="89">
        <v>0</v>
      </c>
    </row>
    <row r="52" spans="1:4">
      <c r="A52" s="43" t="s">
        <v>223</v>
      </c>
      <c r="C52" s="89">
        <v>0</v>
      </c>
    </row>
    <row r="53" spans="1:4">
      <c r="A53" s="43" t="s">
        <v>224</v>
      </c>
      <c r="C53" s="162">
        <f>'Long-Term Liabilities'!O26-'Long-Term Liabilities'!Q26</f>
        <v>28890680.32</v>
      </c>
      <c r="D53" s="36" t="s">
        <v>1663</v>
      </c>
    </row>
    <row r="54" spans="1:4">
      <c r="A54" s="43" t="s">
        <v>225</v>
      </c>
      <c r="C54" s="86">
        <f>SUM(C51:C53)</f>
        <v>28890680.32</v>
      </c>
      <c r="D54" s="19"/>
    </row>
    <row r="55" spans="1:4">
      <c r="A55" s="43" t="s">
        <v>226</v>
      </c>
      <c r="C55" s="87">
        <f>C48+C54</f>
        <v>29572862.59</v>
      </c>
    </row>
    <row r="56" spans="1:4">
      <c r="A56" s="43"/>
      <c r="C56" s="89"/>
    </row>
    <row r="57" spans="1:4">
      <c r="A57" s="39" t="s">
        <v>227</v>
      </c>
      <c r="C57" s="89"/>
    </row>
    <row r="58" spans="1:4">
      <c r="A58" s="466" t="s">
        <v>1664</v>
      </c>
      <c r="C58" s="89">
        <v>0</v>
      </c>
    </row>
    <row r="59" spans="1:4">
      <c r="A59" s="43" t="s">
        <v>230</v>
      </c>
      <c r="C59" s="89">
        <v>0</v>
      </c>
    </row>
    <row r="60" spans="1:4">
      <c r="A60" s="43" t="s">
        <v>232</v>
      </c>
      <c r="C60" s="89">
        <v>0</v>
      </c>
    </row>
    <row r="61" spans="1:4">
      <c r="A61" s="43" t="s">
        <v>235</v>
      </c>
      <c r="C61" s="89">
        <v>100</v>
      </c>
      <c r="D61" s="491" t="s">
        <v>1662</v>
      </c>
    </row>
    <row r="62" spans="1:4">
      <c r="A62" s="43" t="s">
        <v>211</v>
      </c>
      <c r="C62" s="87">
        <f>SUM(C58:C61)</f>
        <v>100</v>
      </c>
    </row>
    <row r="63" spans="1:4">
      <c r="A63" s="43"/>
      <c r="C63" s="89"/>
    </row>
    <row r="64" spans="1:4">
      <c r="A64" s="43"/>
      <c r="C64" s="89"/>
    </row>
    <row r="65" spans="1:4">
      <c r="A65" s="39" t="s">
        <v>237</v>
      </c>
      <c r="C65" s="89"/>
    </row>
    <row r="66" spans="1:4">
      <c r="A66" s="43" t="s">
        <v>238</v>
      </c>
      <c r="C66" s="523">
        <v>1000000000</v>
      </c>
      <c r="D66" s="164" t="str">
        <f>IF(C66&lt;=C30+C31," ","Problem: Must be less than or equal to total capital assets, deprec &amp; nondeprec")</f>
        <v>Problem: Must be less than or equal to total capital assets, deprec &amp; nondeprec</v>
      </c>
    </row>
    <row r="67" spans="1:4" ht="12.75" customHeight="1">
      <c r="A67" s="81" t="s">
        <v>241</v>
      </c>
      <c r="C67" s="86"/>
    </row>
    <row r="68" spans="1:4" ht="12.75" customHeight="1">
      <c r="A68" s="81" t="s">
        <v>242</v>
      </c>
      <c r="C68" s="86"/>
    </row>
    <row r="69" spans="1:4" ht="12" customHeight="1">
      <c r="A69" s="342" t="s">
        <v>243</v>
      </c>
      <c r="C69" s="523">
        <v>-2</v>
      </c>
      <c r="D69" s="189" t="str">
        <f>IF(C69&lt;0,"Problem: Restricted net position cannot be negative - see Net Position Policy in instructions"," ")</f>
        <v>Problem: Restricted net position cannot be negative - see Net Position Policy in instructions</v>
      </c>
    </row>
    <row r="70" spans="1:4" ht="12" customHeight="1">
      <c r="A70" s="342" t="s">
        <v>246</v>
      </c>
      <c r="C70" s="523">
        <v>-3</v>
      </c>
      <c r="D70" s="189" t="str">
        <f>IF(C70&lt;0,"Problem: Restricted net position cannot be negative - see Net Position Policy in instructions"," ")</f>
        <v>Problem: Restricted net position cannot be negative - see Net Position Policy in instructions</v>
      </c>
    </row>
    <row r="71" spans="1:4" ht="12" customHeight="1">
      <c r="A71" s="342" t="s">
        <v>248</v>
      </c>
      <c r="C71" s="523">
        <v>-5</v>
      </c>
      <c r="D71" s="189" t="str">
        <f>IF(C71&lt;0,"Problem: Restricted net position cannot be negative - see Net Position Policy in instructions"," ")</f>
        <v>Problem: Restricted net position cannot be negative - see Net Position Policy in instructions</v>
      </c>
    </row>
    <row r="72" spans="1:4" ht="12" customHeight="1">
      <c r="A72" s="81" t="s">
        <v>250</v>
      </c>
      <c r="C72" s="86"/>
    </row>
    <row r="73" spans="1:4" ht="12" customHeight="1">
      <c r="A73" s="342" t="s">
        <v>243</v>
      </c>
      <c r="C73" s="523">
        <v>-2</v>
      </c>
      <c r="D73" s="189" t="str">
        <f>IF(C73&lt;0,"Problem: Restricted net position cannot be negative - see Net Position Policy in instructions"," ")</f>
        <v>Problem: Restricted net position cannot be negative - see Net Position Policy in instructions</v>
      </c>
    </row>
    <row r="74" spans="1:4" ht="12" customHeight="1">
      <c r="A74" s="342" t="s">
        <v>246</v>
      </c>
      <c r="C74" s="523">
        <v>-1</v>
      </c>
      <c r="D74" s="189" t="str">
        <f>IF(C74&lt;0,"Problem: Restricted net position cannot be negative - see Net Position Policy in instructions"," ")</f>
        <v>Problem: Restricted net position cannot be negative - see Net Position Policy in instructions</v>
      </c>
    </row>
    <row r="75" spans="1:4" ht="12" customHeight="1">
      <c r="A75" s="342" t="s">
        <v>252</v>
      </c>
      <c r="C75" s="523">
        <v>-3</v>
      </c>
      <c r="D75" s="189" t="str">
        <f>IF(C75&lt;0,"Problem: Restricted net position cannot be negative - see Net Position Policy in instructions"," ")</f>
        <v>Problem: Restricted net position cannot be negative - see Net Position Policy in instructions</v>
      </c>
    </row>
    <row r="76" spans="1:4" ht="12" customHeight="1">
      <c r="A76" s="342" t="s">
        <v>248</v>
      </c>
      <c r="C76" s="523">
        <v>-5</v>
      </c>
      <c r="D76" s="189" t="str">
        <f>IF(C76&lt;0,"Problem: Restricted net position cannot be negative - see Net Position Policy in instructions"," ")</f>
        <v>Problem: Restricted net position cannot be negative - see Net Position Policy in instructions</v>
      </c>
    </row>
    <row r="77" spans="1:4" ht="12" customHeight="1">
      <c r="A77" s="43" t="s">
        <v>253</v>
      </c>
      <c r="C77" s="79">
        <v>0</v>
      </c>
    </row>
    <row r="78" spans="1:4" ht="15" customHeight="1" thickBot="1">
      <c r="A78" s="43" t="s">
        <v>256</v>
      </c>
      <c r="C78" s="90">
        <f>SUM(C66,C69:C71,C73:C77)</f>
        <v>999999979</v>
      </c>
    </row>
    <row r="79" spans="1:4" ht="13.5" customHeight="1" thickTop="1">
      <c r="A79" s="43"/>
      <c r="C79" s="97"/>
    </row>
    <row r="80" spans="1:4" ht="15.75" customHeight="1">
      <c r="C80" s="328" t="str">
        <f>IF(C33=C55+C78,"In Bal.","NOT BALANCED")</f>
        <v>NOT BALANCED</v>
      </c>
    </row>
    <row r="81" spans="1:4">
      <c r="A81" s="38" t="s">
        <v>257</v>
      </c>
      <c r="C81" s="328"/>
    </row>
    <row r="82" spans="1:4" ht="12" customHeight="1">
      <c r="A82" s="38" t="s">
        <v>258</v>
      </c>
      <c r="C82" s="91"/>
      <c r="D82" s="32"/>
    </row>
    <row r="83" spans="1:4">
      <c r="A83" s="41"/>
      <c r="C83" s="91"/>
    </row>
    <row r="84" spans="1:4" ht="12.75" customHeight="1">
      <c r="A84" s="39" t="s">
        <v>259</v>
      </c>
      <c r="C84" s="86"/>
    </row>
    <row r="85" spans="1:4" ht="12.75" customHeight="1">
      <c r="A85" s="41" t="s">
        <v>260</v>
      </c>
      <c r="C85" s="86"/>
    </row>
    <row r="86" spans="1:4" ht="12.75" customHeight="1">
      <c r="A86" s="43" t="s">
        <v>261</v>
      </c>
      <c r="C86" s="98">
        <v>0</v>
      </c>
    </row>
    <row r="87" spans="1:4">
      <c r="A87" s="43" t="s">
        <v>262</v>
      </c>
      <c r="C87" s="86">
        <v>0</v>
      </c>
      <c r="D87" s="189"/>
    </row>
    <row r="88" spans="1:4">
      <c r="A88" s="43" t="s">
        <v>264</v>
      </c>
      <c r="C88" s="86">
        <v>0</v>
      </c>
    </row>
    <row r="89" spans="1:4">
      <c r="A89" s="43" t="s">
        <v>266</v>
      </c>
      <c r="C89" s="86">
        <v>0</v>
      </c>
    </row>
    <row r="90" spans="1:4">
      <c r="A90" s="43" t="s">
        <v>268</v>
      </c>
      <c r="C90" s="86">
        <v>0</v>
      </c>
    </row>
    <row r="91" spans="1:4">
      <c r="A91" s="43" t="s">
        <v>270</v>
      </c>
      <c r="C91" s="79">
        <v>0</v>
      </c>
    </row>
    <row r="92" spans="1:4">
      <c r="A92" s="43" t="s">
        <v>271</v>
      </c>
      <c r="C92" s="80">
        <f>SUM(C86:C91)</f>
        <v>0</v>
      </c>
    </row>
    <row r="93" spans="1:4">
      <c r="A93" s="39" t="s">
        <v>272</v>
      </c>
      <c r="C93" s="89"/>
    </row>
    <row r="94" spans="1:4">
      <c r="A94" s="41" t="s">
        <v>273</v>
      </c>
      <c r="C94" s="89"/>
    </row>
    <row r="95" spans="1:4">
      <c r="A95" s="43" t="s">
        <v>274</v>
      </c>
      <c r="C95" s="86">
        <v>0</v>
      </c>
      <c r="D95" s="524" t="s">
        <v>1665</v>
      </c>
    </row>
    <row r="96" spans="1:4">
      <c r="A96" s="43" t="s">
        <v>275</v>
      </c>
      <c r="C96" s="86">
        <v>0</v>
      </c>
    </row>
    <row r="97" spans="1:4">
      <c r="A97" s="43" t="s">
        <v>276</v>
      </c>
      <c r="C97" s="86">
        <v>0</v>
      </c>
    </row>
    <row r="98" spans="1:4">
      <c r="A98" s="43" t="s">
        <v>277</v>
      </c>
      <c r="C98" s="86">
        <v>0</v>
      </c>
    </row>
    <row r="99" spans="1:4">
      <c r="A99" s="43" t="s">
        <v>278</v>
      </c>
      <c r="C99" s="86">
        <v>0</v>
      </c>
    </row>
    <row r="100" spans="1:4">
      <c r="A100" s="43" t="s">
        <v>279</v>
      </c>
      <c r="C100" s="79">
        <v>0</v>
      </c>
    </row>
    <row r="101" spans="1:4">
      <c r="A101" s="43" t="s">
        <v>280</v>
      </c>
      <c r="C101" s="79">
        <f>SUM(C95:C100)</f>
        <v>0</v>
      </c>
    </row>
    <row r="102" spans="1:4">
      <c r="A102" s="43" t="s">
        <v>281</v>
      </c>
      <c r="C102" s="80">
        <f>C92-C101</f>
        <v>0</v>
      </c>
    </row>
    <row r="103" spans="1:4">
      <c r="A103" s="39" t="s">
        <v>282</v>
      </c>
      <c r="C103" s="86"/>
    </row>
    <row r="104" spans="1:4">
      <c r="A104" s="43" t="s">
        <v>283</v>
      </c>
      <c r="C104" s="86">
        <v>0</v>
      </c>
    </row>
    <row r="105" spans="1:4">
      <c r="A105" s="43" t="s">
        <v>286</v>
      </c>
      <c r="C105" s="86">
        <v>0</v>
      </c>
    </row>
    <row r="106" spans="1:4">
      <c r="A106" s="43" t="s">
        <v>287</v>
      </c>
      <c r="C106" s="86">
        <v>0</v>
      </c>
    </row>
    <row r="107" spans="1:4">
      <c r="A107" s="43" t="s">
        <v>291</v>
      </c>
      <c r="C107" s="86">
        <v>0</v>
      </c>
    </row>
    <row r="108" spans="1:4">
      <c r="A108" s="43" t="s">
        <v>293</v>
      </c>
      <c r="C108" s="86">
        <v>0</v>
      </c>
    </row>
    <row r="109" spans="1:4">
      <c r="A109" s="43" t="s">
        <v>294</v>
      </c>
      <c r="C109" s="523">
        <v>45</v>
      </c>
      <c r="D109" s="164" t="str">
        <f>IF(C109&gt;0,"Problem: Exp should be negative; show Revenue on Nonop Rev line below"," ")</f>
        <v>Problem: Exp should be negative; show Revenue on Nonop Rev line below</v>
      </c>
    </row>
    <row r="110" spans="1:4">
      <c r="A110" s="43" t="s">
        <v>296</v>
      </c>
      <c r="C110" s="523">
        <v>-500</v>
      </c>
      <c r="D110" s="164" t="str">
        <f>IF(C110&lt;0,"Problem: Rev should not be negative; show Expense on Nonop Exp line below"," ")</f>
        <v>Problem: Rev should not be negative; show Expense on Nonop Exp line below</v>
      </c>
    </row>
    <row r="111" spans="1:4">
      <c r="A111" s="43" t="s">
        <v>297</v>
      </c>
      <c r="C111" s="525">
        <v>800</v>
      </c>
      <c r="D111" s="164" t="str">
        <f>IF(C111&gt;0,"Problem: Exp should be negative; show Revenue on Nonop Rev line above"," ")</f>
        <v>Problem: Exp should be negative; show Revenue on Nonop Rev line above</v>
      </c>
    </row>
    <row r="112" spans="1:4">
      <c r="A112" s="43" t="s">
        <v>298</v>
      </c>
      <c r="C112" s="80">
        <f>SUM(C104:C111)</f>
        <v>345</v>
      </c>
    </row>
    <row r="113" spans="1:4">
      <c r="A113" s="43" t="s">
        <v>299</v>
      </c>
      <c r="C113" s="89">
        <f>C102+C112</f>
        <v>345</v>
      </c>
    </row>
    <row r="114" spans="1:4">
      <c r="A114" s="43" t="s">
        <v>300</v>
      </c>
      <c r="C114" s="526">
        <v>-250</v>
      </c>
      <c r="D114" s="164" t="str">
        <f>IF(C114&lt;0,"Problem: State capital aid cannot be negative"," ")</f>
        <v>Problem: State capital aid cannot be negative</v>
      </c>
    </row>
    <row r="115" spans="1:4">
      <c r="A115" s="43" t="s">
        <v>301</v>
      </c>
      <c r="C115" s="526">
        <v>-25</v>
      </c>
      <c r="D115" s="164" t="str">
        <f>IF(C115&lt;0,"Problem: County Cap approp cannot be negative; use Nonop Exp line above"," ")</f>
        <v>Problem: County Cap approp cannot be negative; use Nonop Exp line above</v>
      </c>
    </row>
    <row r="116" spans="1:4">
      <c r="A116" s="43" t="s">
        <v>476</v>
      </c>
      <c r="C116" s="523">
        <v>-5</v>
      </c>
      <c r="D116" s="164" t="str">
        <f>IF(C116&lt;0,"Problem: Capital grants cannot be negative; use Nonop Exp line above"," ")</f>
        <v>Problem: Capital grants cannot be negative; use Nonop Exp line above</v>
      </c>
    </row>
    <row r="117" spans="1:4">
      <c r="A117" s="43" t="s">
        <v>304</v>
      </c>
      <c r="C117" s="523">
        <v>-2</v>
      </c>
      <c r="D117" s="164" t="str">
        <f>IF(C117&lt;0,"Problem: Capital gifts, net cannot be negative; use Nonop Exp line above"," ")</f>
        <v>Problem: Capital gifts, net cannot be negative; use Nonop Exp line above</v>
      </c>
    </row>
    <row r="118" spans="1:4">
      <c r="A118" s="43" t="s">
        <v>305</v>
      </c>
      <c r="C118" s="523">
        <v>-1</v>
      </c>
      <c r="D118" s="164" t="str">
        <f>IF(C118&lt;0,"Problem: Additions to endowments cannot be negative; use Nonop Exp line above"," ")</f>
        <v>Problem: Additions to endowments cannot be negative; use Nonop Exp line above</v>
      </c>
    </row>
    <row r="119" spans="1:4">
      <c r="A119" s="43" t="s">
        <v>306</v>
      </c>
      <c r="C119" s="523">
        <v>1000</v>
      </c>
      <c r="D119" s="164" t="str">
        <f>IF(AND(ABS(C119)&gt;=1,ABS(C119)&lt;10000000),"Problem: Under $10 million threshold - reclassify to another rev or exp"," ")</f>
        <v>Problem: Under $10 million threshold - reclassify to another rev or exp</v>
      </c>
    </row>
    <row r="120" spans="1:4">
      <c r="A120" s="43" t="s">
        <v>307</v>
      </c>
      <c r="C120" s="523">
        <v>1000</v>
      </c>
      <c r="D120" s="164" t="str">
        <f>IF(AND(ABS(C120)&gt;=1,ABS(C120)&lt;10000000),"Problem: Under $10 million threshold - reclassify to another rev or exp"," ")</f>
        <v>Problem: Under $10 million threshold - reclassify to another rev or exp</v>
      </c>
    </row>
    <row r="121" spans="1:4">
      <c r="A121" s="43" t="s">
        <v>308</v>
      </c>
      <c r="C121" s="89">
        <f>SUM(C113:C120)</f>
        <v>2062</v>
      </c>
    </row>
    <row r="122" spans="1:4">
      <c r="A122" s="39" t="s">
        <v>237</v>
      </c>
      <c r="C122" s="89"/>
    </row>
    <row r="123" spans="1:4">
      <c r="A123" s="43" t="s">
        <v>309</v>
      </c>
      <c r="C123" s="155">
        <f>IF(ISNA(MATCH('ExhA&amp;B-definitions&amp;messages'!$A$2,EquityDataRow,0)),0,INDEX(EquityData,MATCH('ExhA&amp;B-definitions&amp;messages'!$A$2,EquityDataRow,0),3))</f>
        <v>41498609.57</v>
      </c>
    </row>
    <row r="124" spans="1:4">
      <c r="A124" s="43" t="s">
        <v>310</v>
      </c>
      <c r="C124" s="523">
        <v>75000</v>
      </c>
      <c r="D124" s="164" t="str">
        <f>IF(C124&lt;&gt;'430'!F31,"Problem: Amount must tie to worksheet 430"," ")</f>
        <v>Problem: Amount must tie to worksheet 430</v>
      </c>
    </row>
    <row r="125" spans="1:4" ht="15" customHeight="1" thickBot="1">
      <c r="A125" s="43" t="s">
        <v>311</v>
      </c>
      <c r="B125" s="37"/>
      <c r="C125" s="93">
        <f>SUM(C121,C123:C124)</f>
        <v>41575671.57</v>
      </c>
    </row>
    <row r="126" spans="1:4" ht="14.4" thickTop="1">
      <c r="B126" s="37"/>
      <c r="C126" s="98"/>
    </row>
    <row r="127" spans="1:4">
      <c r="C127" s="42" t="str">
        <f>IF(C78=C125,"In Bal.","NOT BALANCED")</f>
        <v>NOT BALANCED</v>
      </c>
    </row>
    <row r="128" spans="1:4">
      <c r="A128" s="44"/>
      <c r="C128" s="42"/>
    </row>
    <row r="129" spans="3:3">
      <c r="C129" s="343"/>
    </row>
    <row r="130" spans="3:3">
      <c r="C130" s="343"/>
    </row>
    <row r="131" spans="3:3">
      <c r="C131" s="343"/>
    </row>
    <row r="132" spans="3:3">
      <c r="C132" s="343"/>
    </row>
    <row r="133" spans="3:3">
      <c r="C133" s="343"/>
    </row>
    <row r="134" spans="3:3">
      <c r="C134" s="343"/>
    </row>
    <row r="135" spans="3:3">
      <c r="C135" s="343"/>
    </row>
    <row r="136" spans="3:3">
      <c r="C136" s="343"/>
    </row>
    <row r="137" spans="3:3">
      <c r="C137" s="343"/>
    </row>
    <row r="138" spans="3:3">
      <c r="C138" s="343"/>
    </row>
    <row r="139" spans="3:3">
      <c r="C139" s="343"/>
    </row>
    <row r="140" spans="3:3">
      <c r="C140" s="343"/>
    </row>
    <row r="141" spans="3:3">
      <c r="C141" s="343"/>
    </row>
    <row r="142" spans="3:3">
      <c r="C142" s="343"/>
    </row>
    <row r="143" spans="3:3">
      <c r="C143" s="343"/>
    </row>
    <row r="144" spans="3:3">
      <c r="C144" s="343"/>
    </row>
    <row r="145" spans="3:3">
      <c r="C145" s="343"/>
    </row>
    <row r="146" spans="3:3">
      <c r="C146" s="343"/>
    </row>
    <row r="147" spans="3:3">
      <c r="C147" s="343"/>
    </row>
    <row r="148" spans="3:3">
      <c r="C148" s="343"/>
    </row>
    <row r="149" spans="3:3">
      <c r="C149" s="343"/>
    </row>
    <row r="150" spans="3:3">
      <c r="C150" s="343"/>
    </row>
    <row r="151" spans="3:3">
      <c r="C151" s="343"/>
    </row>
    <row r="152" spans="3:3">
      <c r="C152" s="343"/>
    </row>
    <row r="153" spans="3:3">
      <c r="C153" s="343"/>
    </row>
    <row r="154" spans="3:3">
      <c r="C154" s="343"/>
    </row>
    <row r="155" spans="3:3">
      <c r="C155" s="343"/>
    </row>
    <row r="156" spans="3:3">
      <c r="C156" s="343"/>
    </row>
    <row r="157" spans="3:3">
      <c r="C157" s="343"/>
    </row>
    <row r="158" spans="3:3">
      <c r="C158" s="343"/>
    </row>
    <row r="159" spans="3:3">
      <c r="C159" s="343"/>
    </row>
    <row r="160" spans="3:3">
      <c r="C160" s="343"/>
    </row>
    <row r="161" spans="3:3">
      <c r="C161" s="343"/>
    </row>
    <row r="162" spans="3:3">
      <c r="C162" s="343"/>
    </row>
    <row r="163" spans="3:3">
      <c r="C163" s="343"/>
    </row>
    <row r="164" spans="3:3">
      <c r="C164" s="343"/>
    </row>
    <row r="165" spans="3:3">
      <c r="C165" s="343"/>
    </row>
    <row r="166" spans="3:3">
      <c r="C166" s="343"/>
    </row>
    <row r="167" spans="3:3">
      <c r="C167" s="343"/>
    </row>
    <row r="168" spans="3:3">
      <c r="C168" s="343"/>
    </row>
    <row r="169" spans="3:3">
      <c r="C169" s="343"/>
    </row>
    <row r="170" spans="3:3">
      <c r="C170" s="343"/>
    </row>
    <row r="171" spans="3:3">
      <c r="C171" s="343"/>
    </row>
    <row r="172" spans="3:3">
      <c r="C172" s="343"/>
    </row>
    <row r="173" spans="3:3">
      <c r="C173" s="343"/>
    </row>
    <row r="174" spans="3:3">
      <c r="C174" s="343"/>
    </row>
    <row r="175" spans="3:3">
      <c r="C175" s="343"/>
    </row>
    <row r="176" spans="3:3">
      <c r="C176" s="343"/>
    </row>
    <row r="177" spans="3:3">
      <c r="C177" s="343"/>
    </row>
    <row r="178" spans="3:3">
      <c r="C178" s="343"/>
    </row>
    <row r="179" spans="3:3">
      <c r="C179" s="343"/>
    </row>
    <row r="180" spans="3:3">
      <c r="C180" s="343"/>
    </row>
    <row r="181" spans="3:3">
      <c r="C181" s="343"/>
    </row>
    <row r="182" spans="3:3">
      <c r="C182" s="343"/>
    </row>
    <row r="183" spans="3:3">
      <c r="C183" s="343"/>
    </row>
    <row r="184" spans="3:3">
      <c r="C184" s="343"/>
    </row>
    <row r="185" spans="3:3">
      <c r="C185" s="343"/>
    </row>
    <row r="186" spans="3:3">
      <c r="C186" s="343"/>
    </row>
    <row r="187" spans="3:3">
      <c r="C187" s="343"/>
    </row>
    <row r="188" spans="3:3">
      <c r="C188" s="343"/>
    </row>
    <row r="189" spans="3:3">
      <c r="C189" s="343"/>
    </row>
    <row r="190" spans="3:3">
      <c r="C190" s="343"/>
    </row>
    <row r="191" spans="3:3">
      <c r="C191" s="343"/>
    </row>
    <row r="192" spans="3:3">
      <c r="C192" s="343"/>
    </row>
    <row r="193" spans="3:3">
      <c r="C193" s="343"/>
    </row>
    <row r="194" spans="3:3">
      <c r="C194" s="343"/>
    </row>
    <row r="195" spans="3:3">
      <c r="C195" s="343"/>
    </row>
    <row r="196" spans="3:3">
      <c r="C196" s="343"/>
    </row>
    <row r="197" spans="3:3">
      <c r="C197" s="343"/>
    </row>
    <row r="198" spans="3:3">
      <c r="C198" s="343"/>
    </row>
    <row r="199" spans="3:3">
      <c r="C199" s="343"/>
    </row>
    <row r="200" spans="3:3">
      <c r="C200" s="343"/>
    </row>
    <row r="201" spans="3:3">
      <c r="C201" s="343"/>
    </row>
    <row r="202" spans="3:3">
      <c r="C202" s="343"/>
    </row>
    <row r="203" spans="3:3">
      <c r="C203" s="343"/>
    </row>
    <row r="204" spans="3:3">
      <c r="C204" s="343"/>
    </row>
    <row r="205" spans="3:3">
      <c r="C205" s="343"/>
    </row>
    <row r="206" spans="3:3">
      <c r="C206" s="343"/>
    </row>
    <row r="207" spans="3:3">
      <c r="C207" s="343"/>
    </row>
    <row r="208" spans="3:3">
      <c r="C208" s="343"/>
    </row>
    <row r="209" spans="3:3">
      <c r="C209" s="343"/>
    </row>
    <row r="210" spans="3:3">
      <c r="C210" s="343"/>
    </row>
    <row r="211" spans="3:3">
      <c r="C211" s="343"/>
    </row>
    <row r="212" spans="3:3">
      <c r="C212" s="343"/>
    </row>
    <row r="213" spans="3:3">
      <c r="C213" s="343"/>
    </row>
    <row r="214" spans="3:3">
      <c r="C214" s="343"/>
    </row>
    <row r="215" spans="3:3">
      <c r="C215" s="343"/>
    </row>
    <row r="216" spans="3:3">
      <c r="C216" s="343"/>
    </row>
    <row r="217" spans="3:3">
      <c r="C217" s="343"/>
    </row>
    <row r="218" spans="3:3">
      <c r="C218" s="343"/>
    </row>
    <row r="219" spans="3:3">
      <c r="C219" s="343"/>
    </row>
    <row r="220" spans="3:3">
      <c r="C220" s="343"/>
    </row>
    <row r="221" spans="3:3">
      <c r="C221" s="343"/>
    </row>
    <row r="222" spans="3:3">
      <c r="C222" s="343"/>
    </row>
    <row r="223" spans="3:3">
      <c r="C223" s="343"/>
    </row>
    <row r="224" spans="3:3">
      <c r="C224" s="343"/>
    </row>
    <row r="225" spans="3:3">
      <c r="C225" s="343"/>
    </row>
    <row r="226" spans="3:3">
      <c r="C226" s="343"/>
    </row>
    <row r="227" spans="3:3">
      <c r="C227" s="343"/>
    </row>
    <row r="228" spans="3:3">
      <c r="C228" s="343"/>
    </row>
    <row r="229" spans="3:3">
      <c r="C229" s="343"/>
    </row>
    <row r="230" spans="3:3">
      <c r="C230" s="343"/>
    </row>
    <row r="231" spans="3:3">
      <c r="C231" s="343"/>
    </row>
    <row r="232" spans="3:3">
      <c r="C232" s="343"/>
    </row>
    <row r="233" spans="3:3">
      <c r="C233" s="343"/>
    </row>
    <row r="234" spans="3:3">
      <c r="C234" s="343"/>
    </row>
    <row r="235" spans="3:3">
      <c r="C235" s="343"/>
    </row>
  </sheetData>
  <sheetProtection algorithmName="SHA-512" hashValue="eTqzg999PUZZv0OrbkKckmnNpSLi8KlGTRaHUBRasGr7TW0tp/VgAdaZ3+FNkLsOzbTdCshar3mXru4fCVvzYw==" saltValue="AJvJ19jn0Ugc4Wdv3WIYyQ==" spinCount="100000" sheet="1" objects="1" scenarios="1" autoFilter="0"/>
  <printOptions gridLines="1"/>
  <pageMargins left="0.5" right="0" top="0.25" bottom="0.25" header="0.5" footer="0.25"/>
  <pageSetup scale="92" pageOrder="overThenDown" orientation="landscape" cellComments="asDisplayed" r:id="rId1"/>
  <headerFooter alignWithMargins="0">
    <oddFooter>&amp;L&amp;D  &amp;T&amp;C&amp;10Filename:  &amp;F&amp;R&amp;A  Page &amp;P of &amp;N</oddFooter>
  </headerFooter>
  <rowBreaks count="1" manualBreakCount="1">
    <brk id="80" max="16383"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BR70"/>
  <sheetViews>
    <sheetView workbookViewId="0">
      <pane xSplit="2" ySplit="3" topLeftCell="Z4" activePane="bottomRight" state="frozen"/>
      <selection pane="topRight" activeCell="N47" sqref="N47"/>
      <selection pane="bottomLeft" activeCell="N47" sqref="N47"/>
      <selection pane="bottomRight" activeCell="AR53" sqref="AR53"/>
    </sheetView>
  </sheetViews>
  <sheetFormatPr defaultColWidth="10.7109375" defaultRowHeight="13.2"/>
  <cols>
    <col min="1" max="1" width="7.140625" style="167" customWidth="1"/>
    <col min="2" max="2" width="39" style="167" customWidth="1"/>
    <col min="3" max="3" width="17.42578125" style="166" customWidth="1"/>
    <col min="4" max="4" width="15.140625" style="166" customWidth="1"/>
    <col min="5" max="8" width="18.42578125" style="166" customWidth="1"/>
    <col min="9" max="9" width="18.85546875" style="166" customWidth="1"/>
    <col min="10" max="10" width="17.7109375" style="166" customWidth="1"/>
    <col min="11" max="11" width="18.28515625" style="166" customWidth="1"/>
    <col min="12" max="14" width="15.28515625" style="166" customWidth="1"/>
    <col min="15" max="16" width="15" style="166" customWidth="1"/>
    <col min="17" max="17" width="16.42578125" style="166" bestFit="1" customWidth="1"/>
    <col min="18" max="20" width="15" style="166" customWidth="1"/>
    <col min="21" max="21" width="19.85546875" style="166" bestFit="1" customWidth="1"/>
    <col min="22" max="22" width="15.85546875" style="166" customWidth="1"/>
    <col min="23" max="23" width="17.7109375" style="166" customWidth="1"/>
    <col min="24" max="26" width="16.28515625" style="166" customWidth="1"/>
    <col min="27" max="32" width="15" style="166" customWidth="1"/>
    <col min="33" max="33" width="25" style="167" customWidth="1"/>
    <col min="34" max="16384" width="10.7109375" style="167"/>
  </cols>
  <sheetData>
    <row r="1" spans="1:35" ht="14.4" thickBot="1">
      <c r="B1" s="172" t="s">
        <v>1666</v>
      </c>
      <c r="C1" s="165" t="s">
        <v>1667</v>
      </c>
      <c r="D1" s="542"/>
      <c r="E1" s="542"/>
      <c r="F1" s="542"/>
      <c r="G1" s="542"/>
      <c r="H1" s="542"/>
      <c r="I1" s="542"/>
      <c r="J1" s="542"/>
      <c r="K1" s="542"/>
      <c r="L1" s="542"/>
      <c r="M1" s="542"/>
      <c r="N1" s="542"/>
      <c r="O1" s="542"/>
      <c r="P1" s="542"/>
      <c r="Q1" s="542"/>
      <c r="R1" s="542"/>
      <c r="S1" s="542"/>
      <c r="T1" s="542"/>
      <c r="U1" s="542"/>
      <c r="V1" s="542"/>
      <c r="W1" s="542"/>
      <c r="X1" s="542"/>
      <c r="Y1" s="542"/>
      <c r="Z1" s="542"/>
      <c r="AA1" s="542"/>
      <c r="AG1" s="903" t="s">
        <v>1668</v>
      </c>
    </row>
    <row r="2" spans="1:35" ht="40.200000000000003" customHeight="1">
      <c r="A2" s="710" t="s">
        <v>1669</v>
      </c>
      <c r="B2" s="250" t="s">
        <v>1670</v>
      </c>
      <c r="D2" s="187" t="s">
        <v>1671</v>
      </c>
      <c r="E2" s="313" t="s">
        <v>1672</v>
      </c>
      <c r="F2" s="313" t="s">
        <v>365</v>
      </c>
      <c r="G2" s="313" t="s">
        <v>1673</v>
      </c>
      <c r="H2" s="313" t="s">
        <v>1674</v>
      </c>
      <c r="J2" s="168" t="s">
        <v>1675</v>
      </c>
      <c r="K2" s="168" t="s">
        <v>1676</v>
      </c>
      <c r="L2" s="168" t="s">
        <v>1677</v>
      </c>
      <c r="M2" s="168" t="s">
        <v>1678</v>
      </c>
      <c r="N2" s="168"/>
      <c r="O2" s="168" t="s">
        <v>1679</v>
      </c>
      <c r="P2" s="1236" t="s">
        <v>1680</v>
      </c>
      <c r="Q2" s="1236" t="s">
        <v>1681</v>
      </c>
      <c r="R2" s="1236" t="s">
        <v>1682</v>
      </c>
      <c r="S2" s="1236" t="s">
        <v>1683</v>
      </c>
      <c r="T2" s="1236" t="s">
        <v>1949</v>
      </c>
      <c r="U2" s="169" t="s">
        <v>1684</v>
      </c>
      <c r="V2" s="169" t="s">
        <v>1684</v>
      </c>
      <c r="W2" s="169" t="s">
        <v>1684</v>
      </c>
      <c r="X2" s="169" t="s">
        <v>1684</v>
      </c>
      <c r="Y2" s="169" t="s">
        <v>1684</v>
      </c>
      <c r="Z2" s="169" t="s">
        <v>1684</v>
      </c>
      <c r="AA2" s="169" t="s">
        <v>1684</v>
      </c>
      <c r="AB2" s="1234" t="s">
        <v>1685</v>
      </c>
      <c r="AC2" s="1234" t="s">
        <v>1686</v>
      </c>
      <c r="AD2" s="1234" t="s">
        <v>1687</v>
      </c>
      <c r="AE2" s="1234" t="s">
        <v>1688</v>
      </c>
      <c r="AF2" s="1234" t="s">
        <v>1949</v>
      </c>
      <c r="AG2" s="168" t="s">
        <v>1689</v>
      </c>
    </row>
    <row r="3" spans="1:35" ht="13.8">
      <c r="A3" s="712" t="s">
        <v>1690</v>
      </c>
      <c r="B3" s="713" t="s">
        <v>1067</v>
      </c>
      <c r="C3" s="713" t="s">
        <v>381</v>
      </c>
      <c r="D3" s="188" t="s">
        <v>1691</v>
      </c>
      <c r="E3" s="314" t="s">
        <v>1692</v>
      </c>
      <c r="F3" s="314" t="s">
        <v>1693</v>
      </c>
      <c r="G3" s="314" t="s">
        <v>1693</v>
      </c>
      <c r="H3" s="314" t="s">
        <v>1694</v>
      </c>
      <c r="I3" s="170" t="s">
        <v>344</v>
      </c>
      <c r="J3" s="170" t="s">
        <v>1695</v>
      </c>
      <c r="K3" s="170" t="s">
        <v>1696</v>
      </c>
      <c r="L3" s="170" t="s">
        <v>1697</v>
      </c>
      <c r="M3" s="170" t="s">
        <v>1698</v>
      </c>
      <c r="N3" s="170" t="s">
        <v>367</v>
      </c>
      <c r="O3" s="170" t="s">
        <v>1699</v>
      </c>
      <c r="P3" s="1237"/>
      <c r="Q3" s="1237"/>
      <c r="R3" s="1237"/>
      <c r="S3" s="1237"/>
      <c r="T3" s="1237"/>
      <c r="U3" s="543" t="s">
        <v>344</v>
      </c>
      <c r="V3" s="544" t="s">
        <v>1700</v>
      </c>
      <c r="W3" s="543" t="s">
        <v>1701</v>
      </c>
      <c r="X3" s="543" t="s">
        <v>1702</v>
      </c>
      <c r="Y3" s="543" t="s">
        <v>1703</v>
      </c>
      <c r="Z3" s="543" t="s">
        <v>367</v>
      </c>
      <c r="AA3" s="543" t="s">
        <v>1679</v>
      </c>
      <c r="AB3" s="1235"/>
      <c r="AC3" s="1235"/>
      <c r="AD3" s="1235"/>
      <c r="AE3" s="1235"/>
      <c r="AF3" s="1235"/>
      <c r="AG3" s="904"/>
      <c r="AH3" s="905"/>
      <c r="AI3" s="905"/>
    </row>
    <row r="5" spans="1:35">
      <c r="A5" s="167" t="s">
        <v>1070</v>
      </c>
      <c r="B5" s="167" t="s">
        <v>5</v>
      </c>
      <c r="C5" s="685">
        <v>2140546</v>
      </c>
      <c r="D5" s="685">
        <v>0</v>
      </c>
      <c r="E5" s="685">
        <v>18802223.91</v>
      </c>
      <c r="F5" s="545">
        <v>0</v>
      </c>
      <c r="G5" s="545">
        <v>0</v>
      </c>
      <c r="H5" s="545">
        <v>0</v>
      </c>
      <c r="I5" s="685">
        <v>58996827.520000003</v>
      </c>
      <c r="J5" s="685">
        <v>3784929.11</v>
      </c>
      <c r="K5" s="685">
        <v>8350746.0499999998</v>
      </c>
      <c r="L5" s="685">
        <v>0</v>
      </c>
      <c r="M5" s="685">
        <v>0</v>
      </c>
      <c r="N5" s="931">
        <v>0</v>
      </c>
      <c r="O5" s="931">
        <v>0</v>
      </c>
      <c r="P5" s="931">
        <v>0</v>
      </c>
      <c r="Q5" s="931">
        <v>0</v>
      </c>
      <c r="R5" s="931">
        <v>221550.27</v>
      </c>
      <c r="S5" s="931">
        <v>0</v>
      </c>
      <c r="T5" s="931">
        <v>0</v>
      </c>
      <c r="U5" s="685">
        <v>19524814.870000001</v>
      </c>
      <c r="V5" s="685">
        <v>1120591.6299999999</v>
      </c>
      <c r="W5" s="685">
        <v>3377700.39</v>
      </c>
      <c r="X5" s="685">
        <v>0</v>
      </c>
      <c r="Y5" s="685">
        <v>0</v>
      </c>
      <c r="Z5" s="685">
        <v>0</v>
      </c>
      <c r="AA5" s="685">
        <v>0</v>
      </c>
      <c r="AB5" s="685">
        <v>0</v>
      </c>
      <c r="AC5" s="685">
        <v>0</v>
      </c>
      <c r="AD5" s="685">
        <v>25847.5</v>
      </c>
      <c r="AE5" s="685">
        <v>0</v>
      </c>
      <c r="AF5" s="685">
        <v>0</v>
      </c>
      <c r="AG5" s="166">
        <f>SUM(C5:T5)-SUM(U5:AF5)</f>
        <v>68247868.469999999</v>
      </c>
    </row>
    <row r="6" spans="1:35">
      <c r="A6" s="167" t="s">
        <v>1207</v>
      </c>
      <c r="B6" s="167" t="s">
        <v>1208</v>
      </c>
      <c r="C6" s="685">
        <v>4292549.04</v>
      </c>
      <c r="D6" s="685">
        <v>0</v>
      </c>
      <c r="E6" s="685">
        <v>999159.84</v>
      </c>
      <c r="F6" s="545">
        <v>0</v>
      </c>
      <c r="G6" s="545">
        <v>0</v>
      </c>
      <c r="H6" s="545">
        <v>0</v>
      </c>
      <c r="I6" s="685">
        <v>54267428.100000001</v>
      </c>
      <c r="J6" s="685">
        <v>761329.13</v>
      </c>
      <c r="K6" s="685">
        <v>8973905.3200000003</v>
      </c>
      <c r="L6" s="685">
        <v>0</v>
      </c>
      <c r="M6" s="685">
        <v>0</v>
      </c>
      <c r="N6" s="931">
        <v>0</v>
      </c>
      <c r="O6" s="931">
        <v>0</v>
      </c>
      <c r="P6" s="931">
        <v>0</v>
      </c>
      <c r="Q6" s="931">
        <v>0</v>
      </c>
      <c r="R6" s="931">
        <v>234731</v>
      </c>
      <c r="S6" s="931">
        <v>0</v>
      </c>
      <c r="T6" s="931">
        <v>0</v>
      </c>
      <c r="U6" s="685">
        <v>15422261.43</v>
      </c>
      <c r="V6" s="685">
        <v>679666.66</v>
      </c>
      <c r="W6" s="685">
        <v>3203592.91</v>
      </c>
      <c r="X6" s="685">
        <v>0</v>
      </c>
      <c r="Y6" s="685">
        <v>0</v>
      </c>
      <c r="Z6" s="685">
        <v>0</v>
      </c>
      <c r="AA6" s="685">
        <v>0</v>
      </c>
      <c r="AB6" s="685">
        <v>0</v>
      </c>
      <c r="AC6" s="685">
        <v>0</v>
      </c>
      <c r="AD6" s="685">
        <v>70181</v>
      </c>
      <c r="AE6" s="685">
        <v>0</v>
      </c>
      <c r="AF6" s="685">
        <v>0</v>
      </c>
      <c r="AG6" s="166">
        <f t="shared" ref="AG6:AG37" si="0">SUM(C6:S6)-SUM(U6:AE6)</f>
        <v>50153400.43</v>
      </c>
    </row>
    <row r="7" spans="1:35">
      <c r="A7" s="167" t="s">
        <v>1072</v>
      </c>
      <c r="B7" s="167" t="s">
        <v>1704</v>
      </c>
      <c r="C7" s="685">
        <v>5958212.75</v>
      </c>
      <c r="D7" s="685">
        <v>0</v>
      </c>
      <c r="E7" s="685">
        <v>10087112.439999999</v>
      </c>
      <c r="F7" s="545">
        <v>0</v>
      </c>
      <c r="G7" s="545">
        <v>0</v>
      </c>
      <c r="H7" s="545">
        <v>0</v>
      </c>
      <c r="I7" s="685">
        <v>160204823.16</v>
      </c>
      <c r="J7" s="685">
        <v>15011329.6</v>
      </c>
      <c r="K7" s="685">
        <v>19017771.43</v>
      </c>
      <c r="L7" s="685">
        <v>0</v>
      </c>
      <c r="M7" s="685">
        <v>0</v>
      </c>
      <c r="N7" s="931">
        <v>0</v>
      </c>
      <c r="O7" s="931">
        <v>0</v>
      </c>
      <c r="P7" s="931">
        <v>0</v>
      </c>
      <c r="Q7" s="931">
        <v>0</v>
      </c>
      <c r="R7" s="931">
        <v>399653.69</v>
      </c>
      <c r="S7" s="931">
        <v>0</v>
      </c>
      <c r="T7" s="931">
        <v>0</v>
      </c>
      <c r="U7" s="685">
        <v>46486134.869999997</v>
      </c>
      <c r="V7" s="685">
        <v>3691768.43</v>
      </c>
      <c r="W7" s="685">
        <v>11666608.529999999</v>
      </c>
      <c r="X7" s="685">
        <v>0</v>
      </c>
      <c r="Y7" s="685">
        <v>0</v>
      </c>
      <c r="Z7" s="685">
        <v>0</v>
      </c>
      <c r="AA7" s="685">
        <v>0</v>
      </c>
      <c r="AB7" s="685">
        <v>0</v>
      </c>
      <c r="AC7" s="685">
        <v>0</v>
      </c>
      <c r="AD7" s="685">
        <v>128693.55</v>
      </c>
      <c r="AE7" s="685">
        <v>0</v>
      </c>
      <c r="AF7" s="685">
        <v>0</v>
      </c>
      <c r="AG7" s="166">
        <f t="shared" si="0"/>
        <v>148705697.69</v>
      </c>
    </row>
    <row r="8" spans="1:35">
      <c r="A8" s="167" t="s">
        <v>1075</v>
      </c>
      <c r="B8" s="167" t="s">
        <v>1076</v>
      </c>
      <c r="C8" s="685">
        <v>575899.72</v>
      </c>
      <c r="D8" s="685">
        <v>0</v>
      </c>
      <c r="E8" s="685">
        <v>78042.7</v>
      </c>
      <c r="F8" s="545">
        <v>0</v>
      </c>
      <c r="G8" s="545">
        <v>0</v>
      </c>
      <c r="H8" s="545">
        <v>0</v>
      </c>
      <c r="I8" s="685">
        <v>25169458.399999999</v>
      </c>
      <c r="J8" s="685">
        <v>4465755.45</v>
      </c>
      <c r="K8" s="685">
        <v>6331375.4699999997</v>
      </c>
      <c r="L8" s="685">
        <v>0</v>
      </c>
      <c r="M8" s="685">
        <v>0</v>
      </c>
      <c r="N8" s="931">
        <v>0</v>
      </c>
      <c r="O8" s="931">
        <v>0</v>
      </c>
      <c r="P8" s="931">
        <v>0</v>
      </c>
      <c r="Q8" s="931">
        <v>0</v>
      </c>
      <c r="R8" s="931">
        <v>0</v>
      </c>
      <c r="S8" s="931">
        <v>0</v>
      </c>
      <c r="T8" s="931">
        <v>0</v>
      </c>
      <c r="U8" s="685">
        <v>10807968.42</v>
      </c>
      <c r="V8" s="685">
        <v>892903.31</v>
      </c>
      <c r="W8" s="685">
        <v>3864607.14</v>
      </c>
      <c r="X8" s="685">
        <v>0</v>
      </c>
      <c r="Y8" s="685">
        <v>0</v>
      </c>
      <c r="Z8" s="685">
        <v>0</v>
      </c>
      <c r="AA8" s="685">
        <v>0</v>
      </c>
      <c r="AB8" s="685">
        <v>0</v>
      </c>
      <c r="AC8" s="685">
        <v>0</v>
      </c>
      <c r="AD8" s="685">
        <v>0</v>
      </c>
      <c r="AE8" s="685">
        <v>0</v>
      </c>
      <c r="AF8" s="685">
        <v>0</v>
      </c>
      <c r="AG8" s="166">
        <f t="shared" si="0"/>
        <v>21055052.870000001</v>
      </c>
    </row>
    <row r="9" spans="1:35">
      <c r="A9" s="167" t="s">
        <v>1078</v>
      </c>
      <c r="B9" s="167" t="s">
        <v>1079</v>
      </c>
      <c r="C9" s="685">
        <v>78163.55</v>
      </c>
      <c r="D9" s="685">
        <v>0</v>
      </c>
      <c r="E9" s="685">
        <v>0</v>
      </c>
      <c r="F9" s="545">
        <v>0</v>
      </c>
      <c r="G9" s="545">
        <v>0</v>
      </c>
      <c r="H9" s="545">
        <v>0</v>
      </c>
      <c r="I9" s="685">
        <v>18464907.34</v>
      </c>
      <c r="J9" s="685">
        <v>776215.06</v>
      </c>
      <c r="K9" s="685">
        <v>3116616.06</v>
      </c>
      <c r="L9" s="685">
        <v>0</v>
      </c>
      <c r="M9" s="685">
        <v>0</v>
      </c>
      <c r="N9" s="931">
        <v>0</v>
      </c>
      <c r="O9" s="931">
        <v>0</v>
      </c>
      <c r="P9" s="931">
        <v>0</v>
      </c>
      <c r="Q9" s="931">
        <v>0</v>
      </c>
      <c r="R9" s="931">
        <v>162720</v>
      </c>
      <c r="S9" s="931">
        <v>0</v>
      </c>
      <c r="T9" s="931">
        <v>0</v>
      </c>
      <c r="U9" s="685">
        <v>6060637.7699999996</v>
      </c>
      <c r="V9" s="685">
        <v>575783.75</v>
      </c>
      <c r="W9" s="685">
        <v>957392.44</v>
      </c>
      <c r="X9" s="685">
        <v>0</v>
      </c>
      <c r="Y9" s="685">
        <v>0</v>
      </c>
      <c r="Z9" s="685">
        <v>0</v>
      </c>
      <c r="AA9" s="685">
        <v>0</v>
      </c>
      <c r="AB9" s="685">
        <v>0</v>
      </c>
      <c r="AC9" s="685">
        <v>0</v>
      </c>
      <c r="AD9" s="685">
        <v>0</v>
      </c>
      <c r="AE9" s="685">
        <v>0</v>
      </c>
      <c r="AF9" s="685">
        <v>0</v>
      </c>
      <c r="AG9" s="166">
        <f t="shared" si="0"/>
        <v>15004808.050000001</v>
      </c>
    </row>
    <row r="10" spans="1:35">
      <c r="A10" s="167" t="s">
        <v>1081</v>
      </c>
      <c r="B10" s="167" t="s">
        <v>1082</v>
      </c>
      <c r="C10" s="685">
        <v>2360226.9</v>
      </c>
      <c r="D10" s="685">
        <v>0</v>
      </c>
      <c r="E10" s="685">
        <v>110467.5</v>
      </c>
      <c r="F10" s="545">
        <v>0</v>
      </c>
      <c r="G10" s="545">
        <v>0</v>
      </c>
      <c r="H10" s="545">
        <v>0</v>
      </c>
      <c r="I10" s="685">
        <v>79900726.489999995</v>
      </c>
      <c r="J10" s="685">
        <v>1773441.08</v>
      </c>
      <c r="K10" s="685">
        <v>11697551.33</v>
      </c>
      <c r="L10" s="685">
        <v>63006.25</v>
      </c>
      <c r="M10" s="685">
        <v>0</v>
      </c>
      <c r="N10" s="931">
        <v>0</v>
      </c>
      <c r="O10" s="931">
        <v>0</v>
      </c>
      <c r="P10" s="931">
        <v>0</v>
      </c>
      <c r="Q10" s="931">
        <v>0</v>
      </c>
      <c r="R10" s="931">
        <v>330257</v>
      </c>
      <c r="S10" s="931">
        <v>0</v>
      </c>
      <c r="T10" s="931">
        <v>0</v>
      </c>
      <c r="U10" s="685">
        <v>21738288.57</v>
      </c>
      <c r="V10" s="685">
        <v>972605.67</v>
      </c>
      <c r="W10" s="685">
        <v>5673927.2199999997</v>
      </c>
      <c r="X10" s="685">
        <v>30437.32</v>
      </c>
      <c r="Y10" s="685">
        <v>0</v>
      </c>
      <c r="Z10" s="685">
        <v>0</v>
      </c>
      <c r="AA10" s="685">
        <v>0</v>
      </c>
      <c r="AB10" s="685">
        <v>0</v>
      </c>
      <c r="AC10" s="685">
        <v>0</v>
      </c>
      <c r="AD10" s="685">
        <v>111164</v>
      </c>
      <c r="AE10" s="685">
        <v>0</v>
      </c>
      <c r="AF10" s="685">
        <v>0</v>
      </c>
      <c r="AG10" s="166">
        <f t="shared" si="0"/>
        <v>67709253.769999996</v>
      </c>
    </row>
    <row r="11" spans="1:35">
      <c r="A11" s="167" t="s">
        <v>1084</v>
      </c>
      <c r="B11" s="167" t="s">
        <v>1085</v>
      </c>
      <c r="C11" s="685">
        <v>1036964.02</v>
      </c>
      <c r="D11" s="685">
        <v>0</v>
      </c>
      <c r="E11" s="685">
        <v>0</v>
      </c>
      <c r="F11" s="545">
        <v>0</v>
      </c>
      <c r="G11" s="545">
        <v>0</v>
      </c>
      <c r="H11" s="545">
        <v>0</v>
      </c>
      <c r="I11" s="685">
        <v>52183606.689999998</v>
      </c>
      <c r="J11" s="685">
        <v>5287855.4400000004</v>
      </c>
      <c r="K11" s="685">
        <v>4819440.21</v>
      </c>
      <c r="L11" s="685">
        <v>0</v>
      </c>
      <c r="M11" s="685">
        <v>0</v>
      </c>
      <c r="N11" s="931">
        <v>0</v>
      </c>
      <c r="O11" s="931">
        <v>0</v>
      </c>
      <c r="P11" s="931">
        <v>0</v>
      </c>
      <c r="Q11" s="931">
        <v>0</v>
      </c>
      <c r="R11" s="931">
        <v>132718</v>
      </c>
      <c r="S11" s="931">
        <v>0</v>
      </c>
      <c r="T11" s="931">
        <v>0</v>
      </c>
      <c r="U11" s="685">
        <v>17545952.260000002</v>
      </c>
      <c r="V11" s="685">
        <v>1697055.03</v>
      </c>
      <c r="W11" s="685">
        <v>2424804.3199999998</v>
      </c>
      <c r="X11" s="685">
        <v>0</v>
      </c>
      <c r="Y11" s="685">
        <v>0</v>
      </c>
      <c r="Z11" s="685">
        <v>0</v>
      </c>
      <c r="AA11" s="685">
        <v>0</v>
      </c>
      <c r="AB11" s="685">
        <v>0</v>
      </c>
      <c r="AC11" s="685">
        <v>0</v>
      </c>
      <c r="AD11" s="685">
        <v>40817</v>
      </c>
      <c r="AE11" s="685">
        <v>0</v>
      </c>
      <c r="AF11" s="685">
        <v>0</v>
      </c>
      <c r="AG11" s="166">
        <f t="shared" si="0"/>
        <v>41751955.75</v>
      </c>
    </row>
    <row r="12" spans="1:35">
      <c r="A12" s="167" t="s">
        <v>1087</v>
      </c>
      <c r="B12" s="167" t="s">
        <v>1705</v>
      </c>
      <c r="C12" s="685">
        <v>7365880.6600000001</v>
      </c>
      <c r="D12" s="685">
        <v>0</v>
      </c>
      <c r="E12" s="685">
        <v>49336.28</v>
      </c>
      <c r="F12" s="545">
        <v>0</v>
      </c>
      <c r="G12" s="545">
        <v>0</v>
      </c>
      <c r="H12" s="545">
        <v>0</v>
      </c>
      <c r="I12" s="685">
        <v>52702185.600000001</v>
      </c>
      <c r="J12" s="685">
        <v>2123268.66</v>
      </c>
      <c r="K12" s="685">
        <v>14059719.24</v>
      </c>
      <c r="L12" s="685">
        <v>0</v>
      </c>
      <c r="M12" s="685">
        <v>0</v>
      </c>
      <c r="N12" s="931">
        <v>0</v>
      </c>
      <c r="O12" s="931">
        <v>0</v>
      </c>
      <c r="P12" s="931">
        <v>0</v>
      </c>
      <c r="Q12" s="931">
        <v>0</v>
      </c>
      <c r="R12" s="931">
        <v>61508</v>
      </c>
      <c r="S12" s="931">
        <v>0</v>
      </c>
      <c r="T12" s="931">
        <v>0</v>
      </c>
      <c r="U12" s="685">
        <v>22035740.109999999</v>
      </c>
      <c r="V12" s="685">
        <v>996880.92</v>
      </c>
      <c r="W12" s="685">
        <v>8887319.1500000004</v>
      </c>
      <c r="X12" s="685">
        <v>0</v>
      </c>
      <c r="Y12" s="685">
        <v>0</v>
      </c>
      <c r="Z12" s="685">
        <v>0</v>
      </c>
      <c r="AA12" s="685">
        <v>0</v>
      </c>
      <c r="AB12" s="685">
        <v>0</v>
      </c>
      <c r="AC12" s="685">
        <v>0</v>
      </c>
      <c r="AD12" s="685">
        <v>18370</v>
      </c>
      <c r="AE12" s="685">
        <v>0</v>
      </c>
      <c r="AF12" s="685">
        <v>0</v>
      </c>
      <c r="AG12" s="166">
        <f t="shared" si="0"/>
        <v>44423588.259999998</v>
      </c>
    </row>
    <row r="13" spans="1:35">
      <c r="A13" s="167" t="s">
        <v>1090</v>
      </c>
      <c r="B13" s="167" t="s">
        <v>1091</v>
      </c>
      <c r="C13" s="685">
        <v>17469877.739999998</v>
      </c>
      <c r="D13" s="685">
        <v>0</v>
      </c>
      <c r="E13" s="685">
        <v>0</v>
      </c>
      <c r="F13" s="545">
        <v>0</v>
      </c>
      <c r="G13" s="545">
        <v>0</v>
      </c>
      <c r="H13" s="545">
        <v>0</v>
      </c>
      <c r="I13" s="685">
        <v>265801361.15000001</v>
      </c>
      <c r="J13" s="685">
        <v>10053260.800000001</v>
      </c>
      <c r="K13" s="685">
        <v>23143300.969999999</v>
      </c>
      <c r="L13" s="685">
        <v>0</v>
      </c>
      <c r="M13" s="685">
        <v>0</v>
      </c>
      <c r="N13" s="931">
        <v>0</v>
      </c>
      <c r="O13" s="931">
        <v>0</v>
      </c>
      <c r="P13" s="931">
        <v>0</v>
      </c>
      <c r="Q13" s="931">
        <v>0</v>
      </c>
      <c r="R13" s="931">
        <v>354165.36</v>
      </c>
      <c r="S13" s="931">
        <v>0</v>
      </c>
      <c r="T13" s="931">
        <v>0</v>
      </c>
      <c r="U13" s="685">
        <v>62256514.229999997</v>
      </c>
      <c r="V13" s="685">
        <v>5149342.55</v>
      </c>
      <c r="W13" s="685">
        <v>10387690.83</v>
      </c>
      <c r="X13" s="685">
        <v>0</v>
      </c>
      <c r="Y13" s="685">
        <v>0</v>
      </c>
      <c r="Z13" s="685">
        <v>0</v>
      </c>
      <c r="AA13" s="685">
        <v>0</v>
      </c>
      <c r="AB13" s="685">
        <v>0</v>
      </c>
      <c r="AC13" s="685">
        <v>0</v>
      </c>
      <c r="AD13" s="685">
        <v>73853</v>
      </c>
      <c r="AE13" s="685">
        <v>0</v>
      </c>
      <c r="AF13" s="685">
        <v>0</v>
      </c>
      <c r="AG13" s="166">
        <f t="shared" si="0"/>
        <v>238954565.41</v>
      </c>
    </row>
    <row r="14" spans="1:35">
      <c r="A14" s="167" t="s">
        <v>1093</v>
      </c>
      <c r="B14" s="167" t="s">
        <v>1094</v>
      </c>
      <c r="C14" s="685">
        <v>6205493.1299999999</v>
      </c>
      <c r="D14" s="685">
        <v>0</v>
      </c>
      <c r="E14" s="685">
        <v>130688.5</v>
      </c>
      <c r="F14" s="545">
        <v>0</v>
      </c>
      <c r="G14" s="545">
        <v>0</v>
      </c>
      <c r="H14" s="545">
        <v>0</v>
      </c>
      <c r="I14" s="685">
        <v>31875261.649999999</v>
      </c>
      <c r="J14" s="685">
        <v>3134834.79</v>
      </c>
      <c r="K14" s="685">
        <v>4844834.24</v>
      </c>
      <c r="L14" s="685">
        <v>0</v>
      </c>
      <c r="M14" s="685">
        <v>0</v>
      </c>
      <c r="N14" s="931">
        <v>0</v>
      </c>
      <c r="O14" s="931">
        <v>0</v>
      </c>
      <c r="P14" s="931">
        <v>0</v>
      </c>
      <c r="Q14" s="931">
        <v>124770.02</v>
      </c>
      <c r="R14" s="931">
        <v>243370.52</v>
      </c>
      <c r="S14" s="931">
        <v>0</v>
      </c>
      <c r="T14" s="931">
        <v>0</v>
      </c>
      <c r="U14" s="685">
        <v>9356899.3000000007</v>
      </c>
      <c r="V14" s="685">
        <v>701197.04</v>
      </c>
      <c r="W14" s="685">
        <v>1736898.85</v>
      </c>
      <c r="X14" s="685">
        <v>0</v>
      </c>
      <c r="Y14" s="685">
        <v>0</v>
      </c>
      <c r="Z14" s="685">
        <v>0</v>
      </c>
      <c r="AA14" s="685">
        <v>0</v>
      </c>
      <c r="AB14" s="685">
        <v>0</v>
      </c>
      <c r="AC14" s="685">
        <v>40222.49</v>
      </c>
      <c r="AD14" s="685">
        <v>54225.37</v>
      </c>
      <c r="AE14" s="685">
        <v>0</v>
      </c>
      <c r="AF14" s="685">
        <v>0</v>
      </c>
      <c r="AG14" s="166">
        <f t="shared" si="0"/>
        <v>34669809.799999997</v>
      </c>
    </row>
    <row r="15" spans="1:35">
      <c r="A15" s="167" t="s">
        <v>1096</v>
      </c>
      <c r="B15" s="167" t="s">
        <v>1097</v>
      </c>
      <c r="C15" s="685">
        <v>3202618.89</v>
      </c>
      <c r="D15" s="685">
        <v>0</v>
      </c>
      <c r="E15" s="685">
        <v>94725.95</v>
      </c>
      <c r="F15" s="545">
        <v>0</v>
      </c>
      <c r="G15" s="545">
        <v>0</v>
      </c>
      <c r="H15" s="545">
        <v>0</v>
      </c>
      <c r="I15" s="685">
        <v>74499701.950000003</v>
      </c>
      <c r="J15" s="685">
        <v>11041359.26</v>
      </c>
      <c r="K15" s="685">
        <v>15762269.91</v>
      </c>
      <c r="L15" s="685">
        <v>0</v>
      </c>
      <c r="M15" s="685">
        <v>0</v>
      </c>
      <c r="N15" s="931">
        <v>0</v>
      </c>
      <c r="O15" s="931">
        <v>0</v>
      </c>
      <c r="P15" s="931">
        <v>0</v>
      </c>
      <c r="Q15" s="931">
        <v>2610360.0699999998</v>
      </c>
      <c r="R15" s="931">
        <v>0</v>
      </c>
      <c r="S15" s="931">
        <v>0</v>
      </c>
      <c r="T15" s="931">
        <v>0</v>
      </c>
      <c r="U15" s="685">
        <v>20766515.559999999</v>
      </c>
      <c r="V15" s="685">
        <v>1333127.7</v>
      </c>
      <c r="W15" s="685">
        <v>5915632.75</v>
      </c>
      <c r="X15" s="685">
        <v>0</v>
      </c>
      <c r="Y15" s="685">
        <v>0</v>
      </c>
      <c r="Z15" s="685">
        <v>0</v>
      </c>
      <c r="AA15" s="685">
        <v>0</v>
      </c>
      <c r="AB15" s="685">
        <v>0</v>
      </c>
      <c r="AC15" s="685">
        <v>206653.5</v>
      </c>
      <c r="AD15" s="685">
        <v>0</v>
      </c>
      <c r="AE15" s="685">
        <v>0</v>
      </c>
      <c r="AF15" s="685">
        <v>0</v>
      </c>
      <c r="AG15" s="166">
        <f t="shared" si="0"/>
        <v>78989106.519999996</v>
      </c>
    </row>
    <row r="16" spans="1:35">
      <c r="A16" s="167" t="s">
        <v>1099</v>
      </c>
      <c r="B16" s="167" t="s">
        <v>1100</v>
      </c>
      <c r="C16" s="685">
        <v>4346871.3499999996</v>
      </c>
      <c r="D16" s="685">
        <v>0</v>
      </c>
      <c r="E16" s="685">
        <v>0</v>
      </c>
      <c r="F16" s="545">
        <v>0</v>
      </c>
      <c r="G16" s="545">
        <v>0</v>
      </c>
      <c r="H16" s="545">
        <v>0</v>
      </c>
      <c r="I16" s="685">
        <v>78123108.629999995</v>
      </c>
      <c r="J16" s="685">
        <v>2030033.67</v>
      </c>
      <c r="K16" s="685">
        <v>10752230.27</v>
      </c>
      <c r="L16" s="685">
        <v>0</v>
      </c>
      <c r="M16" s="685">
        <v>0</v>
      </c>
      <c r="N16" s="931">
        <v>0</v>
      </c>
      <c r="O16" s="931">
        <v>0</v>
      </c>
      <c r="P16" s="931">
        <v>0</v>
      </c>
      <c r="Q16" s="931">
        <v>0</v>
      </c>
      <c r="R16" s="931">
        <v>665040</v>
      </c>
      <c r="S16" s="931">
        <v>0</v>
      </c>
      <c r="T16" s="931">
        <v>0</v>
      </c>
      <c r="U16" s="685">
        <v>26774740.489999998</v>
      </c>
      <c r="V16" s="685">
        <v>641329.03</v>
      </c>
      <c r="W16" s="685">
        <v>6030920.2599999998</v>
      </c>
      <c r="X16" s="685">
        <v>0</v>
      </c>
      <c r="Y16" s="685">
        <v>0</v>
      </c>
      <c r="Z16" s="685">
        <v>0</v>
      </c>
      <c r="AA16" s="685">
        <v>0</v>
      </c>
      <c r="AB16" s="685">
        <v>0</v>
      </c>
      <c r="AC16" s="685">
        <v>0</v>
      </c>
      <c r="AD16" s="685">
        <v>0</v>
      </c>
      <c r="AE16" s="685">
        <v>0</v>
      </c>
      <c r="AF16" s="685">
        <v>0</v>
      </c>
      <c r="AG16" s="166">
        <f t="shared" si="0"/>
        <v>62470294.140000001</v>
      </c>
    </row>
    <row r="17" spans="1:33">
      <c r="A17" s="167" t="s">
        <v>1102</v>
      </c>
      <c r="B17" s="167" t="s">
        <v>1103</v>
      </c>
      <c r="C17" s="685">
        <v>34382452.039999999</v>
      </c>
      <c r="D17" s="685">
        <v>0</v>
      </c>
      <c r="E17" s="685">
        <v>903186.52</v>
      </c>
      <c r="F17" s="545">
        <v>0</v>
      </c>
      <c r="G17" s="545">
        <v>0</v>
      </c>
      <c r="H17" s="545">
        <v>0</v>
      </c>
      <c r="I17" s="685">
        <v>671619038.13999999</v>
      </c>
      <c r="J17" s="685">
        <v>18166568.57</v>
      </c>
      <c r="K17" s="685">
        <v>41173311.789999999</v>
      </c>
      <c r="L17" s="685">
        <v>662369.42000000004</v>
      </c>
      <c r="M17" s="685">
        <v>0</v>
      </c>
      <c r="N17" s="931">
        <v>0</v>
      </c>
      <c r="O17" s="931">
        <v>0</v>
      </c>
      <c r="P17" s="931">
        <v>0</v>
      </c>
      <c r="Q17" s="931">
        <v>2355324.81</v>
      </c>
      <c r="R17" s="931">
        <v>566612.57999999996</v>
      </c>
      <c r="S17" s="931">
        <v>8894594.4100000001</v>
      </c>
      <c r="T17" s="931">
        <v>0</v>
      </c>
      <c r="U17" s="685">
        <v>132070844.33</v>
      </c>
      <c r="V17" s="685">
        <v>8184292.3600000003</v>
      </c>
      <c r="W17" s="685">
        <v>21198646.870000001</v>
      </c>
      <c r="X17" s="685">
        <v>201819.92</v>
      </c>
      <c r="Y17" s="685">
        <v>0</v>
      </c>
      <c r="Z17" s="685">
        <v>0</v>
      </c>
      <c r="AA17" s="685">
        <v>0</v>
      </c>
      <c r="AB17" s="685">
        <v>0</v>
      </c>
      <c r="AC17" s="685">
        <v>639990.51</v>
      </c>
      <c r="AD17" s="685">
        <v>298569.25</v>
      </c>
      <c r="AE17" s="685">
        <v>1531571.61</v>
      </c>
      <c r="AF17" s="685">
        <v>0</v>
      </c>
      <c r="AG17" s="166">
        <f t="shared" si="0"/>
        <v>614597723.42999995</v>
      </c>
    </row>
    <row r="18" spans="1:33">
      <c r="A18" s="167" t="s">
        <v>1105</v>
      </c>
      <c r="B18" s="167" t="s">
        <v>1106</v>
      </c>
      <c r="C18" s="685">
        <v>1342106.3799999999</v>
      </c>
      <c r="D18" s="685">
        <v>0</v>
      </c>
      <c r="E18" s="685">
        <v>11270125.869999999</v>
      </c>
      <c r="F18" s="545">
        <v>0</v>
      </c>
      <c r="G18" s="545">
        <v>0</v>
      </c>
      <c r="H18" s="545">
        <v>0</v>
      </c>
      <c r="I18" s="685">
        <v>29211191.699999999</v>
      </c>
      <c r="J18" s="685">
        <v>1414508.23</v>
      </c>
      <c r="K18" s="685">
        <v>14737700.189999999</v>
      </c>
      <c r="L18" s="685">
        <v>0</v>
      </c>
      <c r="M18" s="685">
        <v>0</v>
      </c>
      <c r="N18" s="931">
        <v>0</v>
      </c>
      <c r="O18" s="931">
        <v>0</v>
      </c>
      <c r="P18" s="931">
        <v>0</v>
      </c>
      <c r="Q18" s="931">
        <v>126354</v>
      </c>
      <c r="R18" s="931">
        <v>18440</v>
      </c>
      <c r="S18" s="931">
        <v>0</v>
      </c>
      <c r="T18" s="931">
        <v>0</v>
      </c>
      <c r="U18" s="685">
        <v>14045347.02</v>
      </c>
      <c r="V18" s="685">
        <v>612674.93999999994</v>
      </c>
      <c r="W18" s="685">
        <v>5795349.4199999999</v>
      </c>
      <c r="X18" s="685">
        <v>0</v>
      </c>
      <c r="Y18" s="685">
        <v>0</v>
      </c>
      <c r="Z18" s="685">
        <v>0</v>
      </c>
      <c r="AA18" s="685">
        <v>0</v>
      </c>
      <c r="AB18" s="685">
        <v>0</v>
      </c>
      <c r="AC18" s="685">
        <v>47732</v>
      </c>
      <c r="AD18" s="685">
        <v>8298</v>
      </c>
      <c r="AE18" s="685">
        <v>0</v>
      </c>
      <c r="AF18" s="685">
        <v>0</v>
      </c>
      <c r="AG18" s="166">
        <f t="shared" si="0"/>
        <v>37611024.990000002</v>
      </c>
    </row>
    <row r="19" spans="1:33">
      <c r="A19" s="167" t="s">
        <v>1108</v>
      </c>
      <c r="B19" s="167" t="s">
        <v>1109</v>
      </c>
      <c r="C19" s="685">
        <v>1481962.37</v>
      </c>
      <c r="D19" s="685">
        <v>0</v>
      </c>
      <c r="E19" s="685">
        <v>724013.17</v>
      </c>
      <c r="F19" s="545">
        <v>0</v>
      </c>
      <c r="G19" s="545">
        <v>0</v>
      </c>
      <c r="H19" s="545">
        <v>0</v>
      </c>
      <c r="I19" s="685">
        <v>36349643.950000003</v>
      </c>
      <c r="J19" s="685">
        <v>22138052.420000002</v>
      </c>
      <c r="K19" s="685">
        <v>12639936.529999999</v>
      </c>
      <c r="L19" s="685">
        <v>0</v>
      </c>
      <c r="M19" s="685">
        <v>0</v>
      </c>
      <c r="N19" s="931">
        <v>0</v>
      </c>
      <c r="O19" s="931">
        <v>0</v>
      </c>
      <c r="P19" s="931">
        <v>0</v>
      </c>
      <c r="Q19" s="931">
        <v>69099</v>
      </c>
      <c r="R19" s="931">
        <v>304982</v>
      </c>
      <c r="S19" s="931">
        <v>0</v>
      </c>
      <c r="T19" s="931">
        <v>0</v>
      </c>
      <c r="U19" s="685">
        <v>19593447.420000002</v>
      </c>
      <c r="V19" s="685">
        <v>5313240.76</v>
      </c>
      <c r="W19" s="685">
        <v>7542326.2699999996</v>
      </c>
      <c r="X19" s="685">
        <v>0</v>
      </c>
      <c r="Y19" s="685">
        <v>0</v>
      </c>
      <c r="Z19" s="685">
        <v>0</v>
      </c>
      <c r="AA19" s="685">
        <v>0</v>
      </c>
      <c r="AB19" s="685">
        <v>0</v>
      </c>
      <c r="AC19" s="685">
        <v>34549.5</v>
      </c>
      <c r="AD19" s="685">
        <v>123916.06</v>
      </c>
      <c r="AE19" s="685">
        <v>0</v>
      </c>
      <c r="AF19" s="685">
        <v>0</v>
      </c>
      <c r="AG19" s="166">
        <f t="shared" si="0"/>
        <v>41100209.43</v>
      </c>
    </row>
    <row r="20" spans="1:33">
      <c r="A20" s="167" t="s">
        <v>1111</v>
      </c>
      <c r="B20" s="167" t="s">
        <v>1112</v>
      </c>
      <c r="C20" s="685">
        <v>1836007.36</v>
      </c>
      <c r="D20" s="685">
        <v>0</v>
      </c>
      <c r="E20" s="685">
        <v>0</v>
      </c>
      <c r="F20" s="545">
        <v>0</v>
      </c>
      <c r="G20" s="545">
        <v>0</v>
      </c>
      <c r="H20" s="545">
        <v>0</v>
      </c>
      <c r="I20" s="685">
        <v>42830092.439999998</v>
      </c>
      <c r="J20" s="685">
        <v>1250387.6100000001</v>
      </c>
      <c r="K20" s="685">
        <v>7406218.79</v>
      </c>
      <c r="L20" s="685">
        <v>0</v>
      </c>
      <c r="M20" s="685">
        <v>0</v>
      </c>
      <c r="N20" s="931">
        <v>0</v>
      </c>
      <c r="O20" s="931">
        <v>0</v>
      </c>
      <c r="P20" s="931">
        <v>0</v>
      </c>
      <c r="Q20" s="931">
        <v>0</v>
      </c>
      <c r="R20" s="931">
        <v>411241</v>
      </c>
      <c r="S20" s="931">
        <v>0</v>
      </c>
      <c r="T20" s="931">
        <v>0</v>
      </c>
      <c r="U20" s="685">
        <v>17106272.16</v>
      </c>
      <c r="V20" s="685">
        <v>464605.04</v>
      </c>
      <c r="W20" s="685">
        <v>4141923.94</v>
      </c>
      <c r="X20" s="685">
        <v>0</v>
      </c>
      <c r="Y20" s="685">
        <v>0</v>
      </c>
      <c r="Z20" s="685">
        <v>0</v>
      </c>
      <c r="AA20" s="685">
        <v>0</v>
      </c>
      <c r="AB20" s="685">
        <v>0</v>
      </c>
      <c r="AC20" s="685">
        <v>0</v>
      </c>
      <c r="AD20" s="685">
        <v>302647.36</v>
      </c>
      <c r="AE20" s="685">
        <v>0</v>
      </c>
      <c r="AF20" s="685">
        <v>0</v>
      </c>
      <c r="AG20" s="166">
        <f t="shared" si="0"/>
        <v>31718498.699999999</v>
      </c>
    </row>
    <row r="21" spans="1:33">
      <c r="A21" s="167" t="s">
        <v>1114</v>
      </c>
      <c r="B21" s="167" t="s">
        <v>1115</v>
      </c>
      <c r="C21" s="685">
        <v>596500</v>
      </c>
      <c r="D21" s="685">
        <v>280935.75</v>
      </c>
      <c r="E21" s="685">
        <v>0</v>
      </c>
      <c r="F21" s="545">
        <v>0</v>
      </c>
      <c r="G21" s="545">
        <v>0</v>
      </c>
      <c r="H21" s="545">
        <v>0</v>
      </c>
      <c r="I21" s="685">
        <v>39975177.159999996</v>
      </c>
      <c r="J21" s="685">
        <v>2723697.09</v>
      </c>
      <c r="K21" s="685">
        <v>14682322.4</v>
      </c>
      <c r="L21" s="685">
        <v>0</v>
      </c>
      <c r="M21" s="685">
        <v>0</v>
      </c>
      <c r="N21" s="931">
        <v>0</v>
      </c>
      <c r="O21" s="931">
        <v>0</v>
      </c>
      <c r="P21" s="931">
        <v>143365</v>
      </c>
      <c r="Q21" s="931">
        <v>62069</v>
      </c>
      <c r="R21" s="931">
        <v>295413.88</v>
      </c>
      <c r="S21" s="931">
        <v>0</v>
      </c>
      <c r="T21" s="931">
        <v>0</v>
      </c>
      <c r="U21" s="685">
        <v>17524681.280000001</v>
      </c>
      <c r="V21" s="685">
        <v>1310537.8700000001</v>
      </c>
      <c r="W21" s="685">
        <v>6433722.1100000003</v>
      </c>
      <c r="X21" s="685">
        <v>0</v>
      </c>
      <c r="Y21" s="685">
        <v>0</v>
      </c>
      <c r="Z21" s="685">
        <v>0</v>
      </c>
      <c r="AA21" s="685">
        <v>0</v>
      </c>
      <c r="AB21" s="685">
        <v>11653.33</v>
      </c>
      <c r="AC21" s="685">
        <v>1514</v>
      </c>
      <c r="AD21" s="685">
        <v>76299.42</v>
      </c>
      <c r="AE21" s="685">
        <v>0</v>
      </c>
      <c r="AF21" s="685">
        <v>0</v>
      </c>
      <c r="AG21" s="166">
        <f t="shared" si="0"/>
        <v>33401072.27</v>
      </c>
    </row>
    <row r="22" spans="1:33">
      <c r="A22" s="167" t="s">
        <v>1117</v>
      </c>
      <c r="B22" s="167" t="s">
        <v>1706</v>
      </c>
      <c r="C22" s="685">
        <v>258694.21</v>
      </c>
      <c r="D22" s="685">
        <v>0</v>
      </c>
      <c r="E22" s="685">
        <v>854341.45</v>
      </c>
      <c r="F22" s="545">
        <v>0</v>
      </c>
      <c r="G22" s="545">
        <v>0</v>
      </c>
      <c r="H22" s="545">
        <v>0</v>
      </c>
      <c r="I22" s="685">
        <v>57051850.329999998</v>
      </c>
      <c r="J22" s="685">
        <v>3527014.67</v>
      </c>
      <c r="K22" s="685">
        <v>9790652.4900000002</v>
      </c>
      <c r="L22" s="685">
        <v>0</v>
      </c>
      <c r="M22" s="685">
        <v>0</v>
      </c>
      <c r="N22" s="931">
        <v>0</v>
      </c>
      <c r="O22" s="931">
        <v>0</v>
      </c>
      <c r="P22" s="931">
        <v>0</v>
      </c>
      <c r="Q22" s="931">
        <v>147704</v>
      </c>
      <c r="R22" s="931">
        <v>102492</v>
      </c>
      <c r="S22" s="931">
        <v>0</v>
      </c>
      <c r="T22" s="931">
        <v>0</v>
      </c>
      <c r="U22" s="685">
        <v>24514507.59</v>
      </c>
      <c r="V22" s="685">
        <v>1010980.93</v>
      </c>
      <c r="W22" s="685">
        <v>4922620.3499999996</v>
      </c>
      <c r="X22" s="685">
        <v>0</v>
      </c>
      <c r="Y22" s="685">
        <v>0</v>
      </c>
      <c r="Z22" s="685">
        <v>0</v>
      </c>
      <c r="AA22" s="685">
        <v>0</v>
      </c>
      <c r="AB22" s="685">
        <v>0</v>
      </c>
      <c r="AC22" s="685">
        <v>12309</v>
      </c>
      <c r="AD22" s="685">
        <v>22456</v>
      </c>
      <c r="AE22" s="685">
        <v>0</v>
      </c>
      <c r="AF22" s="685">
        <v>0</v>
      </c>
      <c r="AG22" s="166">
        <f t="shared" si="0"/>
        <v>41249875.280000001</v>
      </c>
    </row>
    <row r="23" spans="1:33">
      <c r="A23" s="167" t="s">
        <v>1120</v>
      </c>
      <c r="B23" s="167" t="s">
        <v>1121</v>
      </c>
      <c r="C23" s="685">
        <v>3246806.54</v>
      </c>
      <c r="D23" s="685">
        <v>0</v>
      </c>
      <c r="E23" s="685">
        <v>0</v>
      </c>
      <c r="F23" s="545">
        <v>0</v>
      </c>
      <c r="G23" s="545">
        <v>0</v>
      </c>
      <c r="H23" s="545">
        <v>0</v>
      </c>
      <c r="I23" s="685">
        <v>81753451.719999999</v>
      </c>
      <c r="J23" s="685">
        <v>2035620.08</v>
      </c>
      <c r="K23" s="685">
        <v>4900757.5</v>
      </c>
      <c r="L23" s="685">
        <v>0</v>
      </c>
      <c r="M23" s="685">
        <v>0</v>
      </c>
      <c r="N23" s="931">
        <v>0</v>
      </c>
      <c r="O23" s="931">
        <v>0</v>
      </c>
      <c r="P23" s="931">
        <v>0</v>
      </c>
      <c r="Q23" s="931">
        <v>3685039</v>
      </c>
      <c r="R23" s="931">
        <v>0</v>
      </c>
      <c r="S23" s="931">
        <v>0</v>
      </c>
      <c r="T23" s="931">
        <v>0</v>
      </c>
      <c r="U23" s="685">
        <v>19684580.52</v>
      </c>
      <c r="V23" s="685">
        <v>684408.84</v>
      </c>
      <c r="W23" s="685">
        <v>3686432.66</v>
      </c>
      <c r="X23" s="685">
        <v>0</v>
      </c>
      <c r="Y23" s="685">
        <v>0</v>
      </c>
      <c r="Z23" s="685">
        <v>0</v>
      </c>
      <c r="AA23" s="685">
        <v>0</v>
      </c>
      <c r="AB23" s="685">
        <v>0</v>
      </c>
      <c r="AC23" s="685">
        <v>1474018</v>
      </c>
      <c r="AD23" s="685">
        <v>0</v>
      </c>
      <c r="AE23" s="685">
        <v>0</v>
      </c>
      <c r="AF23" s="685">
        <v>0</v>
      </c>
      <c r="AG23" s="166">
        <f t="shared" si="0"/>
        <v>70092234.819999993</v>
      </c>
    </row>
    <row r="24" spans="1:33">
      <c r="A24" s="167" t="s">
        <v>1123</v>
      </c>
      <c r="B24" s="167" t="s">
        <v>1124</v>
      </c>
      <c r="C24" s="685">
        <v>1109816.18</v>
      </c>
      <c r="D24" s="685">
        <v>0</v>
      </c>
      <c r="E24" s="685">
        <v>1168108.25</v>
      </c>
      <c r="F24" s="545">
        <v>0</v>
      </c>
      <c r="G24" s="545">
        <v>0</v>
      </c>
      <c r="H24" s="545">
        <v>0</v>
      </c>
      <c r="I24" s="685">
        <v>41974602.82</v>
      </c>
      <c r="J24" s="685">
        <v>1858806.16</v>
      </c>
      <c r="K24" s="685">
        <v>6364371.8899999997</v>
      </c>
      <c r="L24" s="685">
        <v>0</v>
      </c>
      <c r="M24" s="685">
        <v>0</v>
      </c>
      <c r="N24" s="931">
        <v>0</v>
      </c>
      <c r="O24" s="931">
        <v>0</v>
      </c>
      <c r="P24" s="931">
        <v>0</v>
      </c>
      <c r="Q24" s="931">
        <v>0</v>
      </c>
      <c r="R24" s="931">
        <v>280440</v>
      </c>
      <c r="S24" s="931">
        <v>0</v>
      </c>
      <c r="T24" s="931">
        <v>0</v>
      </c>
      <c r="U24" s="685">
        <v>11614907.880000001</v>
      </c>
      <c r="V24" s="685">
        <v>779190.86</v>
      </c>
      <c r="W24" s="685">
        <v>3544620.09</v>
      </c>
      <c r="X24" s="685">
        <v>0</v>
      </c>
      <c r="Y24" s="685">
        <v>0</v>
      </c>
      <c r="Z24" s="685">
        <v>0</v>
      </c>
      <c r="AA24" s="685">
        <v>0</v>
      </c>
      <c r="AB24" s="685">
        <v>0</v>
      </c>
      <c r="AC24" s="685">
        <v>0</v>
      </c>
      <c r="AD24" s="685">
        <v>151344</v>
      </c>
      <c r="AE24" s="685">
        <v>0</v>
      </c>
      <c r="AF24" s="685">
        <v>0</v>
      </c>
      <c r="AG24" s="166">
        <f t="shared" si="0"/>
        <v>36666082.469999999</v>
      </c>
    </row>
    <row r="25" spans="1:33">
      <c r="A25" s="167" t="s">
        <v>1126</v>
      </c>
      <c r="B25" s="167" t="s">
        <v>1127</v>
      </c>
      <c r="C25" s="685">
        <v>9792355.8699999992</v>
      </c>
      <c r="D25" s="685">
        <v>0</v>
      </c>
      <c r="E25" s="685">
        <v>16313326.9</v>
      </c>
      <c r="F25" s="545">
        <v>0</v>
      </c>
      <c r="G25" s="545">
        <v>0</v>
      </c>
      <c r="H25" s="545">
        <v>0</v>
      </c>
      <c r="I25" s="685">
        <v>89042919.260000005</v>
      </c>
      <c r="J25" s="685">
        <v>1619600.5</v>
      </c>
      <c r="K25" s="685">
        <v>33158029.640000001</v>
      </c>
      <c r="L25" s="685">
        <v>0</v>
      </c>
      <c r="M25" s="685">
        <v>0</v>
      </c>
      <c r="N25" s="931">
        <v>0</v>
      </c>
      <c r="O25" s="931">
        <v>0</v>
      </c>
      <c r="P25" s="931">
        <v>0</v>
      </c>
      <c r="Q25" s="931">
        <v>23959</v>
      </c>
      <c r="R25" s="931">
        <v>53725.98</v>
      </c>
      <c r="S25" s="931">
        <v>0</v>
      </c>
      <c r="T25" s="931">
        <v>0</v>
      </c>
      <c r="U25" s="685">
        <v>30037611.43</v>
      </c>
      <c r="V25" s="685">
        <v>717722.24</v>
      </c>
      <c r="W25" s="685">
        <v>10295877.01</v>
      </c>
      <c r="X25" s="685">
        <v>0</v>
      </c>
      <c r="Y25" s="685">
        <v>0</v>
      </c>
      <c r="Z25" s="685">
        <v>0</v>
      </c>
      <c r="AA25" s="685">
        <v>0</v>
      </c>
      <c r="AB25" s="685">
        <v>0</v>
      </c>
      <c r="AC25" s="685">
        <v>15972.67</v>
      </c>
      <c r="AD25" s="685">
        <v>7835.03</v>
      </c>
      <c r="AE25" s="685">
        <v>0</v>
      </c>
      <c r="AF25" s="685">
        <v>0</v>
      </c>
      <c r="AG25" s="166">
        <f t="shared" si="0"/>
        <v>108928898.77</v>
      </c>
    </row>
    <row r="26" spans="1:33">
      <c r="A26" s="167" t="s">
        <v>1129</v>
      </c>
      <c r="B26" s="167" t="s">
        <v>1130</v>
      </c>
      <c r="C26" s="685">
        <v>5165802.42</v>
      </c>
      <c r="D26" s="685">
        <v>0</v>
      </c>
      <c r="E26" s="685">
        <v>2690285.28</v>
      </c>
      <c r="F26" s="545">
        <v>0</v>
      </c>
      <c r="G26" s="545">
        <v>0</v>
      </c>
      <c r="H26" s="545">
        <v>1134331</v>
      </c>
      <c r="I26" s="685">
        <v>137612941.81999999</v>
      </c>
      <c r="J26" s="685">
        <v>4373790.04</v>
      </c>
      <c r="K26" s="685">
        <v>18397877.82</v>
      </c>
      <c r="L26" s="685">
        <v>0</v>
      </c>
      <c r="M26" s="685">
        <v>0</v>
      </c>
      <c r="N26" s="931">
        <v>0</v>
      </c>
      <c r="O26" s="931">
        <v>0</v>
      </c>
      <c r="P26" s="931">
        <v>0</v>
      </c>
      <c r="Q26" s="931">
        <v>0</v>
      </c>
      <c r="R26" s="931">
        <v>969258.69</v>
      </c>
      <c r="S26" s="931">
        <v>0</v>
      </c>
      <c r="T26" s="931">
        <v>0</v>
      </c>
      <c r="U26" s="685">
        <v>37486941.710000001</v>
      </c>
      <c r="V26" s="685">
        <v>1532257.93</v>
      </c>
      <c r="W26" s="685">
        <v>8211066.6699999999</v>
      </c>
      <c r="X26" s="685">
        <v>0</v>
      </c>
      <c r="Y26" s="685">
        <v>0</v>
      </c>
      <c r="Z26" s="685">
        <v>0</v>
      </c>
      <c r="AA26" s="685">
        <v>0</v>
      </c>
      <c r="AB26" s="685">
        <v>0</v>
      </c>
      <c r="AC26" s="685">
        <v>0</v>
      </c>
      <c r="AD26" s="685">
        <v>373289.88</v>
      </c>
      <c r="AE26" s="685">
        <v>0</v>
      </c>
      <c r="AF26" s="685">
        <v>0</v>
      </c>
      <c r="AG26" s="166">
        <f t="shared" si="0"/>
        <v>122740730.88</v>
      </c>
    </row>
    <row r="27" spans="1:33">
      <c r="A27" s="167" t="s">
        <v>1132</v>
      </c>
      <c r="B27" s="167" t="s">
        <v>1133</v>
      </c>
      <c r="C27" s="685">
        <v>1407138.31</v>
      </c>
      <c r="D27" s="685">
        <v>54729</v>
      </c>
      <c r="E27" s="685">
        <v>1711543.12</v>
      </c>
      <c r="F27" s="545">
        <v>0</v>
      </c>
      <c r="G27" s="545">
        <v>0</v>
      </c>
      <c r="H27" s="545">
        <v>0</v>
      </c>
      <c r="I27" s="685">
        <v>88227120.790000007</v>
      </c>
      <c r="J27" s="685">
        <v>5365739.32</v>
      </c>
      <c r="K27" s="685">
        <v>10908346.02</v>
      </c>
      <c r="L27" s="685">
        <v>0</v>
      </c>
      <c r="M27" s="685">
        <v>0</v>
      </c>
      <c r="N27" s="931">
        <v>0</v>
      </c>
      <c r="O27" s="931">
        <v>0</v>
      </c>
      <c r="P27" s="931">
        <v>0</v>
      </c>
      <c r="Q27" s="931">
        <v>223363.82</v>
      </c>
      <c r="R27" s="931">
        <v>59465.93</v>
      </c>
      <c r="S27" s="931">
        <v>599415.6</v>
      </c>
      <c r="T27" s="931">
        <v>0</v>
      </c>
      <c r="U27" s="685">
        <v>26082264.82</v>
      </c>
      <c r="V27" s="685">
        <v>1853079.5</v>
      </c>
      <c r="W27" s="685">
        <v>4781294.42</v>
      </c>
      <c r="X27" s="685">
        <v>0</v>
      </c>
      <c r="Y27" s="685">
        <v>0</v>
      </c>
      <c r="Z27" s="685">
        <v>0</v>
      </c>
      <c r="AA27" s="685">
        <v>0</v>
      </c>
      <c r="AB27" s="685">
        <v>16560</v>
      </c>
      <c r="AC27" s="685">
        <v>0</v>
      </c>
      <c r="AD27" s="685">
        <v>0</v>
      </c>
      <c r="AE27" s="685">
        <v>0</v>
      </c>
      <c r="AF27" s="685">
        <v>0</v>
      </c>
      <c r="AG27" s="166">
        <f t="shared" si="0"/>
        <v>75823663.170000002</v>
      </c>
    </row>
    <row r="28" spans="1:33">
      <c r="A28" s="167" t="s">
        <v>1135</v>
      </c>
      <c r="B28" s="167" t="s">
        <v>1136</v>
      </c>
      <c r="C28" s="685">
        <v>22229285.859999999</v>
      </c>
      <c r="D28" s="685">
        <v>0</v>
      </c>
      <c r="E28" s="685">
        <v>1075971.58</v>
      </c>
      <c r="F28" s="545">
        <v>0</v>
      </c>
      <c r="G28" s="545">
        <v>0</v>
      </c>
      <c r="H28" s="545">
        <v>0</v>
      </c>
      <c r="I28" s="685">
        <v>255087732.33000001</v>
      </c>
      <c r="J28" s="685">
        <v>24733369.82</v>
      </c>
      <c r="K28" s="685">
        <v>50549234.43</v>
      </c>
      <c r="L28" s="685">
        <v>0</v>
      </c>
      <c r="M28" s="685">
        <v>0</v>
      </c>
      <c r="N28" s="931">
        <v>0</v>
      </c>
      <c r="O28" s="931">
        <v>0</v>
      </c>
      <c r="P28" s="931">
        <v>0</v>
      </c>
      <c r="Q28" s="931">
        <v>7767873.6600000001</v>
      </c>
      <c r="R28" s="931">
        <v>110891.23</v>
      </c>
      <c r="S28" s="931">
        <v>0</v>
      </c>
      <c r="T28" s="931">
        <v>0</v>
      </c>
      <c r="U28" s="685">
        <v>67197159.599999994</v>
      </c>
      <c r="V28" s="685">
        <v>5918461.0199999996</v>
      </c>
      <c r="W28" s="685">
        <v>20791003.579999998</v>
      </c>
      <c r="X28" s="685">
        <v>0</v>
      </c>
      <c r="Y28" s="685">
        <v>0</v>
      </c>
      <c r="Z28" s="685">
        <v>0</v>
      </c>
      <c r="AA28" s="685">
        <v>0</v>
      </c>
      <c r="AB28" s="685">
        <v>0</v>
      </c>
      <c r="AC28" s="685">
        <v>5466422.8300000001</v>
      </c>
      <c r="AD28" s="685">
        <v>36496.379999999997</v>
      </c>
      <c r="AE28" s="685">
        <v>0</v>
      </c>
      <c r="AF28" s="685">
        <v>0</v>
      </c>
      <c r="AG28" s="166">
        <f t="shared" si="0"/>
        <v>262144815.5</v>
      </c>
    </row>
    <row r="29" spans="1:33">
      <c r="A29" s="167" t="s">
        <v>1138</v>
      </c>
      <c r="B29" s="167" t="s">
        <v>1139</v>
      </c>
      <c r="C29" s="685">
        <v>194800</v>
      </c>
      <c r="D29" s="685">
        <v>0</v>
      </c>
      <c r="E29" s="685">
        <v>0</v>
      </c>
      <c r="F29" s="545">
        <v>0</v>
      </c>
      <c r="G29" s="545">
        <v>0</v>
      </c>
      <c r="H29" s="545">
        <v>0</v>
      </c>
      <c r="I29" s="685">
        <v>24013501.859999999</v>
      </c>
      <c r="J29" s="685">
        <v>592177.06999999995</v>
      </c>
      <c r="K29" s="685">
        <v>3343281.49</v>
      </c>
      <c r="L29" s="685">
        <v>0</v>
      </c>
      <c r="M29" s="685">
        <v>0</v>
      </c>
      <c r="N29" s="931">
        <v>0</v>
      </c>
      <c r="O29" s="931">
        <v>0</v>
      </c>
      <c r="P29" s="931">
        <v>0</v>
      </c>
      <c r="Q29" s="931">
        <v>0</v>
      </c>
      <c r="R29" s="931">
        <v>140970.98000000001</v>
      </c>
      <c r="S29" s="931">
        <v>0</v>
      </c>
      <c r="T29" s="931">
        <v>0</v>
      </c>
      <c r="U29" s="685">
        <v>9509326.1099999994</v>
      </c>
      <c r="V29" s="685">
        <v>228727.04000000001</v>
      </c>
      <c r="W29" s="685">
        <v>2442377.71</v>
      </c>
      <c r="X29" s="685">
        <v>0</v>
      </c>
      <c r="Y29" s="685">
        <v>0</v>
      </c>
      <c r="Z29" s="685">
        <v>0</v>
      </c>
      <c r="AA29" s="685">
        <v>0</v>
      </c>
      <c r="AB29" s="685">
        <v>0</v>
      </c>
      <c r="AC29" s="685">
        <v>0</v>
      </c>
      <c r="AD29" s="685">
        <v>33474.42</v>
      </c>
      <c r="AE29" s="685">
        <v>0</v>
      </c>
      <c r="AF29" s="685">
        <v>0</v>
      </c>
      <c r="AG29" s="166">
        <f t="shared" si="0"/>
        <v>16070826.119999999</v>
      </c>
    </row>
    <row r="30" spans="1:33">
      <c r="A30" s="167" t="s">
        <v>1141</v>
      </c>
      <c r="B30" s="167" t="s">
        <v>1142</v>
      </c>
      <c r="C30" s="685">
        <v>5239575.09</v>
      </c>
      <c r="D30" s="685">
        <v>0</v>
      </c>
      <c r="E30" s="685">
        <v>6690468.5099999998</v>
      </c>
      <c r="F30" s="545">
        <v>0</v>
      </c>
      <c r="G30" s="545">
        <v>0</v>
      </c>
      <c r="H30" s="545">
        <v>0</v>
      </c>
      <c r="I30" s="685">
        <v>41505753.020000003</v>
      </c>
      <c r="J30" s="685">
        <v>3697346.22</v>
      </c>
      <c r="K30" s="685">
        <v>8622158.2799999993</v>
      </c>
      <c r="L30" s="685">
        <v>0</v>
      </c>
      <c r="M30" s="685">
        <v>0</v>
      </c>
      <c r="N30" s="931">
        <v>0</v>
      </c>
      <c r="O30" s="931">
        <v>0</v>
      </c>
      <c r="P30" s="931">
        <v>0</v>
      </c>
      <c r="Q30" s="931">
        <v>0</v>
      </c>
      <c r="R30" s="931">
        <v>0</v>
      </c>
      <c r="S30" s="931">
        <v>0</v>
      </c>
      <c r="T30" s="931">
        <v>0</v>
      </c>
      <c r="U30" s="685">
        <v>15338483.82</v>
      </c>
      <c r="V30" s="685">
        <v>1134161.24</v>
      </c>
      <c r="W30" s="685">
        <v>6624210.0899999999</v>
      </c>
      <c r="X30" s="685">
        <v>0</v>
      </c>
      <c r="Y30" s="685">
        <v>0</v>
      </c>
      <c r="Z30" s="685">
        <v>0</v>
      </c>
      <c r="AA30" s="685">
        <v>0</v>
      </c>
      <c r="AB30" s="685">
        <v>0</v>
      </c>
      <c r="AC30" s="685">
        <v>0</v>
      </c>
      <c r="AD30" s="685">
        <v>0</v>
      </c>
      <c r="AE30" s="685">
        <v>0</v>
      </c>
      <c r="AF30" s="685">
        <v>0</v>
      </c>
      <c r="AG30" s="166">
        <f t="shared" si="0"/>
        <v>42658445.969999999</v>
      </c>
    </row>
    <row r="31" spans="1:33">
      <c r="A31" s="167" t="s">
        <v>1144</v>
      </c>
      <c r="B31" s="167" t="s">
        <v>1145</v>
      </c>
      <c r="C31" s="685">
        <v>1326209.44</v>
      </c>
      <c r="D31" s="685">
        <v>62305</v>
      </c>
      <c r="E31" s="685">
        <v>94939.8</v>
      </c>
      <c r="F31" s="545">
        <v>0</v>
      </c>
      <c r="G31" s="545">
        <v>0</v>
      </c>
      <c r="H31" s="545">
        <v>0</v>
      </c>
      <c r="I31" s="685">
        <v>38255359.240000002</v>
      </c>
      <c r="J31" s="685">
        <v>805692.82</v>
      </c>
      <c r="K31" s="685">
        <v>9253301.4399999995</v>
      </c>
      <c r="L31" s="685">
        <v>0</v>
      </c>
      <c r="M31" s="685">
        <v>0</v>
      </c>
      <c r="N31" s="931">
        <v>0</v>
      </c>
      <c r="O31" s="931">
        <v>0</v>
      </c>
      <c r="P31" s="931">
        <v>0</v>
      </c>
      <c r="Q31" s="931">
        <v>262055.86</v>
      </c>
      <c r="R31" s="931">
        <v>0</v>
      </c>
      <c r="S31" s="931">
        <v>0</v>
      </c>
      <c r="T31" s="931">
        <v>0</v>
      </c>
      <c r="U31" s="685">
        <v>18215491</v>
      </c>
      <c r="V31" s="685">
        <v>514403.24</v>
      </c>
      <c r="W31" s="685">
        <v>4005390.6</v>
      </c>
      <c r="X31" s="685">
        <v>0</v>
      </c>
      <c r="Y31" s="685">
        <v>0</v>
      </c>
      <c r="Z31" s="685">
        <v>0</v>
      </c>
      <c r="AA31" s="685">
        <v>0</v>
      </c>
      <c r="AB31" s="685">
        <v>0</v>
      </c>
      <c r="AC31" s="685">
        <v>55322.93</v>
      </c>
      <c r="AD31" s="685">
        <v>0</v>
      </c>
      <c r="AE31" s="685">
        <v>0</v>
      </c>
      <c r="AF31" s="685">
        <v>0</v>
      </c>
      <c r="AG31" s="166">
        <f t="shared" si="0"/>
        <v>27269255.829999998</v>
      </c>
    </row>
    <row r="32" spans="1:33">
      <c r="A32" s="167" t="s">
        <v>1147</v>
      </c>
      <c r="B32" s="167" t="s">
        <v>1148</v>
      </c>
      <c r="C32" s="685">
        <v>210264.05</v>
      </c>
      <c r="D32" s="685">
        <v>0</v>
      </c>
      <c r="E32" s="685">
        <v>31847.5</v>
      </c>
      <c r="F32" s="545">
        <v>0</v>
      </c>
      <c r="G32" s="545">
        <v>0</v>
      </c>
      <c r="H32" s="545">
        <v>0</v>
      </c>
      <c r="I32" s="685">
        <v>18924678.670000002</v>
      </c>
      <c r="J32" s="685">
        <v>2385681.7000000002</v>
      </c>
      <c r="K32" s="685">
        <v>2561887.15</v>
      </c>
      <c r="L32" s="685">
        <v>0</v>
      </c>
      <c r="M32" s="685">
        <v>0</v>
      </c>
      <c r="N32" s="931">
        <v>0</v>
      </c>
      <c r="O32" s="931">
        <v>0</v>
      </c>
      <c r="P32" s="931">
        <v>0</v>
      </c>
      <c r="Q32" s="931">
        <v>0</v>
      </c>
      <c r="R32" s="931">
        <v>0</v>
      </c>
      <c r="S32" s="931">
        <v>0</v>
      </c>
      <c r="T32" s="931">
        <v>0</v>
      </c>
      <c r="U32" s="685">
        <v>6783614.0800000001</v>
      </c>
      <c r="V32" s="685">
        <v>687101.16</v>
      </c>
      <c r="W32" s="685">
        <v>1201730.3799999999</v>
      </c>
      <c r="X32" s="685">
        <v>0</v>
      </c>
      <c r="Y32" s="685">
        <v>0</v>
      </c>
      <c r="Z32" s="685">
        <v>0</v>
      </c>
      <c r="AA32" s="685">
        <v>0</v>
      </c>
      <c r="AB32" s="685">
        <v>0</v>
      </c>
      <c r="AC32" s="685">
        <v>0</v>
      </c>
      <c r="AD32" s="685">
        <v>0</v>
      </c>
      <c r="AE32" s="685">
        <v>0</v>
      </c>
      <c r="AF32" s="685">
        <v>0</v>
      </c>
      <c r="AG32" s="166">
        <f t="shared" si="0"/>
        <v>15441913.449999999</v>
      </c>
    </row>
    <row r="33" spans="1:33">
      <c r="A33" s="167" t="s">
        <v>1150</v>
      </c>
      <c r="B33" s="167" t="s">
        <v>1151</v>
      </c>
      <c r="C33" s="685">
        <v>5456219.54</v>
      </c>
      <c r="D33" s="685">
        <v>0</v>
      </c>
      <c r="E33" s="685">
        <v>11987404.630000001</v>
      </c>
      <c r="F33" s="545">
        <v>0</v>
      </c>
      <c r="G33" s="545">
        <v>0</v>
      </c>
      <c r="H33" s="545">
        <v>0</v>
      </c>
      <c r="I33" s="685">
        <v>65919691.619999997</v>
      </c>
      <c r="J33" s="685">
        <v>8254049.9000000004</v>
      </c>
      <c r="K33" s="685">
        <v>13002281.880000001</v>
      </c>
      <c r="L33" s="685">
        <v>0</v>
      </c>
      <c r="M33" s="685">
        <v>0</v>
      </c>
      <c r="N33" s="931">
        <v>0</v>
      </c>
      <c r="O33" s="931">
        <v>0</v>
      </c>
      <c r="P33" s="931">
        <v>0</v>
      </c>
      <c r="Q33" s="931">
        <v>0</v>
      </c>
      <c r="R33" s="931">
        <v>0</v>
      </c>
      <c r="S33" s="931">
        <v>0</v>
      </c>
      <c r="T33" s="931">
        <v>0</v>
      </c>
      <c r="U33" s="685">
        <v>22095199.969999999</v>
      </c>
      <c r="V33" s="685">
        <v>2671452.63</v>
      </c>
      <c r="W33" s="685">
        <v>9098732.6999999993</v>
      </c>
      <c r="X33" s="685">
        <v>0</v>
      </c>
      <c r="Y33" s="685">
        <v>0</v>
      </c>
      <c r="Z33" s="685">
        <v>0</v>
      </c>
      <c r="AA33" s="685">
        <v>0</v>
      </c>
      <c r="AB33" s="685">
        <v>0</v>
      </c>
      <c r="AC33" s="685">
        <v>0</v>
      </c>
      <c r="AD33" s="685">
        <v>0</v>
      </c>
      <c r="AE33" s="685">
        <v>0</v>
      </c>
      <c r="AF33" s="685">
        <v>0</v>
      </c>
      <c r="AG33" s="166">
        <f t="shared" si="0"/>
        <v>70754262.269999996</v>
      </c>
    </row>
    <row r="34" spans="1:33">
      <c r="A34" s="167" t="s">
        <v>1153</v>
      </c>
      <c r="B34" s="167" t="s">
        <v>1154</v>
      </c>
      <c r="C34" s="685">
        <v>1700529.31</v>
      </c>
      <c r="D34" s="685">
        <v>0</v>
      </c>
      <c r="E34" s="685">
        <v>595809.1</v>
      </c>
      <c r="F34" s="545">
        <v>0</v>
      </c>
      <c r="G34" s="545">
        <v>0</v>
      </c>
      <c r="H34" s="545">
        <v>0</v>
      </c>
      <c r="I34" s="685">
        <v>33124751.760000002</v>
      </c>
      <c r="J34" s="685">
        <v>4476120.05</v>
      </c>
      <c r="K34" s="685">
        <v>13023345.789999999</v>
      </c>
      <c r="L34" s="685">
        <v>0</v>
      </c>
      <c r="M34" s="685">
        <v>0</v>
      </c>
      <c r="N34" s="931">
        <v>0</v>
      </c>
      <c r="O34" s="931">
        <v>0</v>
      </c>
      <c r="P34" s="931">
        <v>448623.97</v>
      </c>
      <c r="Q34" s="931">
        <v>0</v>
      </c>
      <c r="R34" s="931">
        <v>40182.089999999997</v>
      </c>
      <c r="S34" s="931">
        <v>0</v>
      </c>
      <c r="T34" s="931">
        <v>0</v>
      </c>
      <c r="U34" s="685">
        <v>15372773.619999999</v>
      </c>
      <c r="V34" s="685">
        <v>2026054.27</v>
      </c>
      <c r="W34" s="685">
        <v>5498210.9100000001</v>
      </c>
      <c r="X34" s="685">
        <v>0</v>
      </c>
      <c r="Y34" s="685">
        <v>0</v>
      </c>
      <c r="Z34" s="685">
        <v>0</v>
      </c>
      <c r="AA34" s="685">
        <v>0</v>
      </c>
      <c r="AB34" s="685">
        <v>14954.13</v>
      </c>
      <c r="AC34" s="685">
        <v>0</v>
      </c>
      <c r="AD34" s="685">
        <v>28363.83</v>
      </c>
      <c r="AE34" s="685">
        <v>0</v>
      </c>
      <c r="AF34" s="685">
        <v>0</v>
      </c>
      <c r="AG34" s="166">
        <f t="shared" si="0"/>
        <v>30469005.309999999</v>
      </c>
    </row>
    <row r="35" spans="1:33">
      <c r="A35" s="167" t="s">
        <v>1156</v>
      </c>
      <c r="B35" s="167" t="s">
        <v>1157</v>
      </c>
      <c r="C35" s="685">
        <v>166280</v>
      </c>
      <c r="D35" s="685">
        <v>0</v>
      </c>
      <c r="E35" s="685">
        <v>23200</v>
      </c>
      <c r="F35" s="545">
        <v>0</v>
      </c>
      <c r="G35" s="545">
        <v>0</v>
      </c>
      <c r="H35" s="545">
        <v>0</v>
      </c>
      <c r="I35" s="685">
        <v>10470301.640000001</v>
      </c>
      <c r="J35" s="685">
        <v>2236003.9300000002</v>
      </c>
      <c r="K35" s="685">
        <v>3888696.2</v>
      </c>
      <c r="L35" s="685">
        <v>0</v>
      </c>
      <c r="M35" s="685">
        <v>0</v>
      </c>
      <c r="N35" s="931">
        <v>0</v>
      </c>
      <c r="O35" s="931">
        <v>0</v>
      </c>
      <c r="P35" s="931">
        <v>0</v>
      </c>
      <c r="Q35" s="931">
        <v>0</v>
      </c>
      <c r="R35" s="931">
        <v>45219</v>
      </c>
      <c r="S35" s="931">
        <v>0</v>
      </c>
      <c r="T35" s="931">
        <v>0</v>
      </c>
      <c r="U35" s="685">
        <v>5629647.8099999996</v>
      </c>
      <c r="V35" s="685">
        <v>736534.36</v>
      </c>
      <c r="W35" s="685">
        <v>1750669.35</v>
      </c>
      <c r="X35" s="685">
        <v>0</v>
      </c>
      <c r="Y35" s="685">
        <v>0</v>
      </c>
      <c r="Z35" s="685">
        <v>0</v>
      </c>
      <c r="AA35" s="685">
        <v>0</v>
      </c>
      <c r="AB35" s="685">
        <v>0</v>
      </c>
      <c r="AC35" s="685">
        <v>0</v>
      </c>
      <c r="AD35" s="685">
        <v>15047</v>
      </c>
      <c r="AE35" s="685">
        <v>0</v>
      </c>
      <c r="AF35" s="685">
        <v>0</v>
      </c>
      <c r="AG35" s="166">
        <f t="shared" si="0"/>
        <v>8697802.25</v>
      </c>
    </row>
    <row r="36" spans="1:33">
      <c r="A36" s="167" t="s">
        <v>1159</v>
      </c>
      <c r="B36" s="167" t="s">
        <v>1160</v>
      </c>
      <c r="C36" s="685">
        <v>838445.42</v>
      </c>
      <c r="D36" s="685">
        <v>0</v>
      </c>
      <c r="E36" s="685">
        <v>5109871.7300000004</v>
      </c>
      <c r="F36" s="545">
        <v>0</v>
      </c>
      <c r="G36" s="545">
        <v>0</v>
      </c>
      <c r="H36" s="545">
        <v>0</v>
      </c>
      <c r="I36" s="685">
        <v>19732025.300000001</v>
      </c>
      <c r="J36" s="685">
        <v>568311.87</v>
      </c>
      <c r="K36" s="685">
        <v>5308210.9400000004</v>
      </c>
      <c r="L36" s="685">
        <v>0</v>
      </c>
      <c r="M36" s="685">
        <v>0</v>
      </c>
      <c r="N36" s="931">
        <v>0</v>
      </c>
      <c r="O36" s="931">
        <v>0</v>
      </c>
      <c r="P36" s="931">
        <v>0</v>
      </c>
      <c r="Q36" s="931">
        <v>0</v>
      </c>
      <c r="R36" s="931">
        <v>16958.75</v>
      </c>
      <c r="S36" s="931">
        <v>0</v>
      </c>
      <c r="T36" s="931">
        <v>0</v>
      </c>
      <c r="U36" s="685">
        <v>5197763.21</v>
      </c>
      <c r="V36" s="685">
        <v>303571.73</v>
      </c>
      <c r="W36" s="685">
        <v>1958958.03</v>
      </c>
      <c r="X36" s="685">
        <v>0</v>
      </c>
      <c r="Y36" s="685">
        <v>0</v>
      </c>
      <c r="Z36" s="685">
        <v>0</v>
      </c>
      <c r="AA36" s="685">
        <v>0</v>
      </c>
      <c r="AB36" s="685">
        <v>0</v>
      </c>
      <c r="AC36" s="685">
        <v>0</v>
      </c>
      <c r="AD36" s="685">
        <v>5087.6499999999996</v>
      </c>
      <c r="AE36" s="685">
        <v>0</v>
      </c>
      <c r="AF36" s="685">
        <v>0</v>
      </c>
      <c r="AG36" s="166">
        <f t="shared" si="0"/>
        <v>24108443.390000001</v>
      </c>
    </row>
    <row r="37" spans="1:33">
      <c r="A37" s="167" t="s">
        <v>1162</v>
      </c>
      <c r="B37" s="167" t="s">
        <v>1163</v>
      </c>
      <c r="C37" s="685">
        <v>439872.79</v>
      </c>
      <c r="D37" s="685">
        <v>0</v>
      </c>
      <c r="E37" s="685">
        <v>0</v>
      </c>
      <c r="F37" s="545">
        <v>0</v>
      </c>
      <c r="G37" s="545">
        <v>0</v>
      </c>
      <c r="H37" s="545">
        <v>0</v>
      </c>
      <c r="I37" s="685">
        <v>15237893.08</v>
      </c>
      <c r="J37" s="685">
        <v>722685.06</v>
      </c>
      <c r="K37" s="685">
        <v>2462278.85</v>
      </c>
      <c r="L37" s="685">
        <v>0</v>
      </c>
      <c r="M37" s="685">
        <v>0</v>
      </c>
      <c r="N37" s="931">
        <v>0</v>
      </c>
      <c r="O37" s="931">
        <v>0</v>
      </c>
      <c r="P37" s="931">
        <v>0</v>
      </c>
      <c r="Q37" s="931">
        <v>0</v>
      </c>
      <c r="R37" s="931">
        <v>0</v>
      </c>
      <c r="S37" s="931">
        <v>0</v>
      </c>
      <c r="T37" s="931">
        <v>0</v>
      </c>
      <c r="U37" s="685">
        <v>6438102.9900000002</v>
      </c>
      <c r="V37" s="685">
        <v>437245.66</v>
      </c>
      <c r="W37" s="685">
        <v>970929.6</v>
      </c>
      <c r="X37" s="685">
        <v>0</v>
      </c>
      <c r="Y37" s="685">
        <v>0</v>
      </c>
      <c r="Z37" s="685">
        <v>0</v>
      </c>
      <c r="AA37" s="685">
        <v>0</v>
      </c>
      <c r="AB37" s="685">
        <v>0</v>
      </c>
      <c r="AC37" s="685">
        <v>0</v>
      </c>
      <c r="AD37" s="685">
        <v>0</v>
      </c>
      <c r="AE37" s="685">
        <v>0</v>
      </c>
      <c r="AF37" s="685">
        <v>0</v>
      </c>
      <c r="AG37" s="166">
        <f t="shared" si="0"/>
        <v>11016451.529999999</v>
      </c>
    </row>
    <row r="38" spans="1:33">
      <c r="A38" s="167" t="s">
        <v>1165</v>
      </c>
      <c r="B38" s="167" t="s">
        <v>1166</v>
      </c>
      <c r="C38" s="685">
        <v>4486351.28</v>
      </c>
      <c r="D38" s="685">
        <v>0</v>
      </c>
      <c r="E38" s="685">
        <v>0</v>
      </c>
      <c r="F38" s="545">
        <v>0</v>
      </c>
      <c r="G38" s="545">
        <v>0</v>
      </c>
      <c r="H38" s="545">
        <v>0</v>
      </c>
      <c r="I38" s="685">
        <v>40377158.439999998</v>
      </c>
      <c r="J38" s="685">
        <v>2576927.65</v>
      </c>
      <c r="K38" s="685">
        <v>6247652.9400000004</v>
      </c>
      <c r="L38" s="685">
        <v>0</v>
      </c>
      <c r="M38" s="685">
        <v>0</v>
      </c>
      <c r="N38" s="931">
        <v>0</v>
      </c>
      <c r="O38" s="931">
        <v>0</v>
      </c>
      <c r="P38" s="931">
        <v>0</v>
      </c>
      <c r="Q38" s="931">
        <v>456299</v>
      </c>
      <c r="R38" s="931">
        <v>161404</v>
      </c>
      <c r="S38" s="931">
        <v>0</v>
      </c>
      <c r="T38" s="931">
        <v>0</v>
      </c>
      <c r="U38" s="685">
        <v>11491665.84</v>
      </c>
      <c r="V38" s="685">
        <v>864212.35</v>
      </c>
      <c r="W38" s="685">
        <v>2996645.23</v>
      </c>
      <c r="X38" s="685">
        <v>0</v>
      </c>
      <c r="Y38" s="685">
        <v>0</v>
      </c>
      <c r="Z38" s="685">
        <v>0</v>
      </c>
      <c r="AA38" s="685">
        <v>0</v>
      </c>
      <c r="AB38" s="685">
        <v>0</v>
      </c>
      <c r="AC38" s="685">
        <v>63670</v>
      </c>
      <c r="AD38" s="685">
        <v>47240</v>
      </c>
      <c r="AE38" s="685">
        <v>0</v>
      </c>
      <c r="AF38" s="685">
        <v>0</v>
      </c>
      <c r="AG38" s="166">
        <f t="shared" ref="AG38:AG62" si="1">SUM(C38:S38)-SUM(U38:AE38)</f>
        <v>38842359.890000001</v>
      </c>
    </row>
    <row r="39" spans="1:33">
      <c r="A39" s="167" t="s">
        <v>1168</v>
      </c>
      <c r="B39" s="167" t="s">
        <v>1169</v>
      </c>
      <c r="C39" s="685">
        <v>442186.23999999999</v>
      </c>
      <c r="D39" s="685">
        <v>74744.160000000003</v>
      </c>
      <c r="E39" s="685">
        <v>2957842.49</v>
      </c>
      <c r="F39" s="545">
        <v>0</v>
      </c>
      <c r="G39" s="545">
        <v>0</v>
      </c>
      <c r="H39" s="545">
        <v>0</v>
      </c>
      <c r="I39" s="685">
        <v>11740505.189999999</v>
      </c>
      <c r="J39" s="685">
        <v>1343085.98</v>
      </c>
      <c r="K39" s="685">
        <v>3791596.93</v>
      </c>
      <c r="L39" s="685">
        <v>0</v>
      </c>
      <c r="M39" s="685">
        <v>0</v>
      </c>
      <c r="N39" s="931">
        <v>0</v>
      </c>
      <c r="O39" s="931">
        <v>0</v>
      </c>
      <c r="P39" s="931">
        <v>0</v>
      </c>
      <c r="Q39" s="931">
        <v>0</v>
      </c>
      <c r="R39" s="931">
        <v>0</v>
      </c>
      <c r="S39" s="931">
        <v>0</v>
      </c>
      <c r="T39" s="931">
        <v>0</v>
      </c>
      <c r="U39" s="685">
        <v>4937118.5999999996</v>
      </c>
      <c r="V39" s="685">
        <v>270523.23</v>
      </c>
      <c r="W39" s="685">
        <v>1409189.65</v>
      </c>
      <c r="X39" s="685">
        <v>0</v>
      </c>
      <c r="Y39" s="685">
        <v>0</v>
      </c>
      <c r="Z39" s="685">
        <v>0</v>
      </c>
      <c r="AA39" s="685">
        <v>0</v>
      </c>
      <c r="AB39" s="685">
        <v>0</v>
      </c>
      <c r="AC39" s="685">
        <v>0</v>
      </c>
      <c r="AD39" s="685">
        <v>0</v>
      </c>
      <c r="AE39" s="685">
        <v>0</v>
      </c>
      <c r="AF39" s="685">
        <v>0</v>
      </c>
      <c r="AG39" s="166">
        <f t="shared" si="1"/>
        <v>13733129.51</v>
      </c>
    </row>
    <row r="40" spans="1:33">
      <c r="A40" s="167" t="s">
        <v>1171</v>
      </c>
      <c r="B40" s="167" t="s">
        <v>1172</v>
      </c>
      <c r="C40" s="685">
        <v>1902974.99</v>
      </c>
      <c r="D40" s="685">
        <v>0</v>
      </c>
      <c r="E40" s="685">
        <v>159930.60999999999</v>
      </c>
      <c r="F40" s="545">
        <v>0</v>
      </c>
      <c r="G40" s="545">
        <v>0</v>
      </c>
      <c r="H40" s="545">
        <v>0</v>
      </c>
      <c r="I40" s="685">
        <v>39305334.25</v>
      </c>
      <c r="J40" s="685">
        <v>3240087.63</v>
      </c>
      <c r="K40" s="685">
        <v>10539453.359999999</v>
      </c>
      <c r="L40" s="685">
        <v>0</v>
      </c>
      <c r="M40" s="685">
        <v>0</v>
      </c>
      <c r="N40" s="931">
        <v>0</v>
      </c>
      <c r="O40" s="931">
        <v>0</v>
      </c>
      <c r="P40" s="931">
        <v>0</v>
      </c>
      <c r="Q40" s="931">
        <v>0</v>
      </c>
      <c r="R40" s="931">
        <v>409928</v>
      </c>
      <c r="S40" s="931">
        <v>0</v>
      </c>
      <c r="T40" s="931">
        <v>0</v>
      </c>
      <c r="U40" s="685">
        <v>15667091.039999999</v>
      </c>
      <c r="V40" s="685">
        <v>1943916.23</v>
      </c>
      <c r="W40" s="685">
        <v>4944906.43</v>
      </c>
      <c r="X40" s="685">
        <v>0</v>
      </c>
      <c r="Y40" s="685">
        <v>0</v>
      </c>
      <c r="Z40" s="685">
        <v>0</v>
      </c>
      <c r="AA40" s="685">
        <v>0</v>
      </c>
      <c r="AB40" s="685">
        <v>0</v>
      </c>
      <c r="AC40" s="685">
        <v>0</v>
      </c>
      <c r="AD40" s="685">
        <v>107776.07</v>
      </c>
      <c r="AE40" s="685">
        <v>0</v>
      </c>
      <c r="AF40" s="685">
        <v>0</v>
      </c>
      <c r="AG40" s="166">
        <f t="shared" si="1"/>
        <v>32894019.07</v>
      </c>
    </row>
    <row r="41" spans="1:33">
      <c r="A41" s="167" t="s">
        <v>1174</v>
      </c>
      <c r="B41" s="167" t="s">
        <v>1175</v>
      </c>
      <c r="C41" s="685">
        <v>381050</v>
      </c>
      <c r="D41" s="685">
        <v>5000</v>
      </c>
      <c r="E41" s="685">
        <v>4557777.34</v>
      </c>
      <c r="F41" s="545">
        <v>0</v>
      </c>
      <c r="G41" s="545">
        <v>0</v>
      </c>
      <c r="H41" s="545">
        <v>0</v>
      </c>
      <c r="I41" s="685">
        <v>8870998.6799999997</v>
      </c>
      <c r="J41" s="685">
        <v>184496.72</v>
      </c>
      <c r="K41" s="685">
        <v>2003051.43</v>
      </c>
      <c r="L41" s="685">
        <v>0</v>
      </c>
      <c r="M41" s="685">
        <v>0</v>
      </c>
      <c r="N41" s="931">
        <v>0</v>
      </c>
      <c r="O41" s="931">
        <v>0</v>
      </c>
      <c r="P41" s="931">
        <v>0</v>
      </c>
      <c r="Q41" s="931">
        <v>0</v>
      </c>
      <c r="R41" s="931">
        <v>61857</v>
      </c>
      <c r="S41" s="931">
        <v>0</v>
      </c>
      <c r="T41" s="931">
        <v>0</v>
      </c>
      <c r="U41" s="685">
        <v>3832256.52</v>
      </c>
      <c r="V41" s="685">
        <v>77262.899999999994</v>
      </c>
      <c r="W41" s="685">
        <v>760490.19</v>
      </c>
      <c r="X41" s="685">
        <v>0</v>
      </c>
      <c r="Y41" s="685">
        <v>0</v>
      </c>
      <c r="Z41" s="685">
        <v>0</v>
      </c>
      <c r="AA41" s="685">
        <v>0</v>
      </c>
      <c r="AB41" s="685">
        <v>0</v>
      </c>
      <c r="AC41" s="685">
        <v>0</v>
      </c>
      <c r="AD41" s="685">
        <v>35278.97</v>
      </c>
      <c r="AE41" s="685">
        <v>0</v>
      </c>
      <c r="AF41" s="685">
        <v>0</v>
      </c>
      <c r="AG41" s="166">
        <f t="shared" si="1"/>
        <v>11358942.59</v>
      </c>
    </row>
    <row r="42" spans="1:33">
      <c r="A42" s="167" t="s">
        <v>1177</v>
      </c>
      <c r="B42" s="167" t="s">
        <v>1178</v>
      </c>
      <c r="C42" s="685">
        <v>748856.15</v>
      </c>
      <c r="D42" s="685">
        <v>0</v>
      </c>
      <c r="E42" s="685">
        <v>250064.62</v>
      </c>
      <c r="F42" s="545">
        <v>0</v>
      </c>
      <c r="G42" s="545">
        <v>0</v>
      </c>
      <c r="H42" s="545">
        <v>0</v>
      </c>
      <c r="I42" s="685">
        <v>17311289.550000001</v>
      </c>
      <c r="J42" s="685">
        <v>3175721.26</v>
      </c>
      <c r="K42" s="685">
        <v>4613088.5999999996</v>
      </c>
      <c r="L42" s="685">
        <v>0</v>
      </c>
      <c r="M42" s="685">
        <v>0</v>
      </c>
      <c r="N42" s="931">
        <v>0</v>
      </c>
      <c r="O42" s="931">
        <v>0</v>
      </c>
      <c r="P42" s="931">
        <v>0</v>
      </c>
      <c r="Q42" s="931">
        <v>222255</v>
      </c>
      <c r="R42" s="931">
        <v>116270</v>
      </c>
      <c r="S42" s="931">
        <v>0</v>
      </c>
      <c r="T42" s="931">
        <v>0</v>
      </c>
      <c r="U42" s="685">
        <v>8561758.0099999998</v>
      </c>
      <c r="V42" s="685">
        <v>1104602.52</v>
      </c>
      <c r="W42" s="685">
        <v>2116085.2400000002</v>
      </c>
      <c r="X42" s="685">
        <v>0</v>
      </c>
      <c r="Y42" s="685">
        <v>0</v>
      </c>
      <c r="Z42" s="685">
        <v>0</v>
      </c>
      <c r="AA42" s="685">
        <v>0</v>
      </c>
      <c r="AB42" s="685">
        <v>0</v>
      </c>
      <c r="AC42" s="685">
        <v>74085</v>
      </c>
      <c r="AD42" s="685">
        <v>36462</v>
      </c>
      <c r="AE42" s="685">
        <v>0</v>
      </c>
      <c r="AF42" s="685">
        <v>0</v>
      </c>
      <c r="AG42" s="166">
        <f t="shared" si="1"/>
        <v>14544552.41</v>
      </c>
    </row>
    <row r="43" spans="1:33">
      <c r="A43" s="167" t="s">
        <v>1180</v>
      </c>
      <c r="B43" s="167" t="s">
        <v>1181</v>
      </c>
      <c r="C43" s="685">
        <v>6384444.75</v>
      </c>
      <c r="D43" s="685">
        <v>0</v>
      </c>
      <c r="E43" s="685">
        <v>8043829.4199999999</v>
      </c>
      <c r="F43" s="545">
        <v>0</v>
      </c>
      <c r="G43" s="545">
        <v>0</v>
      </c>
      <c r="H43" s="545">
        <v>0</v>
      </c>
      <c r="I43" s="685">
        <v>94527512.549999997</v>
      </c>
      <c r="J43" s="685">
        <v>3484062.24</v>
      </c>
      <c r="K43" s="685">
        <v>20658104.98</v>
      </c>
      <c r="L43" s="685">
        <v>0</v>
      </c>
      <c r="M43" s="685">
        <v>0</v>
      </c>
      <c r="N43" s="931">
        <v>0</v>
      </c>
      <c r="O43" s="931">
        <v>0</v>
      </c>
      <c r="P43" s="931">
        <v>0</v>
      </c>
      <c r="Q43" s="931">
        <v>560121</v>
      </c>
      <c r="R43" s="931">
        <v>254970</v>
      </c>
      <c r="S43" s="931">
        <v>0</v>
      </c>
      <c r="T43" s="931">
        <v>0</v>
      </c>
      <c r="U43" s="685">
        <v>22089594.699999999</v>
      </c>
      <c r="V43" s="685">
        <v>918607.48</v>
      </c>
      <c r="W43" s="685">
        <v>5913223.9000000004</v>
      </c>
      <c r="X43" s="685">
        <v>0</v>
      </c>
      <c r="Y43" s="685">
        <v>0</v>
      </c>
      <c r="Z43" s="685">
        <v>0</v>
      </c>
      <c r="AA43" s="685">
        <v>0</v>
      </c>
      <c r="AB43" s="685">
        <v>0</v>
      </c>
      <c r="AC43" s="685">
        <v>373185</v>
      </c>
      <c r="AD43" s="685">
        <v>107720</v>
      </c>
      <c r="AE43" s="685">
        <v>0</v>
      </c>
      <c r="AF43" s="685">
        <v>0</v>
      </c>
      <c r="AG43" s="166">
        <f t="shared" si="1"/>
        <v>104510713.86</v>
      </c>
    </row>
    <row r="44" spans="1:33">
      <c r="A44" s="167" t="s">
        <v>1183</v>
      </c>
      <c r="B44" s="167" t="s">
        <v>1184</v>
      </c>
      <c r="C44" s="685">
        <v>1283806.58</v>
      </c>
      <c r="D44" s="685">
        <v>10000</v>
      </c>
      <c r="E44" s="685">
        <v>0</v>
      </c>
      <c r="F44" s="545">
        <v>0</v>
      </c>
      <c r="G44" s="545">
        <v>0</v>
      </c>
      <c r="H44" s="545">
        <v>0</v>
      </c>
      <c r="I44" s="685">
        <v>50540617.899999999</v>
      </c>
      <c r="J44" s="685">
        <v>3056231.87</v>
      </c>
      <c r="K44" s="685">
        <v>10943443.460000001</v>
      </c>
      <c r="L44" s="685">
        <v>0</v>
      </c>
      <c r="M44" s="685">
        <v>0</v>
      </c>
      <c r="N44" s="931">
        <v>0</v>
      </c>
      <c r="O44" s="931">
        <v>0</v>
      </c>
      <c r="P44" s="931">
        <v>0</v>
      </c>
      <c r="Q44" s="931">
        <v>28209.61</v>
      </c>
      <c r="R44" s="931">
        <v>15419</v>
      </c>
      <c r="S44" s="931">
        <v>0</v>
      </c>
      <c r="T44" s="931">
        <v>0</v>
      </c>
      <c r="U44" s="685">
        <v>14619251.810000001</v>
      </c>
      <c r="V44" s="685">
        <v>830187.91</v>
      </c>
      <c r="W44" s="685">
        <v>4482152.92</v>
      </c>
      <c r="X44" s="685">
        <v>0</v>
      </c>
      <c r="Y44" s="685">
        <v>0</v>
      </c>
      <c r="Z44" s="685">
        <v>0</v>
      </c>
      <c r="AA44" s="685">
        <v>0</v>
      </c>
      <c r="AB44" s="685">
        <v>0</v>
      </c>
      <c r="AC44" s="685">
        <v>14104.8</v>
      </c>
      <c r="AD44" s="685">
        <v>6310.59</v>
      </c>
      <c r="AE44" s="685">
        <v>0</v>
      </c>
      <c r="AF44" s="685">
        <v>0</v>
      </c>
      <c r="AG44" s="166">
        <f t="shared" si="1"/>
        <v>45925720.390000001</v>
      </c>
    </row>
    <row r="45" spans="1:33">
      <c r="A45" s="167" t="s">
        <v>1186</v>
      </c>
      <c r="B45" s="167" t="s">
        <v>1187</v>
      </c>
      <c r="C45" s="685">
        <v>407679</v>
      </c>
      <c r="D45" s="685">
        <v>0</v>
      </c>
      <c r="E45" s="685">
        <v>1014516.77</v>
      </c>
      <c r="F45" s="545">
        <v>0</v>
      </c>
      <c r="G45" s="545">
        <v>0</v>
      </c>
      <c r="H45" s="545">
        <v>0</v>
      </c>
      <c r="I45" s="685">
        <v>35854391.399999999</v>
      </c>
      <c r="J45" s="685">
        <v>832281.81</v>
      </c>
      <c r="K45" s="685">
        <v>5649261.3099999996</v>
      </c>
      <c r="L45" s="685">
        <v>0</v>
      </c>
      <c r="M45" s="685">
        <v>0</v>
      </c>
      <c r="N45" s="931">
        <v>0</v>
      </c>
      <c r="O45" s="931">
        <v>0</v>
      </c>
      <c r="P45" s="931">
        <v>0</v>
      </c>
      <c r="Q45" s="931">
        <v>0</v>
      </c>
      <c r="R45" s="931">
        <v>0</v>
      </c>
      <c r="S45" s="931">
        <v>0</v>
      </c>
      <c r="T45" s="931">
        <v>0</v>
      </c>
      <c r="U45" s="685">
        <v>13073988.949999999</v>
      </c>
      <c r="V45" s="685">
        <v>269195.48</v>
      </c>
      <c r="W45" s="685">
        <v>2762469.08</v>
      </c>
      <c r="X45" s="685">
        <v>0</v>
      </c>
      <c r="Y45" s="685">
        <v>0</v>
      </c>
      <c r="Z45" s="685">
        <v>0</v>
      </c>
      <c r="AA45" s="685">
        <v>0</v>
      </c>
      <c r="AB45" s="685">
        <v>0</v>
      </c>
      <c r="AC45" s="685">
        <v>0</v>
      </c>
      <c r="AD45" s="685">
        <v>0</v>
      </c>
      <c r="AE45" s="685">
        <v>0</v>
      </c>
      <c r="AF45" s="685">
        <v>0</v>
      </c>
      <c r="AG45" s="166">
        <f t="shared" si="1"/>
        <v>27652476.780000001</v>
      </c>
    </row>
    <row r="46" spans="1:33">
      <c r="A46" s="167" t="s">
        <v>1189</v>
      </c>
      <c r="B46" s="167" t="s">
        <v>1190</v>
      </c>
      <c r="C46" s="685">
        <v>34805</v>
      </c>
      <c r="D46" s="685">
        <v>0</v>
      </c>
      <c r="E46" s="685">
        <v>0</v>
      </c>
      <c r="F46" s="545">
        <v>0</v>
      </c>
      <c r="G46" s="545">
        <v>0</v>
      </c>
      <c r="H46" s="545">
        <v>0</v>
      </c>
      <c r="I46" s="685">
        <v>12005735.15</v>
      </c>
      <c r="J46" s="685">
        <v>646881.24</v>
      </c>
      <c r="K46" s="685">
        <v>1869481.05</v>
      </c>
      <c r="L46" s="685">
        <v>0</v>
      </c>
      <c r="M46" s="685">
        <v>0</v>
      </c>
      <c r="N46" s="931">
        <v>0</v>
      </c>
      <c r="O46" s="931">
        <v>0</v>
      </c>
      <c r="P46" s="931">
        <v>0</v>
      </c>
      <c r="Q46" s="931">
        <v>0</v>
      </c>
      <c r="R46" s="931">
        <v>0</v>
      </c>
      <c r="S46" s="931">
        <v>0</v>
      </c>
      <c r="T46" s="931">
        <v>0</v>
      </c>
      <c r="U46" s="685">
        <v>7921161.4699999997</v>
      </c>
      <c r="V46" s="685">
        <v>161227.06</v>
      </c>
      <c r="W46" s="685">
        <v>1011475.1</v>
      </c>
      <c r="X46" s="685">
        <v>0</v>
      </c>
      <c r="Y46" s="685">
        <v>0</v>
      </c>
      <c r="Z46" s="685">
        <v>0</v>
      </c>
      <c r="AA46" s="685">
        <v>0</v>
      </c>
      <c r="AB46" s="685">
        <v>0</v>
      </c>
      <c r="AC46" s="685">
        <v>0</v>
      </c>
      <c r="AD46" s="685">
        <v>0</v>
      </c>
      <c r="AE46" s="685">
        <v>0</v>
      </c>
      <c r="AF46" s="685">
        <v>0</v>
      </c>
      <c r="AG46" s="166">
        <f t="shared" si="1"/>
        <v>5463038.8099999996</v>
      </c>
    </row>
    <row r="47" spans="1:33">
      <c r="A47" s="167" t="s">
        <v>1192</v>
      </c>
      <c r="B47" s="167" t="s">
        <v>1193</v>
      </c>
      <c r="C47" s="685">
        <v>513737.76</v>
      </c>
      <c r="D47" s="685">
        <v>0</v>
      </c>
      <c r="E47" s="685">
        <v>825315.31</v>
      </c>
      <c r="F47" s="545">
        <v>0</v>
      </c>
      <c r="G47" s="545">
        <v>0</v>
      </c>
      <c r="H47" s="545">
        <v>0</v>
      </c>
      <c r="I47" s="685">
        <v>31291859.960000001</v>
      </c>
      <c r="J47" s="685">
        <v>6604145.5099999998</v>
      </c>
      <c r="K47" s="685">
        <v>10680918.24</v>
      </c>
      <c r="L47" s="685">
        <v>0</v>
      </c>
      <c r="M47" s="685">
        <v>0</v>
      </c>
      <c r="N47" s="931">
        <v>0</v>
      </c>
      <c r="O47" s="931">
        <v>0</v>
      </c>
      <c r="P47" s="931">
        <v>0</v>
      </c>
      <c r="Q47" s="931">
        <v>0</v>
      </c>
      <c r="R47" s="931">
        <v>0</v>
      </c>
      <c r="S47" s="931">
        <v>0</v>
      </c>
      <c r="T47" s="931">
        <v>0</v>
      </c>
      <c r="U47" s="685">
        <v>12754753.390000001</v>
      </c>
      <c r="V47" s="685">
        <v>2723483.39</v>
      </c>
      <c r="W47" s="685">
        <v>5972019.9000000004</v>
      </c>
      <c r="X47" s="685">
        <v>0</v>
      </c>
      <c r="Y47" s="685">
        <v>0</v>
      </c>
      <c r="Z47" s="685">
        <v>0</v>
      </c>
      <c r="AA47" s="685">
        <v>0</v>
      </c>
      <c r="AB47" s="685">
        <v>0</v>
      </c>
      <c r="AC47" s="685">
        <v>0</v>
      </c>
      <c r="AD47" s="685">
        <v>0</v>
      </c>
      <c r="AE47" s="685">
        <v>0</v>
      </c>
      <c r="AF47" s="685">
        <v>0</v>
      </c>
      <c r="AG47" s="166">
        <f t="shared" si="1"/>
        <v>28465720.100000001</v>
      </c>
    </row>
    <row r="48" spans="1:33">
      <c r="A48" s="167" t="s">
        <v>1195</v>
      </c>
      <c r="B48" s="167" t="s">
        <v>1196</v>
      </c>
      <c r="C48" s="685">
        <v>650164.02</v>
      </c>
      <c r="D48" s="685">
        <v>0</v>
      </c>
      <c r="E48" s="685">
        <v>1524678.27</v>
      </c>
      <c r="F48" s="545">
        <v>0</v>
      </c>
      <c r="G48" s="545">
        <v>0</v>
      </c>
      <c r="H48" s="545">
        <v>0</v>
      </c>
      <c r="I48" s="685">
        <v>29224236.23</v>
      </c>
      <c r="J48" s="685">
        <v>3426646.13</v>
      </c>
      <c r="K48" s="685">
        <v>5130514.74</v>
      </c>
      <c r="L48" s="685">
        <v>0</v>
      </c>
      <c r="M48" s="685">
        <v>0</v>
      </c>
      <c r="N48" s="931">
        <v>0</v>
      </c>
      <c r="O48" s="931">
        <v>0</v>
      </c>
      <c r="P48" s="931">
        <v>0</v>
      </c>
      <c r="Q48" s="931">
        <v>0</v>
      </c>
      <c r="R48" s="931">
        <v>7207.8</v>
      </c>
      <c r="S48" s="931">
        <v>0</v>
      </c>
      <c r="T48" s="931">
        <v>0</v>
      </c>
      <c r="U48" s="685">
        <v>10523010.859999999</v>
      </c>
      <c r="V48" s="685">
        <v>159394.45000000001</v>
      </c>
      <c r="W48" s="685">
        <v>2807878.4</v>
      </c>
      <c r="X48" s="685">
        <v>0</v>
      </c>
      <c r="Y48" s="685">
        <v>0</v>
      </c>
      <c r="Z48" s="685">
        <v>0</v>
      </c>
      <c r="AA48" s="685">
        <v>0</v>
      </c>
      <c r="AB48" s="685">
        <v>0</v>
      </c>
      <c r="AC48" s="685">
        <v>0</v>
      </c>
      <c r="AD48" s="685">
        <v>5285.72</v>
      </c>
      <c r="AE48" s="685">
        <v>0</v>
      </c>
      <c r="AF48" s="685">
        <v>0</v>
      </c>
      <c r="AG48" s="166">
        <f t="shared" si="1"/>
        <v>26467877.760000002</v>
      </c>
    </row>
    <row r="49" spans="1:33">
      <c r="A49" s="167" t="s">
        <v>1198</v>
      </c>
      <c r="B49" s="167" t="s">
        <v>1199</v>
      </c>
      <c r="C49" s="685">
        <v>6285956.0499999998</v>
      </c>
      <c r="D49" s="685">
        <v>0</v>
      </c>
      <c r="E49" s="685">
        <v>2564373.8199999998</v>
      </c>
      <c r="F49" s="545">
        <v>0</v>
      </c>
      <c r="G49" s="545">
        <v>0</v>
      </c>
      <c r="H49" s="545">
        <v>0</v>
      </c>
      <c r="I49" s="685">
        <v>89105583.700000003</v>
      </c>
      <c r="J49" s="685">
        <v>2344691.58</v>
      </c>
      <c r="K49" s="685">
        <v>15559791.92</v>
      </c>
      <c r="L49" s="685">
        <v>0</v>
      </c>
      <c r="M49" s="685">
        <v>0</v>
      </c>
      <c r="N49" s="931">
        <v>0</v>
      </c>
      <c r="O49" s="931">
        <v>0</v>
      </c>
      <c r="P49" s="931">
        <v>0</v>
      </c>
      <c r="Q49" s="931">
        <v>24859199.969999999</v>
      </c>
      <c r="R49" s="931">
        <v>0</v>
      </c>
      <c r="S49" s="931">
        <v>0</v>
      </c>
      <c r="T49" s="931">
        <v>0</v>
      </c>
      <c r="U49" s="685">
        <v>14958065.689999999</v>
      </c>
      <c r="V49" s="685">
        <v>720673.52</v>
      </c>
      <c r="W49" s="685">
        <v>6944773.3300000001</v>
      </c>
      <c r="X49" s="685">
        <v>0</v>
      </c>
      <c r="Y49" s="685">
        <v>0</v>
      </c>
      <c r="Z49" s="685">
        <v>0</v>
      </c>
      <c r="AA49" s="685">
        <v>0</v>
      </c>
      <c r="AB49" s="685">
        <v>0</v>
      </c>
      <c r="AC49" s="685">
        <v>3991282.27</v>
      </c>
      <c r="AD49" s="685">
        <v>0</v>
      </c>
      <c r="AE49" s="685">
        <v>0</v>
      </c>
      <c r="AF49" s="685">
        <v>0</v>
      </c>
      <c r="AG49" s="166">
        <f t="shared" si="1"/>
        <v>114104802.23</v>
      </c>
    </row>
    <row r="50" spans="1:33">
      <c r="A50" s="167" t="s">
        <v>1201</v>
      </c>
      <c r="B50" s="167" t="s">
        <v>1202</v>
      </c>
      <c r="C50" s="685">
        <v>247165.46</v>
      </c>
      <c r="D50" s="685">
        <v>0</v>
      </c>
      <c r="E50" s="685">
        <v>5188683.8099999996</v>
      </c>
      <c r="F50" s="545">
        <v>0</v>
      </c>
      <c r="G50" s="545">
        <v>0</v>
      </c>
      <c r="H50" s="545">
        <v>0</v>
      </c>
      <c r="I50" s="685">
        <v>20735137.100000001</v>
      </c>
      <c r="J50" s="685">
        <v>1430286.48</v>
      </c>
      <c r="K50" s="685">
        <v>6618800.5899999999</v>
      </c>
      <c r="L50" s="685">
        <v>0</v>
      </c>
      <c r="M50" s="685">
        <v>0</v>
      </c>
      <c r="N50" s="931">
        <v>0</v>
      </c>
      <c r="O50" s="931">
        <v>0</v>
      </c>
      <c r="P50" s="931">
        <v>0</v>
      </c>
      <c r="Q50" s="931">
        <v>0</v>
      </c>
      <c r="R50" s="931">
        <v>165333</v>
      </c>
      <c r="S50" s="931">
        <v>0</v>
      </c>
      <c r="T50" s="931">
        <v>0</v>
      </c>
      <c r="U50" s="685">
        <v>9076311.3900000006</v>
      </c>
      <c r="V50" s="685">
        <v>510810.41</v>
      </c>
      <c r="W50" s="685">
        <v>3114312.45</v>
      </c>
      <c r="X50" s="685">
        <v>0</v>
      </c>
      <c r="Y50" s="685">
        <v>0</v>
      </c>
      <c r="Z50" s="685">
        <v>0</v>
      </c>
      <c r="AA50" s="685">
        <v>0</v>
      </c>
      <c r="AB50" s="685">
        <v>0</v>
      </c>
      <c r="AC50" s="685">
        <v>0</v>
      </c>
      <c r="AD50" s="685">
        <v>40326</v>
      </c>
      <c r="AE50" s="685">
        <v>0</v>
      </c>
      <c r="AF50" s="685">
        <v>0</v>
      </c>
      <c r="AG50" s="166">
        <f t="shared" si="1"/>
        <v>21643646.190000001</v>
      </c>
    </row>
    <row r="51" spans="1:33">
      <c r="A51" s="167" t="s">
        <v>1204</v>
      </c>
      <c r="B51" s="167" t="s">
        <v>1205</v>
      </c>
      <c r="C51" s="685">
        <v>929712.45</v>
      </c>
      <c r="D51" s="685">
        <v>0</v>
      </c>
      <c r="E51" s="685">
        <v>13999026.140000001</v>
      </c>
      <c r="F51" s="545">
        <v>0</v>
      </c>
      <c r="G51" s="545">
        <v>0</v>
      </c>
      <c r="H51" s="545">
        <v>0</v>
      </c>
      <c r="I51" s="685">
        <v>72249666.25</v>
      </c>
      <c r="J51" s="685">
        <v>2074160.65</v>
      </c>
      <c r="K51" s="685">
        <v>7491495.4800000004</v>
      </c>
      <c r="L51" s="685">
        <v>0</v>
      </c>
      <c r="M51" s="685">
        <v>0</v>
      </c>
      <c r="N51" s="931">
        <v>0</v>
      </c>
      <c r="O51" s="931">
        <v>0</v>
      </c>
      <c r="P51" s="931">
        <v>0</v>
      </c>
      <c r="Q51" s="931">
        <v>0</v>
      </c>
      <c r="R51" s="931">
        <v>209277</v>
      </c>
      <c r="S51" s="931">
        <v>0</v>
      </c>
      <c r="T51" s="931">
        <v>0</v>
      </c>
      <c r="U51" s="685">
        <v>26489781.309999999</v>
      </c>
      <c r="V51" s="685">
        <v>1064074.8899999999</v>
      </c>
      <c r="W51" s="685">
        <v>4497221.99</v>
      </c>
      <c r="X51" s="685">
        <v>0</v>
      </c>
      <c r="Y51" s="685">
        <v>0</v>
      </c>
      <c r="Z51" s="685">
        <v>0</v>
      </c>
      <c r="AA51" s="685">
        <v>0</v>
      </c>
      <c r="AB51" s="685">
        <v>0</v>
      </c>
      <c r="AC51" s="685">
        <v>0</v>
      </c>
      <c r="AD51" s="685">
        <v>0</v>
      </c>
      <c r="AE51" s="685">
        <v>0</v>
      </c>
      <c r="AF51" s="685">
        <v>0</v>
      </c>
      <c r="AG51" s="166">
        <f t="shared" si="1"/>
        <v>64902259.780000001</v>
      </c>
    </row>
    <row r="52" spans="1:33">
      <c r="A52" s="167" t="s">
        <v>1210</v>
      </c>
      <c r="B52" s="167" t="s">
        <v>1211</v>
      </c>
      <c r="C52" s="685">
        <v>981101.02</v>
      </c>
      <c r="D52" s="685">
        <v>0</v>
      </c>
      <c r="E52" s="685">
        <v>0</v>
      </c>
      <c r="F52" s="545">
        <v>0</v>
      </c>
      <c r="G52" s="545">
        <v>0</v>
      </c>
      <c r="H52" s="545">
        <v>0</v>
      </c>
      <c r="I52" s="685">
        <v>27055135.890000001</v>
      </c>
      <c r="J52" s="685">
        <v>1511025.59</v>
      </c>
      <c r="K52" s="685">
        <v>7201072.1399999997</v>
      </c>
      <c r="L52" s="685">
        <v>0</v>
      </c>
      <c r="M52" s="685">
        <v>0</v>
      </c>
      <c r="N52" s="931">
        <v>0</v>
      </c>
      <c r="O52" s="931">
        <v>0</v>
      </c>
      <c r="P52" s="931">
        <v>0</v>
      </c>
      <c r="Q52" s="931">
        <v>0</v>
      </c>
      <c r="R52" s="931">
        <v>0</v>
      </c>
      <c r="S52" s="931">
        <v>0</v>
      </c>
      <c r="T52" s="931">
        <v>0</v>
      </c>
      <c r="U52" s="685">
        <v>8604840.7200000007</v>
      </c>
      <c r="V52" s="685">
        <v>371442.28</v>
      </c>
      <c r="W52" s="685">
        <v>3316706.11</v>
      </c>
      <c r="X52" s="685">
        <v>0</v>
      </c>
      <c r="Y52" s="685">
        <v>0</v>
      </c>
      <c r="Z52" s="685">
        <v>0</v>
      </c>
      <c r="AA52" s="685">
        <v>0</v>
      </c>
      <c r="AB52" s="685">
        <v>0</v>
      </c>
      <c r="AC52" s="685">
        <v>0</v>
      </c>
      <c r="AD52" s="685">
        <v>0</v>
      </c>
      <c r="AE52" s="685">
        <v>0</v>
      </c>
      <c r="AF52" s="685">
        <v>0</v>
      </c>
      <c r="AG52" s="166">
        <f t="shared" si="1"/>
        <v>24455345.530000001</v>
      </c>
    </row>
    <row r="53" spans="1:33">
      <c r="A53" s="167" t="s">
        <v>1213</v>
      </c>
      <c r="B53" s="167" t="s">
        <v>1214</v>
      </c>
      <c r="C53" s="685">
        <v>2628284.33</v>
      </c>
      <c r="D53" s="685">
        <v>0</v>
      </c>
      <c r="E53" s="685">
        <v>20621821.010000002</v>
      </c>
      <c r="F53" s="545">
        <v>0</v>
      </c>
      <c r="G53" s="545">
        <v>0</v>
      </c>
      <c r="H53" s="545">
        <v>0</v>
      </c>
      <c r="I53" s="685">
        <v>36314030.009999998</v>
      </c>
      <c r="J53" s="685">
        <v>4024647.52</v>
      </c>
      <c r="K53" s="685">
        <v>8821006.3900000006</v>
      </c>
      <c r="L53" s="685">
        <v>0</v>
      </c>
      <c r="M53" s="685">
        <v>0</v>
      </c>
      <c r="N53" s="931">
        <v>0</v>
      </c>
      <c r="O53" s="931">
        <v>0</v>
      </c>
      <c r="P53" s="931">
        <v>0</v>
      </c>
      <c r="Q53" s="931">
        <v>0</v>
      </c>
      <c r="R53" s="931">
        <v>603004</v>
      </c>
      <c r="S53" s="931">
        <v>0</v>
      </c>
      <c r="T53" s="931">
        <v>0</v>
      </c>
      <c r="U53" s="685">
        <v>14211556.220000001</v>
      </c>
      <c r="V53" s="685">
        <v>1839189.61</v>
      </c>
      <c r="W53" s="685">
        <v>5694066.0499999998</v>
      </c>
      <c r="X53" s="685">
        <v>0</v>
      </c>
      <c r="Y53" s="685">
        <v>0</v>
      </c>
      <c r="Z53" s="685">
        <v>0</v>
      </c>
      <c r="AA53" s="685">
        <v>0</v>
      </c>
      <c r="AB53" s="685">
        <v>0</v>
      </c>
      <c r="AC53" s="685">
        <v>0</v>
      </c>
      <c r="AD53" s="685">
        <v>247485</v>
      </c>
      <c r="AE53" s="685">
        <v>0</v>
      </c>
      <c r="AF53" s="685">
        <v>0</v>
      </c>
      <c r="AG53" s="166">
        <f t="shared" si="1"/>
        <v>51020496.380000003</v>
      </c>
    </row>
    <row r="54" spans="1:33">
      <c r="A54" s="167" t="s">
        <v>1216</v>
      </c>
      <c r="B54" s="167" t="s">
        <v>1217</v>
      </c>
      <c r="C54" s="685">
        <v>705187.38</v>
      </c>
      <c r="D54" s="685">
        <v>0</v>
      </c>
      <c r="E54" s="685">
        <v>256667.91</v>
      </c>
      <c r="F54" s="545">
        <v>0</v>
      </c>
      <c r="G54" s="545">
        <v>0</v>
      </c>
      <c r="H54" s="545">
        <v>0</v>
      </c>
      <c r="I54" s="685">
        <v>21097068.41</v>
      </c>
      <c r="J54" s="685">
        <v>2062422.55</v>
      </c>
      <c r="K54" s="685">
        <v>7963091.3300000001</v>
      </c>
      <c r="L54" s="685">
        <v>0</v>
      </c>
      <c r="M54" s="685">
        <v>0</v>
      </c>
      <c r="N54" s="931">
        <v>0</v>
      </c>
      <c r="O54" s="931">
        <v>0</v>
      </c>
      <c r="P54" s="931">
        <v>0</v>
      </c>
      <c r="Q54" s="931">
        <v>0</v>
      </c>
      <c r="R54" s="931">
        <v>16190</v>
      </c>
      <c r="S54" s="931">
        <v>0</v>
      </c>
      <c r="T54" s="931">
        <v>0</v>
      </c>
      <c r="U54" s="685">
        <v>9113269.6600000001</v>
      </c>
      <c r="V54" s="685">
        <v>1378929.27</v>
      </c>
      <c r="W54" s="685">
        <v>3217179.73</v>
      </c>
      <c r="X54" s="685">
        <v>0</v>
      </c>
      <c r="Y54" s="685">
        <v>0</v>
      </c>
      <c r="Z54" s="685">
        <v>0</v>
      </c>
      <c r="AA54" s="685">
        <v>0</v>
      </c>
      <c r="AB54" s="685">
        <v>0</v>
      </c>
      <c r="AC54" s="685">
        <v>0</v>
      </c>
      <c r="AD54" s="685">
        <v>540</v>
      </c>
      <c r="AE54" s="685">
        <v>0</v>
      </c>
      <c r="AF54" s="685">
        <v>0</v>
      </c>
      <c r="AG54" s="166">
        <f t="shared" si="1"/>
        <v>18390708.920000002</v>
      </c>
    </row>
    <row r="55" spans="1:33">
      <c r="A55" s="167" t="s">
        <v>1219</v>
      </c>
      <c r="B55" s="167" t="s">
        <v>1220</v>
      </c>
      <c r="C55" s="685">
        <v>932655.27</v>
      </c>
      <c r="D55" s="685">
        <v>0</v>
      </c>
      <c r="E55" s="685">
        <v>0</v>
      </c>
      <c r="F55" s="545">
        <v>0</v>
      </c>
      <c r="G55" s="545">
        <v>0</v>
      </c>
      <c r="H55" s="545">
        <v>0</v>
      </c>
      <c r="I55" s="685">
        <v>37967388.399999999</v>
      </c>
      <c r="J55" s="685">
        <v>756173.44</v>
      </c>
      <c r="K55" s="685">
        <v>7161689.9100000001</v>
      </c>
      <c r="L55" s="685">
        <v>0</v>
      </c>
      <c r="M55" s="685">
        <v>0</v>
      </c>
      <c r="N55" s="931">
        <v>0</v>
      </c>
      <c r="O55" s="931">
        <v>0</v>
      </c>
      <c r="P55" s="931">
        <v>0</v>
      </c>
      <c r="Q55" s="931">
        <v>0</v>
      </c>
      <c r="R55" s="931">
        <v>0</v>
      </c>
      <c r="S55" s="931">
        <v>0</v>
      </c>
      <c r="T55" s="931">
        <v>0</v>
      </c>
      <c r="U55" s="685">
        <v>15828836.970000001</v>
      </c>
      <c r="V55" s="685">
        <v>539496.30000000005</v>
      </c>
      <c r="W55" s="685">
        <v>3532189.5</v>
      </c>
      <c r="X55" s="685">
        <v>0</v>
      </c>
      <c r="Y55" s="685">
        <v>0</v>
      </c>
      <c r="Z55" s="685">
        <v>0</v>
      </c>
      <c r="AA55" s="685">
        <v>0</v>
      </c>
      <c r="AB55" s="685">
        <v>0</v>
      </c>
      <c r="AC55" s="685">
        <v>0</v>
      </c>
      <c r="AD55" s="685">
        <v>0</v>
      </c>
      <c r="AE55" s="685">
        <v>0</v>
      </c>
      <c r="AF55" s="685">
        <v>0</v>
      </c>
      <c r="AG55" s="166">
        <f t="shared" si="1"/>
        <v>26917384.25</v>
      </c>
    </row>
    <row r="56" spans="1:33">
      <c r="A56" s="167" t="s">
        <v>1222</v>
      </c>
      <c r="B56" s="167" t="s">
        <v>1223</v>
      </c>
      <c r="C56" s="685">
        <v>501488.02</v>
      </c>
      <c r="D56" s="685">
        <v>0</v>
      </c>
      <c r="E56" s="685">
        <v>52767.05</v>
      </c>
      <c r="F56" s="545">
        <v>0</v>
      </c>
      <c r="G56" s="545">
        <v>0</v>
      </c>
      <c r="H56" s="545">
        <v>0</v>
      </c>
      <c r="I56" s="685">
        <v>16249643.17</v>
      </c>
      <c r="J56" s="685">
        <v>1235155.19</v>
      </c>
      <c r="K56" s="685">
        <v>3437051.58</v>
      </c>
      <c r="L56" s="685">
        <v>0</v>
      </c>
      <c r="M56" s="685">
        <v>0</v>
      </c>
      <c r="N56" s="931">
        <v>0</v>
      </c>
      <c r="O56" s="931">
        <v>0</v>
      </c>
      <c r="P56" s="931">
        <v>0</v>
      </c>
      <c r="Q56" s="931">
        <v>0</v>
      </c>
      <c r="R56" s="931">
        <v>169374</v>
      </c>
      <c r="S56" s="931">
        <v>0</v>
      </c>
      <c r="T56" s="931">
        <v>0</v>
      </c>
      <c r="U56" s="685">
        <v>6305531.1299999999</v>
      </c>
      <c r="V56" s="685">
        <v>344386.4</v>
      </c>
      <c r="W56" s="685">
        <v>2327159.84</v>
      </c>
      <c r="X56" s="685">
        <v>0</v>
      </c>
      <c r="Y56" s="685">
        <v>0</v>
      </c>
      <c r="Z56" s="685">
        <v>0</v>
      </c>
      <c r="AA56" s="685">
        <v>0</v>
      </c>
      <c r="AB56" s="685">
        <v>0</v>
      </c>
      <c r="AC56" s="685">
        <v>0</v>
      </c>
      <c r="AD56" s="685">
        <v>5646</v>
      </c>
      <c r="AE56" s="685">
        <v>0</v>
      </c>
      <c r="AF56" s="685">
        <v>0</v>
      </c>
      <c r="AG56" s="166">
        <f t="shared" si="1"/>
        <v>12662755.640000001</v>
      </c>
    </row>
    <row r="57" spans="1:33">
      <c r="A57" s="167" t="s">
        <v>1225</v>
      </c>
      <c r="B57" s="167" t="s">
        <v>1226</v>
      </c>
      <c r="C57" s="685">
        <v>963221.18</v>
      </c>
      <c r="D57" s="685">
        <v>0</v>
      </c>
      <c r="E57" s="685">
        <v>0</v>
      </c>
      <c r="F57" s="545">
        <v>0</v>
      </c>
      <c r="G57" s="545">
        <v>0</v>
      </c>
      <c r="H57" s="545">
        <v>0</v>
      </c>
      <c r="I57" s="685">
        <v>42210159.979999997</v>
      </c>
      <c r="J57" s="685">
        <v>2336740.65</v>
      </c>
      <c r="K57" s="685">
        <v>7448174.3099999996</v>
      </c>
      <c r="L57" s="685">
        <v>0</v>
      </c>
      <c r="M57" s="685">
        <v>0</v>
      </c>
      <c r="N57" s="931">
        <v>0</v>
      </c>
      <c r="O57" s="931">
        <v>0</v>
      </c>
      <c r="P57" s="931">
        <v>0</v>
      </c>
      <c r="Q57" s="931">
        <v>0</v>
      </c>
      <c r="R57" s="931">
        <v>0</v>
      </c>
      <c r="S57" s="931">
        <v>0</v>
      </c>
      <c r="T57" s="931">
        <v>0</v>
      </c>
      <c r="U57" s="685">
        <v>16874334.899999999</v>
      </c>
      <c r="V57" s="685">
        <v>1053093.74</v>
      </c>
      <c r="W57" s="685">
        <v>3913534.82</v>
      </c>
      <c r="X57" s="685">
        <v>0</v>
      </c>
      <c r="Y57" s="685">
        <v>0</v>
      </c>
      <c r="Z57" s="685">
        <v>0</v>
      </c>
      <c r="AA57" s="685">
        <v>0</v>
      </c>
      <c r="AB57" s="685">
        <v>0</v>
      </c>
      <c r="AC57" s="685">
        <v>0</v>
      </c>
      <c r="AD57" s="685">
        <v>0</v>
      </c>
      <c r="AE57" s="685">
        <v>0</v>
      </c>
      <c r="AF57" s="685">
        <v>0</v>
      </c>
      <c r="AG57" s="166">
        <f t="shared" si="1"/>
        <v>31117332.66</v>
      </c>
    </row>
    <row r="58" spans="1:33">
      <c r="A58" s="167" t="s">
        <v>1228</v>
      </c>
      <c r="B58" s="167" t="s">
        <v>1229</v>
      </c>
      <c r="C58" s="685">
        <v>32644371.859999999</v>
      </c>
      <c r="D58" s="685">
        <v>0</v>
      </c>
      <c r="E58" s="685">
        <v>66771466.25</v>
      </c>
      <c r="F58" s="545">
        <v>0</v>
      </c>
      <c r="G58" s="545">
        <v>0</v>
      </c>
      <c r="H58" s="545">
        <v>0</v>
      </c>
      <c r="I58" s="685">
        <v>512079041.45999998</v>
      </c>
      <c r="J58" s="685">
        <v>49811770.590000004</v>
      </c>
      <c r="K58" s="685">
        <v>31210152.34</v>
      </c>
      <c r="L58" s="685">
        <v>0</v>
      </c>
      <c r="M58" s="685">
        <v>0</v>
      </c>
      <c r="N58" s="931">
        <v>0</v>
      </c>
      <c r="O58" s="931">
        <v>0</v>
      </c>
      <c r="P58" s="931">
        <v>0</v>
      </c>
      <c r="Q58" s="931">
        <v>37053677.5</v>
      </c>
      <c r="R58" s="931">
        <v>165182</v>
      </c>
      <c r="S58" s="931">
        <v>0</v>
      </c>
      <c r="T58" s="931">
        <v>0</v>
      </c>
      <c r="U58" s="685">
        <v>91638786.400000006</v>
      </c>
      <c r="V58" s="685">
        <v>6489626.0199999996</v>
      </c>
      <c r="W58" s="685">
        <v>7986567.5700000003</v>
      </c>
      <c r="X58" s="685">
        <v>0</v>
      </c>
      <c r="Y58" s="685">
        <v>0</v>
      </c>
      <c r="Z58" s="685">
        <v>0</v>
      </c>
      <c r="AA58" s="685">
        <v>0</v>
      </c>
      <c r="AB58" s="685">
        <v>0</v>
      </c>
      <c r="AC58" s="685">
        <v>2001884.2</v>
      </c>
      <c r="AD58" s="685">
        <v>1669</v>
      </c>
      <c r="AE58" s="685">
        <v>0</v>
      </c>
      <c r="AF58" s="685">
        <v>0</v>
      </c>
      <c r="AG58" s="166">
        <f t="shared" si="1"/>
        <v>621617128.80999994</v>
      </c>
    </row>
    <row r="59" spans="1:33">
      <c r="A59" s="167" t="s">
        <v>1231</v>
      </c>
      <c r="B59" s="167" t="s">
        <v>1232</v>
      </c>
      <c r="C59" s="685">
        <v>1653020.69</v>
      </c>
      <c r="D59" s="685">
        <v>0</v>
      </c>
      <c r="E59" s="685">
        <v>12687</v>
      </c>
      <c r="F59" s="545">
        <v>0</v>
      </c>
      <c r="G59" s="545">
        <v>0</v>
      </c>
      <c r="H59" s="545">
        <v>0</v>
      </c>
      <c r="I59" s="685">
        <v>45541648.200000003</v>
      </c>
      <c r="J59" s="685">
        <v>1636487.77</v>
      </c>
      <c r="K59" s="685">
        <v>13428474.32</v>
      </c>
      <c r="L59" s="685">
        <v>0</v>
      </c>
      <c r="M59" s="685">
        <v>0</v>
      </c>
      <c r="N59" s="931">
        <v>0</v>
      </c>
      <c r="O59" s="931">
        <v>0</v>
      </c>
      <c r="P59" s="931">
        <v>0</v>
      </c>
      <c r="Q59" s="931">
        <v>0</v>
      </c>
      <c r="R59" s="931">
        <v>1105727</v>
      </c>
      <c r="S59" s="931">
        <v>0</v>
      </c>
      <c r="T59" s="931">
        <v>0</v>
      </c>
      <c r="U59" s="685">
        <v>20414680.649999999</v>
      </c>
      <c r="V59" s="685">
        <v>438037.71</v>
      </c>
      <c r="W59" s="685">
        <v>4366879.26</v>
      </c>
      <c r="X59" s="685">
        <v>0</v>
      </c>
      <c r="Y59" s="685">
        <v>0</v>
      </c>
      <c r="Z59" s="685">
        <v>0</v>
      </c>
      <c r="AA59" s="685">
        <v>0</v>
      </c>
      <c r="AB59" s="685">
        <v>0</v>
      </c>
      <c r="AC59" s="685">
        <v>0</v>
      </c>
      <c r="AD59" s="685">
        <v>546907</v>
      </c>
      <c r="AE59" s="685">
        <v>0</v>
      </c>
      <c r="AF59" s="685">
        <v>0</v>
      </c>
      <c r="AG59" s="166">
        <f t="shared" si="1"/>
        <v>37611540.359999999</v>
      </c>
    </row>
    <row r="60" spans="1:33">
      <c r="A60" s="167" t="s">
        <v>1234</v>
      </c>
      <c r="B60" s="167" t="s">
        <v>1235</v>
      </c>
      <c r="C60" s="685">
        <v>1992413.56</v>
      </c>
      <c r="D60" s="685">
        <v>145014</v>
      </c>
      <c r="E60" s="685">
        <v>1380511.78</v>
      </c>
      <c r="F60" s="545">
        <v>0</v>
      </c>
      <c r="G60" s="545">
        <v>0</v>
      </c>
      <c r="H60" s="545">
        <v>0</v>
      </c>
      <c r="I60" s="685">
        <v>26459229.890000001</v>
      </c>
      <c r="J60" s="685">
        <v>2514861.2999999998</v>
      </c>
      <c r="K60" s="685">
        <v>6749845</v>
      </c>
      <c r="L60" s="685">
        <v>0</v>
      </c>
      <c r="M60" s="685">
        <v>0</v>
      </c>
      <c r="N60" s="931">
        <v>0</v>
      </c>
      <c r="O60" s="931">
        <v>0</v>
      </c>
      <c r="P60" s="931">
        <v>0</v>
      </c>
      <c r="Q60" s="931">
        <v>157300</v>
      </c>
      <c r="R60" s="931">
        <v>11523</v>
      </c>
      <c r="S60" s="931">
        <v>0</v>
      </c>
      <c r="T60" s="931">
        <v>0</v>
      </c>
      <c r="U60" s="685">
        <v>12460863.359999999</v>
      </c>
      <c r="V60" s="685">
        <v>854696.89</v>
      </c>
      <c r="W60" s="685">
        <v>2661412.2999999998</v>
      </c>
      <c r="X60" s="685">
        <v>0</v>
      </c>
      <c r="Y60" s="685">
        <v>0</v>
      </c>
      <c r="Z60" s="685">
        <v>0</v>
      </c>
      <c r="AA60" s="685">
        <v>0</v>
      </c>
      <c r="AB60" s="685">
        <v>0</v>
      </c>
      <c r="AC60" s="685">
        <v>57200</v>
      </c>
      <c r="AD60" s="685">
        <v>5121</v>
      </c>
      <c r="AE60" s="685">
        <v>0</v>
      </c>
      <c r="AF60" s="685">
        <v>0</v>
      </c>
      <c r="AG60" s="166">
        <f t="shared" si="1"/>
        <v>23371404.98</v>
      </c>
    </row>
    <row r="61" spans="1:33">
      <c r="A61" s="167" t="s">
        <v>1237</v>
      </c>
      <c r="B61" s="167" t="s">
        <v>1238</v>
      </c>
      <c r="C61" s="685">
        <v>1981867.7</v>
      </c>
      <c r="D61" s="685">
        <v>351325.99</v>
      </c>
      <c r="E61" s="685">
        <v>334571.17</v>
      </c>
      <c r="F61" s="545">
        <v>0</v>
      </c>
      <c r="G61" s="545">
        <v>0</v>
      </c>
      <c r="H61" s="545">
        <v>0</v>
      </c>
      <c r="I61" s="685">
        <v>54078794.170000002</v>
      </c>
      <c r="J61" s="685">
        <v>5120940.54</v>
      </c>
      <c r="K61" s="685">
        <v>12425468.300000001</v>
      </c>
      <c r="L61" s="685">
        <v>45500</v>
      </c>
      <c r="M61" s="685">
        <v>0</v>
      </c>
      <c r="N61" s="931">
        <v>0</v>
      </c>
      <c r="O61" s="931">
        <v>0</v>
      </c>
      <c r="P61" s="931">
        <v>0</v>
      </c>
      <c r="Q61" s="931">
        <v>0</v>
      </c>
      <c r="R61" s="931">
        <v>223997.75</v>
      </c>
      <c r="S61" s="931">
        <v>0</v>
      </c>
      <c r="T61" s="931">
        <v>0</v>
      </c>
      <c r="U61" s="685">
        <v>20677006.25</v>
      </c>
      <c r="V61" s="685">
        <v>3568993.08</v>
      </c>
      <c r="W61" s="685">
        <v>6221158.9900000002</v>
      </c>
      <c r="X61" s="685">
        <v>45011.22</v>
      </c>
      <c r="Y61" s="685">
        <v>0</v>
      </c>
      <c r="Z61" s="685">
        <v>0</v>
      </c>
      <c r="AA61" s="685">
        <v>0</v>
      </c>
      <c r="AB61" s="685">
        <v>0</v>
      </c>
      <c r="AC61" s="685">
        <v>0</v>
      </c>
      <c r="AD61" s="685">
        <v>114397.92</v>
      </c>
      <c r="AE61" s="685">
        <v>0</v>
      </c>
      <c r="AF61" s="685">
        <v>0</v>
      </c>
      <c r="AG61" s="166">
        <f t="shared" si="1"/>
        <v>43935898.159999996</v>
      </c>
    </row>
    <row r="62" spans="1:33">
      <c r="A62" s="167" t="s">
        <v>1240</v>
      </c>
      <c r="B62" s="167" t="s">
        <v>1241</v>
      </c>
      <c r="C62" s="685">
        <v>904014.97</v>
      </c>
      <c r="D62" s="685">
        <v>0</v>
      </c>
      <c r="E62" s="685">
        <v>562276.89</v>
      </c>
      <c r="F62" s="545">
        <v>0</v>
      </c>
      <c r="G62" s="545">
        <v>0</v>
      </c>
      <c r="H62" s="545">
        <v>0</v>
      </c>
      <c r="I62" s="685">
        <v>16554085.74</v>
      </c>
      <c r="J62" s="685">
        <v>947187.47</v>
      </c>
      <c r="K62" s="685">
        <v>5704543.6399999997</v>
      </c>
      <c r="L62" s="685">
        <v>0</v>
      </c>
      <c r="M62" s="685">
        <v>0</v>
      </c>
      <c r="N62" s="931">
        <v>0</v>
      </c>
      <c r="O62" s="931">
        <v>0</v>
      </c>
      <c r="P62" s="931">
        <v>0</v>
      </c>
      <c r="Q62" s="931">
        <v>0</v>
      </c>
      <c r="R62" s="931">
        <v>0</v>
      </c>
      <c r="S62" s="931">
        <v>0</v>
      </c>
      <c r="T62" s="931">
        <v>0</v>
      </c>
      <c r="U62" s="685">
        <v>7974733.9500000002</v>
      </c>
      <c r="V62" s="685">
        <v>723277.53</v>
      </c>
      <c r="W62" s="685">
        <v>3022106.96</v>
      </c>
      <c r="X62" s="685">
        <v>0</v>
      </c>
      <c r="Y62" s="685">
        <v>0</v>
      </c>
      <c r="Z62" s="685">
        <v>0</v>
      </c>
      <c r="AA62" s="685">
        <v>0</v>
      </c>
      <c r="AB62" s="685">
        <v>0</v>
      </c>
      <c r="AC62" s="685">
        <v>0</v>
      </c>
      <c r="AD62" s="685">
        <v>0</v>
      </c>
      <c r="AE62" s="685">
        <v>0</v>
      </c>
      <c r="AF62" s="685">
        <v>0</v>
      </c>
      <c r="AG62" s="166">
        <f t="shared" si="1"/>
        <v>12951990.27</v>
      </c>
    </row>
    <row r="63" spans="1:33" ht="13.8" thickBot="1">
      <c r="C63" s="277">
        <f t="shared" ref="C63:AG63" si="2">SUM(C5:C62)</f>
        <v>224040942.63999999</v>
      </c>
      <c r="D63" s="277">
        <f t="shared" si="2"/>
        <v>984053.9</v>
      </c>
      <c r="E63" s="277">
        <f t="shared" si="2"/>
        <v>222675008.19</v>
      </c>
      <c r="F63" s="277">
        <f t="shared" si="2"/>
        <v>0</v>
      </c>
      <c r="G63" s="277">
        <f t="shared" si="2"/>
        <v>0</v>
      </c>
      <c r="H63" s="277">
        <f t="shared" si="2"/>
        <v>1134331</v>
      </c>
      <c r="I63" s="277">
        <f t="shared" si="2"/>
        <v>4178855367</v>
      </c>
      <c r="J63" s="277">
        <f t="shared" si="2"/>
        <v>279565954.54000002</v>
      </c>
      <c r="K63" s="277">
        <f t="shared" si="2"/>
        <v>640391186.29999995</v>
      </c>
      <c r="L63" s="277">
        <f t="shared" si="2"/>
        <v>770875.67</v>
      </c>
      <c r="M63" s="277">
        <f t="shared" si="2"/>
        <v>0</v>
      </c>
      <c r="N63" s="277">
        <f t="shared" si="2"/>
        <v>0</v>
      </c>
      <c r="O63" s="277">
        <f t="shared" si="2"/>
        <v>0</v>
      </c>
      <c r="P63" s="277">
        <f t="shared" si="2"/>
        <v>591988.97</v>
      </c>
      <c r="Q63" s="277">
        <f t="shared" ref="Q63:T63" si="3">SUM(Q5:Q62)</f>
        <v>80795034.319999993</v>
      </c>
      <c r="R63" s="277">
        <f t="shared" si="3"/>
        <v>9918671.5</v>
      </c>
      <c r="S63" s="277">
        <f t="shared" si="3"/>
        <v>9494010.0099999998</v>
      </c>
      <c r="T63" s="277">
        <f t="shared" si="3"/>
        <v>0</v>
      </c>
      <c r="U63" s="277">
        <f t="shared" si="2"/>
        <v>1200415686.04</v>
      </c>
      <c r="V63" s="277">
        <f t="shared" si="2"/>
        <v>84792295.989999995</v>
      </c>
      <c r="W63" s="277">
        <f t="shared" si="2"/>
        <v>295014992.49000001</v>
      </c>
      <c r="X63" s="277">
        <f t="shared" si="2"/>
        <v>277268.46000000002</v>
      </c>
      <c r="Y63" s="277">
        <f t="shared" si="2"/>
        <v>0</v>
      </c>
      <c r="Z63" s="277">
        <f t="shared" si="2"/>
        <v>0</v>
      </c>
      <c r="AA63" s="277">
        <f t="shared" si="2"/>
        <v>0</v>
      </c>
      <c r="AB63" s="932">
        <f t="shared" ref="AB63:AE63" si="4">SUM(AB5:AB62)</f>
        <v>43167.46</v>
      </c>
      <c r="AC63" s="932">
        <f t="shared" si="4"/>
        <v>14570118.699999999</v>
      </c>
      <c r="AD63" s="932">
        <f t="shared" si="4"/>
        <v>3314440.97</v>
      </c>
      <c r="AE63" s="932">
        <f t="shared" si="4"/>
        <v>1531571.61</v>
      </c>
      <c r="AF63" s="932"/>
      <c r="AG63" s="277">
        <f t="shared" si="2"/>
        <v>4049257882.3200002</v>
      </c>
    </row>
    <row r="64" spans="1:33" ht="13.8" thickTop="1"/>
    <row r="65" spans="1:70">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446"/>
      <c r="BN65" s="446"/>
      <c r="BO65" s="446"/>
      <c r="BP65" s="446"/>
      <c r="BQ65" s="446"/>
      <c r="BR65" s="446"/>
    </row>
    <row r="66" spans="1:70">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row>
    <row r="67" spans="1:70">
      <c r="A67" s="186" t="s">
        <v>1707</v>
      </c>
    </row>
    <row r="68" spans="1:70">
      <c r="B68" s="167" t="s">
        <v>1708</v>
      </c>
    </row>
    <row r="69" spans="1:70">
      <c r="B69" s="167" t="s">
        <v>1709</v>
      </c>
    </row>
    <row r="70" spans="1:70">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row>
  </sheetData>
  <sheetProtection algorithmName="SHA-512" hashValue="mjb7o5BoO1llY9uRlaicNXuKaLv/lGoCd34xY1C4FXeZuhD18TDia2TwlYpoJrUh3595wtsZq7UbgM/PMQgx0A==" saltValue="2Yz+tLH0YXGyRnGDmEIeRg==" spinCount="100000" sheet="1" objects="1" scenarios="1" autoFilter="0"/>
  <mergeCells count="10">
    <mergeCell ref="AF2:AF3"/>
    <mergeCell ref="AD2:AD3"/>
    <mergeCell ref="AE2:AE3"/>
    <mergeCell ref="P2:P3"/>
    <mergeCell ref="Q2:Q3"/>
    <mergeCell ref="R2:R3"/>
    <mergeCell ref="S2:S3"/>
    <mergeCell ref="AB2:AB3"/>
    <mergeCell ref="AC2:AC3"/>
    <mergeCell ref="T2:T3"/>
  </mergeCells>
  <phoneticPr fontId="24" type="noConversion"/>
  <pageMargins left="0.75" right="0.75" top="0.68" bottom="0.56999999999999995" header="0.5" footer="0.5"/>
  <pageSetup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BN70"/>
  <sheetViews>
    <sheetView topLeftCell="B1" zoomScale="110" zoomScaleNormal="110" workbookViewId="0">
      <selection activeCell="O20" sqref="O20"/>
    </sheetView>
  </sheetViews>
  <sheetFormatPr defaultColWidth="9.28515625" defaultRowHeight="10.199999999999999"/>
  <cols>
    <col min="1" max="1" width="10.42578125" style="95" customWidth="1"/>
    <col min="2" max="2" width="37" style="95" customWidth="1"/>
    <col min="3" max="4" width="16.42578125" style="95" customWidth="1"/>
    <col min="5" max="5" width="15.140625" style="95" customWidth="1"/>
    <col min="6" max="9" width="16.28515625" style="95" customWidth="1"/>
    <col min="10" max="10" width="17" style="95" bestFit="1" customWidth="1"/>
    <col min="11" max="11" width="15.140625" style="95" customWidth="1"/>
    <col min="12" max="13" width="15.7109375" style="95" customWidth="1"/>
    <col min="14" max="14" width="19.42578125" style="95" customWidth="1"/>
    <col min="15" max="15" width="13.28515625" style="95" bestFit="1" customWidth="1"/>
    <col min="16" max="16" width="13.85546875" style="95" bestFit="1" customWidth="1"/>
    <col min="17" max="20" width="13.28515625" style="95" bestFit="1" customWidth="1"/>
    <col min="21" max="21" width="11.42578125" style="95" bestFit="1" customWidth="1"/>
    <col min="22" max="22" width="13.28515625" style="95" bestFit="1" customWidth="1"/>
    <col min="23" max="23" width="11.42578125" style="95" bestFit="1" customWidth="1"/>
    <col min="24" max="25" width="13.28515625" style="95" bestFit="1" customWidth="1"/>
    <col min="26" max="26" width="11.42578125" style="95" bestFit="1" customWidth="1"/>
    <col min="27" max="30" width="13.28515625" style="95" bestFit="1" customWidth="1"/>
    <col min="31" max="31" width="11.42578125" style="95" bestFit="1" customWidth="1"/>
    <col min="32" max="32" width="13.28515625" style="95" bestFit="1" customWidth="1"/>
    <col min="33" max="34" width="11.42578125" style="95" bestFit="1" customWidth="1"/>
    <col min="35" max="36" width="13.28515625" style="95" bestFit="1" customWidth="1"/>
    <col min="37" max="44" width="11.42578125" style="95" bestFit="1" customWidth="1"/>
    <col min="45" max="45" width="13.28515625" style="95" bestFit="1" customWidth="1"/>
    <col min="46" max="48" width="11.42578125" style="95" bestFit="1" customWidth="1"/>
    <col min="49" max="49" width="13.28515625" style="95" bestFit="1" customWidth="1"/>
    <col min="50" max="51" width="11.42578125" style="95" bestFit="1" customWidth="1"/>
    <col min="52" max="54" width="13.28515625" style="95" bestFit="1" customWidth="1"/>
    <col min="55" max="58" width="11.42578125" style="95" bestFit="1" customWidth="1"/>
    <col min="59" max="61" width="13.28515625" style="95" bestFit="1" customWidth="1"/>
    <col min="62" max="62" width="11.42578125" style="95" bestFit="1" customWidth="1"/>
    <col min="63" max="63" width="13.28515625" style="95" bestFit="1" customWidth="1"/>
    <col min="64" max="64" width="11.42578125" style="95" bestFit="1" customWidth="1"/>
    <col min="65" max="65" width="10.28515625" style="95" bestFit="1" customWidth="1"/>
    <col min="66" max="16384" width="9.28515625" style="95"/>
  </cols>
  <sheetData>
    <row r="1" spans="1:23" ht="13.2">
      <c r="B1" s="267" t="s">
        <v>1710</v>
      </c>
      <c r="C1" s="312" t="s">
        <v>1711</v>
      </c>
      <c r="D1" s="312"/>
      <c r="E1" s="280"/>
      <c r="F1" s="280"/>
      <c r="G1" s="280"/>
      <c r="H1" s="280"/>
      <c r="I1" s="280"/>
      <c r="J1" s="280"/>
      <c r="K1" s="280"/>
      <c r="L1" s="280"/>
    </row>
    <row r="2" spans="1:23" ht="13.8">
      <c r="A2" s="710" t="s">
        <v>1669</v>
      </c>
      <c r="B2" s="250" t="s">
        <v>1712</v>
      </c>
      <c r="C2" s="279"/>
      <c r="D2" s="280"/>
      <c r="E2" s="711"/>
      <c r="F2" s="711"/>
      <c r="G2" s="711"/>
      <c r="H2" s="711"/>
      <c r="I2" s="711"/>
      <c r="J2" s="711"/>
      <c r="K2" s="711"/>
      <c r="L2" s="711"/>
      <c r="M2" s="711"/>
      <c r="N2" s="281" t="s">
        <v>1713</v>
      </c>
    </row>
    <row r="3" spans="1:23" ht="35.4">
      <c r="A3" s="712" t="s">
        <v>1690</v>
      </c>
      <c r="B3" s="713" t="s">
        <v>1067</v>
      </c>
      <c r="C3" s="490" t="s">
        <v>406</v>
      </c>
      <c r="D3" s="490" t="s">
        <v>1714</v>
      </c>
      <c r="E3" s="490" t="s">
        <v>408</v>
      </c>
      <c r="F3" s="906" t="s">
        <v>1715</v>
      </c>
      <c r="G3" s="490" t="s">
        <v>1716</v>
      </c>
      <c r="H3" s="490" t="s">
        <v>1717</v>
      </c>
      <c r="I3" s="490" t="s">
        <v>411</v>
      </c>
      <c r="J3" s="490" t="s">
        <v>412</v>
      </c>
      <c r="K3" s="490" t="s">
        <v>1718</v>
      </c>
      <c r="L3" s="490" t="s">
        <v>1719</v>
      </c>
      <c r="M3" s="490" t="s">
        <v>415</v>
      </c>
      <c r="N3" s="489" t="s">
        <v>416</v>
      </c>
      <c r="P3" s="1238" t="s">
        <v>1720</v>
      </c>
      <c r="Q3" s="1238"/>
      <c r="R3" s="1238"/>
      <c r="S3" s="1238"/>
      <c r="T3" s="1238"/>
      <c r="U3" s="1238"/>
      <c r="V3" s="1238"/>
      <c r="W3" s="1238"/>
    </row>
    <row r="4" spans="1:23" ht="13.8">
      <c r="A4" s="710"/>
      <c r="B4" s="715"/>
      <c r="C4" s="716"/>
      <c r="D4" s="716"/>
      <c r="E4" s="716"/>
      <c r="F4" s="716"/>
      <c r="G4" s="716"/>
      <c r="H4" s="716"/>
      <c r="I4" s="716"/>
      <c r="J4" s="716"/>
      <c r="K4" s="716"/>
      <c r="L4" s="282"/>
      <c r="M4" s="282"/>
      <c r="N4" s="202"/>
    </row>
    <row r="5" spans="1:23" ht="13.2">
      <c r="A5" s="167" t="s">
        <v>1070</v>
      </c>
      <c r="B5" s="167" t="s">
        <v>5</v>
      </c>
      <c r="C5" s="95">
        <v>197265.81</v>
      </c>
      <c r="D5" s="95">
        <v>0</v>
      </c>
      <c r="E5" s="95">
        <v>604948.78</v>
      </c>
      <c r="F5" s="95">
        <v>0</v>
      </c>
      <c r="G5" s="95">
        <v>0</v>
      </c>
      <c r="H5" s="95">
        <v>0</v>
      </c>
      <c r="I5" s="95">
        <v>3853781</v>
      </c>
      <c r="J5" s="95">
        <v>21469649</v>
      </c>
      <c r="K5" s="95">
        <v>0</v>
      </c>
      <c r="L5" s="95">
        <v>0</v>
      </c>
      <c r="M5" s="95">
        <v>0</v>
      </c>
      <c r="N5" s="341">
        <f>SUM(C5:M5)</f>
        <v>26125644.59</v>
      </c>
    </row>
    <row r="6" spans="1:23" ht="13.2">
      <c r="A6" s="167" t="s">
        <v>1207</v>
      </c>
      <c r="B6" s="167" t="s">
        <v>1208</v>
      </c>
      <c r="C6" s="95">
        <v>165571</v>
      </c>
      <c r="D6" s="95">
        <v>0</v>
      </c>
      <c r="E6" s="95">
        <v>951272.28</v>
      </c>
      <c r="F6" s="95">
        <v>0</v>
      </c>
      <c r="G6" s="95">
        <v>0</v>
      </c>
      <c r="H6" s="95">
        <v>0</v>
      </c>
      <c r="I6" s="95">
        <v>3276884</v>
      </c>
      <c r="J6" s="95">
        <v>19018074</v>
      </c>
      <c r="K6" s="95">
        <v>0</v>
      </c>
      <c r="L6" s="95">
        <v>0</v>
      </c>
      <c r="M6" s="95">
        <v>0</v>
      </c>
      <c r="N6" s="341">
        <f t="shared" ref="N6:N62" si="0">SUM(C6:M6)</f>
        <v>23411801.280000001</v>
      </c>
      <c r="O6" s="95" t="s">
        <v>146</v>
      </c>
    </row>
    <row r="7" spans="1:23" ht="13.2">
      <c r="A7" s="167" t="s">
        <v>1072</v>
      </c>
      <c r="B7" s="167" t="s">
        <v>1704</v>
      </c>
      <c r="C7" s="95">
        <v>252322.78</v>
      </c>
      <c r="D7" s="95">
        <v>0</v>
      </c>
      <c r="E7" s="95">
        <v>3802291.75</v>
      </c>
      <c r="F7" s="95">
        <v>0</v>
      </c>
      <c r="G7" s="95">
        <v>0</v>
      </c>
      <c r="H7" s="95">
        <v>0</v>
      </c>
      <c r="I7" s="95">
        <v>7081966</v>
      </c>
      <c r="J7" s="95">
        <v>39889314</v>
      </c>
      <c r="K7" s="95">
        <v>0</v>
      </c>
      <c r="L7" s="95">
        <v>0</v>
      </c>
      <c r="M7" s="95">
        <v>0</v>
      </c>
      <c r="N7" s="341">
        <f t="shared" si="0"/>
        <v>51025894.530000001</v>
      </c>
      <c r="O7" s="95" t="s">
        <v>146</v>
      </c>
    </row>
    <row r="8" spans="1:23" ht="13.2">
      <c r="A8" s="167" t="s">
        <v>1075</v>
      </c>
      <c r="B8" s="167" t="s">
        <v>1076</v>
      </c>
      <c r="C8" s="95">
        <v>0</v>
      </c>
      <c r="D8" s="95">
        <v>0</v>
      </c>
      <c r="E8" s="95">
        <v>730549.38</v>
      </c>
      <c r="F8" s="95">
        <v>0</v>
      </c>
      <c r="G8" s="95">
        <v>0</v>
      </c>
      <c r="H8" s="95">
        <v>0</v>
      </c>
      <c r="I8" s="95">
        <v>2288855</v>
      </c>
      <c r="J8" s="95">
        <v>12691683</v>
      </c>
      <c r="K8" s="95">
        <v>0</v>
      </c>
      <c r="L8" s="95">
        <v>0</v>
      </c>
      <c r="M8" s="95">
        <v>0</v>
      </c>
      <c r="N8" s="341">
        <f t="shared" si="0"/>
        <v>15711087.380000001</v>
      </c>
      <c r="O8" s="95" t="s">
        <v>146</v>
      </c>
    </row>
    <row r="9" spans="1:23" ht="13.2">
      <c r="A9" s="167" t="s">
        <v>1078</v>
      </c>
      <c r="B9" s="167" t="s">
        <v>1079</v>
      </c>
      <c r="C9" s="95">
        <v>54149</v>
      </c>
      <c r="D9" s="95">
        <v>0</v>
      </c>
      <c r="E9" s="95">
        <v>335085.25</v>
      </c>
      <c r="F9" s="95">
        <v>0</v>
      </c>
      <c r="G9" s="95">
        <v>0</v>
      </c>
      <c r="H9" s="95">
        <v>0</v>
      </c>
      <c r="I9" s="95">
        <v>1379963</v>
      </c>
      <c r="J9" s="95">
        <v>7636399</v>
      </c>
      <c r="K9" s="95">
        <v>0</v>
      </c>
      <c r="L9" s="95">
        <v>0</v>
      </c>
      <c r="M9" s="95">
        <v>0</v>
      </c>
      <c r="N9" s="341">
        <f t="shared" si="0"/>
        <v>9405596.25</v>
      </c>
      <c r="O9" s="95" t="s">
        <v>146</v>
      </c>
    </row>
    <row r="10" spans="1:23" ht="13.2">
      <c r="A10" s="167" t="s">
        <v>1081</v>
      </c>
      <c r="B10" s="167" t="s">
        <v>1082</v>
      </c>
      <c r="C10" s="95">
        <v>235560</v>
      </c>
      <c r="D10" s="95">
        <v>0</v>
      </c>
      <c r="E10" s="95">
        <v>656148.11</v>
      </c>
      <c r="F10" s="95">
        <v>0</v>
      </c>
      <c r="G10" s="95">
        <v>0</v>
      </c>
      <c r="H10" s="95">
        <v>0</v>
      </c>
      <c r="I10" s="95">
        <v>3073191</v>
      </c>
      <c r="J10" s="95">
        <v>18088145</v>
      </c>
      <c r="K10" s="95">
        <v>0</v>
      </c>
      <c r="L10" s="95">
        <v>0</v>
      </c>
      <c r="M10" s="95">
        <v>0</v>
      </c>
      <c r="N10" s="341">
        <f t="shared" si="0"/>
        <v>22053044.109999999</v>
      </c>
      <c r="O10" s="95" t="s">
        <v>146</v>
      </c>
    </row>
    <row r="11" spans="1:23" ht="13.2">
      <c r="A11" s="167" t="s">
        <v>1084</v>
      </c>
      <c r="B11" s="167" t="s">
        <v>1085</v>
      </c>
      <c r="C11" s="95">
        <v>91901</v>
      </c>
      <c r="D11" s="95">
        <v>0</v>
      </c>
      <c r="E11" s="95">
        <v>629420.78</v>
      </c>
      <c r="F11" s="95">
        <v>0</v>
      </c>
      <c r="G11" s="95">
        <v>1733574.9</v>
      </c>
      <c r="H11" s="95">
        <v>0</v>
      </c>
      <c r="I11" s="95">
        <v>2153060</v>
      </c>
      <c r="J11" s="95">
        <v>11814360</v>
      </c>
      <c r="K11" s="95">
        <v>0</v>
      </c>
      <c r="L11" s="95">
        <v>0</v>
      </c>
      <c r="M11" s="95">
        <v>0</v>
      </c>
      <c r="N11" s="341">
        <f t="shared" si="0"/>
        <v>16422316.68</v>
      </c>
      <c r="O11" s="95" t="s">
        <v>146</v>
      </c>
    </row>
    <row r="12" spans="1:23" ht="13.2">
      <c r="A12" s="167" t="s">
        <v>1087</v>
      </c>
      <c r="B12" s="167" t="s">
        <v>1705</v>
      </c>
      <c r="C12" s="95">
        <v>46645.43</v>
      </c>
      <c r="D12" s="95">
        <v>0</v>
      </c>
      <c r="E12" s="95">
        <v>2075620.26</v>
      </c>
      <c r="F12" s="95">
        <v>0</v>
      </c>
      <c r="G12" s="95">
        <v>1229473.73</v>
      </c>
      <c r="H12" s="95">
        <v>0</v>
      </c>
      <c r="I12" s="95">
        <v>4081823</v>
      </c>
      <c r="J12" s="95">
        <v>22836743</v>
      </c>
      <c r="K12" s="95">
        <v>0</v>
      </c>
      <c r="L12" s="95">
        <v>0</v>
      </c>
      <c r="M12" s="95">
        <v>0</v>
      </c>
      <c r="N12" s="341">
        <f t="shared" si="0"/>
        <v>30270305.420000002</v>
      </c>
      <c r="O12" s="95" t="s">
        <v>146</v>
      </c>
    </row>
    <row r="13" spans="1:23" ht="13.2">
      <c r="A13" s="167" t="s">
        <v>1090</v>
      </c>
      <c r="B13" s="167" t="s">
        <v>1091</v>
      </c>
      <c r="C13" s="95">
        <v>257298</v>
      </c>
      <c r="D13" s="95">
        <v>0</v>
      </c>
      <c r="E13" s="95">
        <v>1723686.45</v>
      </c>
      <c r="F13" s="95">
        <v>0</v>
      </c>
      <c r="G13" s="95">
        <v>0</v>
      </c>
      <c r="H13" s="95">
        <v>0</v>
      </c>
      <c r="I13" s="95">
        <v>9193351</v>
      </c>
      <c r="J13" s="95">
        <v>52217606</v>
      </c>
      <c r="K13" s="95">
        <v>0</v>
      </c>
      <c r="L13" s="95">
        <v>0</v>
      </c>
      <c r="M13" s="95">
        <v>0</v>
      </c>
      <c r="N13" s="341">
        <f t="shared" si="0"/>
        <v>63391941.450000003</v>
      </c>
      <c r="O13" s="95" t="s">
        <v>146</v>
      </c>
    </row>
    <row r="14" spans="1:23" ht="13.2">
      <c r="A14" s="167" t="s">
        <v>1093</v>
      </c>
      <c r="B14" s="167" t="s">
        <v>1094</v>
      </c>
      <c r="C14" s="95">
        <v>276298.46000000002</v>
      </c>
      <c r="D14" s="95">
        <v>0</v>
      </c>
      <c r="E14" s="95">
        <v>721757.16</v>
      </c>
      <c r="F14" s="95">
        <v>0</v>
      </c>
      <c r="G14" s="95">
        <v>0</v>
      </c>
      <c r="H14" s="95">
        <v>0</v>
      </c>
      <c r="I14" s="95">
        <v>2267784</v>
      </c>
      <c r="J14" s="95">
        <v>12875615</v>
      </c>
      <c r="K14" s="95">
        <v>0</v>
      </c>
      <c r="L14" s="95">
        <v>0</v>
      </c>
      <c r="M14" s="95">
        <v>0</v>
      </c>
      <c r="N14" s="341">
        <f t="shared" si="0"/>
        <v>16141454.619999999</v>
      </c>
      <c r="O14" s="95" t="s">
        <v>146</v>
      </c>
    </row>
    <row r="15" spans="1:23" ht="13.2">
      <c r="A15" s="167" t="s">
        <v>1096</v>
      </c>
      <c r="B15" s="167" t="s">
        <v>1097</v>
      </c>
      <c r="C15" s="95">
        <v>2486331.0299999998</v>
      </c>
      <c r="D15" s="95">
        <v>0</v>
      </c>
      <c r="E15" s="95">
        <v>2698779.41</v>
      </c>
      <c r="F15" s="95">
        <v>0</v>
      </c>
      <c r="G15" s="95">
        <v>0</v>
      </c>
      <c r="H15" s="95">
        <v>0</v>
      </c>
      <c r="I15" s="95">
        <v>5547477</v>
      </c>
      <c r="J15" s="95">
        <v>30884424</v>
      </c>
      <c r="K15" s="95">
        <v>0</v>
      </c>
      <c r="L15" s="95">
        <v>0</v>
      </c>
      <c r="M15" s="95">
        <v>0</v>
      </c>
      <c r="N15" s="341">
        <f t="shared" si="0"/>
        <v>41617011.439999998</v>
      </c>
      <c r="O15" s="95" t="s">
        <v>146</v>
      </c>
    </row>
    <row r="16" spans="1:23" ht="13.2">
      <c r="A16" s="167" t="s">
        <v>1099</v>
      </c>
      <c r="B16" s="167" t="s">
        <v>1100</v>
      </c>
      <c r="C16" s="95">
        <v>663452</v>
      </c>
      <c r="D16" s="95">
        <v>0</v>
      </c>
      <c r="E16" s="95">
        <v>2592306.9700000002</v>
      </c>
      <c r="F16" s="95">
        <v>0</v>
      </c>
      <c r="G16" s="95">
        <v>0</v>
      </c>
      <c r="H16" s="95">
        <v>0</v>
      </c>
      <c r="I16" s="95">
        <v>7116617</v>
      </c>
      <c r="J16" s="95">
        <v>39684162</v>
      </c>
      <c r="K16" s="95">
        <v>0</v>
      </c>
      <c r="L16" s="95">
        <v>0</v>
      </c>
      <c r="M16" s="95">
        <v>0</v>
      </c>
      <c r="N16" s="341">
        <f t="shared" si="0"/>
        <v>50056537.969999999</v>
      </c>
      <c r="O16" s="95" t="s">
        <v>146</v>
      </c>
    </row>
    <row r="17" spans="1:15" ht="13.2">
      <c r="A17" s="167" t="s">
        <v>1102</v>
      </c>
      <c r="B17" s="167" t="s">
        <v>1103</v>
      </c>
      <c r="C17" s="95">
        <v>5969626.8899999997</v>
      </c>
      <c r="D17" s="95">
        <v>0</v>
      </c>
      <c r="E17" s="95">
        <v>5588699.0800000001</v>
      </c>
      <c r="F17" s="95">
        <v>0</v>
      </c>
      <c r="G17" s="95">
        <v>3611382.77</v>
      </c>
      <c r="H17" s="95">
        <v>0</v>
      </c>
      <c r="I17" s="95">
        <v>21007553</v>
      </c>
      <c r="J17" s="95">
        <v>120783848</v>
      </c>
      <c r="K17" s="95">
        <v>0</v>
      </c>
      <c r="L17" s="95">
        <v>0</v>
      </c>
      <c r="M17" s="95">
        <v>0</v>
      </c>
      <c r="N17" s="341">
        <f t="shared" si="0"/>
        <v>156961109.74000001</v>
      </c>
      <c r="O17" s="95" t="s">
        <v>146</v>
      </c>
    </row>
    <row r="18" spans="1:15" ht="13.2">
      <c r="A18" s="167" t="s">
        <v>1105</v>
      </c>
      <c r="B18" s="167" t="s">
        <v>1106</v>
      </c>
      <c r="C18" s="95">
        <v>89441</v>
      </c>
      <c r="D18" s="95">
        <v>0</v>
      </c>
      <c r="E18" s="95">
        <v>1224499.1499999999</v>
      </c>
      <c r="F18" s="95">
        <v>0</v>
      </c>
      <c r="G18" s="95">
        <v>0</v>
      </c>
      <c r="H18" s="95">
        <v>0</v>
      </c>
      <c r="I18" s="95">
        <v>2773505</v>
      </c>
      <c r="J18" s="95">
        <v>15701421</v>
      </c>
      <c r="K18" s="95">
        <v>0</v>
      </c>
      <c r="L18" s="95">
        <v>0</v>
      </c>
      <c r="M18" s="95">
        <v>0</v>
      </c>
      <c r="N18" s="341">
        <f t="shared" si="0"/>
        <v>19788866.149999999</v>
      </c>
      <c r="O18" s="95" t="s">
        <v>146</v>
      </c>
    </row>
    <row r="19" spans="1:15" ht="13.2">
      <c r="A19" s="167" t="s">
        <v>1108</v>
      </c>
      <c r="B19" s="167" t="s">
        <v>1109</v>
      </c>
      <c r="C19" s="95">
        <v>235376</v>
      </c>
      <c r="D19" s="95">
        <v>0</v>
      </c>
      <c r="E19" s="95">
        <v>777362.51</v>
      </c>
      <c r="F19" s="95">
        <v>0</v>
      </c>
      <c r="G19" s="95">
        <v>0</v>
      </c>
      <c r="H19" s="95">
        <v>0</v>
      </c>
      <c r="I19" s="95">
        <v>4637648</v>
      </c>
      <c r="J19" s="95">
        <v>26424869</v>
      </c>
      <c r="K19" s="95">
        <v>0</v>
      </c>
      <c r="L19" s="95">
        <v>0</v>
      </c>
      <c r="M19" s="95">
        <v>0</v>
      </c>
      <c r="N19" s="341">
        <f t="shared" si="0"/>
        <v>32075255.510000002</v>
      </c>
      <c r="O19" s="95" t="s">
        <v>146</v>
      </c>
    </row>
    <row r="20" spans="1:15" ht="13.2">
      <c r="A20" s="167" t="s">
        <v>1111</v>
      </c>
      <c r="B20" s="167" t="s">
        <v>1112</v>
      </c>
      <c r="C20" s="95">
        <v>111564.76</v>
      </c>
      <c r="D20" s="95">
        <v>0</v>
      </c>
      <c r="E20" s="95">
        <v>536870.96</v>
      </c>
      <c r="F20" s="95">
        <v>0</v>
      </c>
      <c r="G20" s="95">
        <v>0</v>
      </c>
      <c r="H20" s="95">
        <v>0</v>
      </c>
      <c r="I20" s="95">
        <v>2629749</v>
      </c>
      <c r="J20" s="95">
        <v>14965543</v>
      </c>
      <c r="K20" s="95">
        <v>0</v>
      </c>
      <c r="L20" s="95">
        <v>0</v>
      </c>
      <c r="M20" s="95">
        <v>0</v>
      </c>
      <c r="N20" s="341">
        <f t="shared" si="0"/>
        <v>18243727.719999999</v>
      </c>
      <c r="O20" s="95" t="s">
        <v>146</v>
      </c>
    </row>
    <row r="21" spans="1:15" ht="13.2">
      <c r="A21" s="167" t="s">
        <v>1114</v>
      </c>
      <c r="B21" s="167" t="s">
        <v>1115</v>
      </c>
      <c r="C21" s="95">
        <v>343130.09</v>
      </c>
      <c r="D21" s="95">
        <v>0</v>
      </c>
      <c r="E21" s="95">
        <v>893741.67</v>
      </c>
      <c r="F21" s="95">
        <v>0</v>
      </c>
      <c r="G21" s="95">
        <v>0</v>
      </c>
      <c r="H21" s="95">
        <v>0</v>
      </c>
      <c r="I21" s="95">
        <v>3489943</v>
      </c>
      <c r="J21" s="95">
        <v>19358890</v>
      </c>
      <c r="K21" s="95">
        <v>0</v>
      </c>
      <c r="L21" s="95">
        <v>0</v>
      </c>
      <c r="M21" s="95">
        <v>0</v>
      </c>
      <c r="N21" s="341">
        <f t="shared" si="0"/>
        <v>24085704.760000002</v>
      </c>
      <c r="O21" s="95" t="s">
        <v>146</v>
      </c>
    </row>
    <row r="22" spans="1:15" ht="13.2">
      <c r="A22" s="167" t="s">
        <v>1117</v>
      </c>
      <c r="B22" s="209" t="s">
        <v>1118</v>
      </c>
      <c r="C22" s="95">
        <v>217273</v>
      </c>
      <c r="D22" s="95">
        <v>0</v>
      </c>
      <c r="E22" s="95">
        <v>1007849.82</v>
      </c>
      <c r="F22" s="95">
        <v>0</v>
      </c>
      <c r="G22" s="95">
        <v>0</v>
      </c>
      <c r="H22" s="95">
        <v>0</v>
      </c>
      <c r="I22" s="95">
        <v>4067775</v>
      </c>
      <c r="J22" s="95">
        <v>23295373</v>
      </c>
      <c r="K22" s="95">
        <v>0</v>
      </c>
      <c r="L22" s="95">
        <v>0</v>
      </c>
      <c r="M22" s="95">
        <v>0</v>
      </c>
      <c r="N22" s="341">
        <f t="shared" si="0"/>
        <v>28588270.82</v>
      </c>
      <c r="O22" s="95" t="s">
        <v>146</v>
      </c>
    </row>
    <row r="23" spans="1:15" ht="13.2">
      <c r="A23" s="167" t="s">
        <v>1120</v>
      </c>
      <c r="B23" s="167" t="s">
        <v>1121</v>
      </c>
      <c r="C23" s="95">
        <v>2298660</v>
      </c>
      <c r="D23" s="95">
        <v>0</v>
      </c>
      <c r="E23" s="95">
        <v>2947823.47</v>
      </c>
      <c r="F23" s="95">
        <v>0</v>
      </c>
      <c r="G23" s="95">
        <v>0</v>
      </c>
      <c r="H23" s="95">
        <v>0</v>
      </c>
      <c r="I23" s="95">
        <v>5911784</v>
      </c>
      <c r="J23" s="95">
        <v>33206757</v>
      </c>
      <c r="K23" s="95">
        <v>0</v>
      </c>
      <c r="L23" s="95">
        <v>0</v>
      </c>
      <c r="M23" s="95">
        <v>0</v>
      </c>
      <c r="N23" s="341">
        <f t="shared" si="0"/>
        <v>44365024.469999999</v>
      </c>
      <c r="O23" s="95" t="s">
        <v>146</v>
      </c>
    </row>
    <row r="24" spans="1:15" ht="13.2">
      <c r="A24" s="167" t="s">
        <v>1123</v>
      </c>
      <c r="B24" s="167" t="s">
        <v>1124</v>
      </c>
      <c r="C24" s="95">
        <v>129096</v>
      </c>
      <c r="D24" s="95">
        <v>0</v>
      </c>
      <c r="E24" s="95">
        <v>662059.24</v>
      </c>
      <c r="F24" s="95">
        <v>0</v>
      </c>
      <c r="G24" s="95">
        <v>12187252.26</v>
      </c>
      <c r="H24" s="95">
        <v>0</v>
      </c>
      <c r="I24" s="95">
        <v>2062217</v>
      </c>
      <c r="J24" s="95">
        <v>11436432</v>
      </c>
      <c r="K24" s="95">
        <v>0</v>
      </c>
      <c r="L24" s="95">
        <v>0</v>
      </c>
      <c r="M24" s="95">
        <v>0</v>
      </c>
      <c r="N24" s="341">
        <f t="shared" si="0"/>
        <v>26477056.5</v>
      </c>
      <c r="O24" s="95" t="s">
        <v>146</v>
      </c>
    </row>
    <row r="25" spans="1:15" ht="13.2">
      <c r="A25" s="167" t="s">
        <v>1126</v>
      </c>
      <c r="B25" s="167" t="s">
        <v>1127</v>
      </c>
      <c r="C25" s="95">
        <v>52332</v>
      </c>
      <c r="D25" s="95">
        <v>0</v>
      </c>
      <c r="E25" s="95">
        <v>2530952.66</v>
      </c>
      <c r="F25" s="95">
        <v>0</v>
      </c>
      <c r="G25" s="95">
        <v>0</v>
      </c>
      <c r="H25" s="95">
        <v>0</v>
      </c>
      <c r="I25" s="95">
        <v>13058838</v>
      </c>
      <c r="J25" s="95">
        <v>74396017</v>
      </c>
      <c r="K25" s="95">
        <v>0</v>
      </c>
      <c r="L25" s="95">
        <v>0</v>
      </c>
      <c r="M25" s="95">
        <v>0</v>
      </c>
      <c r="N25" s="341">
        <f t="shared" si="0"/>
        <v>90038139.659999996</v>
      </c>
      <c r="O25" s="95" t="s">
        <v>146</v>
      </c>
    </row>
    <row r="26" spans="1:15" ht="13.2">
      <c r="A26" s="167" t="s">
        <v>1129</v>
      </c>
      <c r="B26" s="167" t="s">
        <v>1130</v>
      </c>
      <c r="C26" s="95">
        <v>1198625.08</v>
      </c>
      <c r="D26" s="95">
        <v>0</v>
      </c>
      <c r="E26" s="95">
        <v>4640795.26</v>
      </c>
      <c r="F26" s="95">
        <v>0</v>
      </c>
      <c r="G26" s="95">
        <v>0</v>
      </c>
      <c r="H26" s="95">
        <v>0</v>
      </c>
      <c r="I26" s="95">
        <v>8908648</v>
      </c>
      <c r="J26" s="95">
        <v>48970897</v>
      </c>
      <c r="K26" s="95">
        <v>0</v>
      </c>
      <c r="L26" s="95">
        <v>0</v>
      </c>
      <c r="M26" s="95">
        <v>0</v>
      </c>
      <c r="N26" s="341">
        <f t="shared" si="0"/>
        <v>63718965.340000004</v>
      </c>
      <c r="O26" s="95" t="s">
        <v>146</v>
      </c>
    </row>
    <row r="27" spans="1:15" ht="13.2">
      <c r="A27" s="167" t="s">
        <v>1132</v>
      </c>
      <c r="B27" s="167" t="s">
        <v>1133</v>
      </c>
      <c r="C27" s="95">
        <v>862245.35</v>
      </c>
      <c r="D27" s="95">
        <v>0</v>
      </c>
      <c r="E27" s="95">
        <v>2171612.42</v>
      </c>
      <c r="F27" s="95">
        <v>0</v>
      </c>
      <c r="G27" s="95">
        <v>0</v>
      </c>
      <c r="H27" s="95">
        <v>0</v>
      </c>
      <c r="I27" s="95">
        <v>5884625</v>
      </c>
      <c r="J27" s="95">
        <v>32485092</v>
      </c>
      <c r="K27" s="95">
        <v>0</v>
      </c>
      <c r="L27" s="95">
        <v>0</v>
      </c>
      <c r="M27" s="95">
        <v>0</v>
      </c>
      <c r="N27" s="341">
        <f t="shared" si="0"/>
        <v>41403574.770000003</v>
      </c>
      <c r="O27" s="95" t="s">
        <v>146</v>
      </c>
    </row>
    <row r="28" spans="1:15" ht="13.2">
      <c r="A28" s="167" t="s">
        <v>1135</v>
      </c>
      <c r="B28" s="167" t="s">
        <v>1136</v>
      </c>
      <c r="C28" s="95">
        <v>2786604.45</v>
      </c>
      <c r="D28" s="95">
        <v>0</v>
      </c>
      <c r="E28" s="95">
        <v>2072686.05</v>
      </c>
      <c r="F28" s="95">
        <v>0</v>
      </c>
      <c r="G28" s="95">
        <v>0</v>
      </c>
      <c r="H28" s="95">
        <v>0</v>
      </c>
      <c r="I28" s="95">
        <v>10358850</v>
      </c>
      <c r="J28" s="95">
        <v>57252093</v>
      </c>
      <c r="K28" s="95">
        <v>0</v>
      </c>
      <c r="L28" s="95">
        <v>0</v>
      </c>
      <c r="M28" s="95">
        <v>0</v>
      </c>
      <c r="N28" s="341">
        <f t="shared" si="0"/>
        <v>72470233.5</v>
      </c>
      <c r="O28" s="95" t="s">
        <v>146</v>
      </c>
    </row>
    <row r="29" spans="1:15" ht="13.2">
      <c r="A29" s="167" t="s">
        <v>1138</v>
      </c>
      <c r="B29" s="167" t="s">
        <v>1139</v>
      </c>
      <c r="C29" s="95">
        <v>109480.53</v>
      </c>
      <c r="D29" s="95">
        <v>0</v>
      </c>
      <c r="E29" s="95">
        <v>567098.23</v>
      </c>
      <c r="F29" s="95">
        <v>0</v>
      </c>
      <c r="G29" s="95">
        <v>0</v>
      </c>
      <c r="H29" s="95">
        <v>0</v>
      </c>
      <c r="I29" s="95">
        <v>1927359</v>
      </c>
      <c r="J29" s="95">
        <v>10828051</v>
      </c>
      <c r="K29" s="95">
        <v>0</v>
      </c>
      <c r="L29" s="95">
        <v>0</v>
      </c>
      <c r="M29" s="95">
        <v>0</v>
      </c>
      <c r="N29" s="341">
        <f t="shared" si="0"/>
        <v>13431988.76</v>
      </c>
      <c r="O29" s="95" t="s">
        <v>146</v>
      </c>
    </row>
    <row r="30" spans="1:15" ht="13.2">
      <c r="A30" s="167" t="s">
        <v>1141</v>
      </c>
      <c r="B30" s="167" t="s">
        <v>1142</v>
      </c>
      <c r="C30" s="95">
        <v>0</v>
      </c>
      <c r="D30" s="95">
        <v>0</v>
      </c>
      <c r="E30" s="95">
        <v>883303.73</v>
      </c>
      <c r="F30" s="95">
        <v>0</v>
      </c>
      <c r="G30" s="95">
        <v>0</v>
      </c>
      <c r="H30" s="95">
        <v>0</v>
      </c>
      <c r="I30" s="95">
        <v>2317419</v>
      </c>
      <c r="J30" s="95">
        <v>13481063</v>
      </c>
      <c r="K30" s="95">
        <v>0</v>
      </c>
      <c r="L30" s="95">
        <v>0</v>
      </c>
      <c r="M30" s="95">
        <v>0</v>
      </c>
      <c r="N30" s="341">
        <f t="shared" si="0"/>
        <v>16681785.73</v>
      </c>
      <c r="O30" s="95" t="s">
        <v>146</v>
      </c>
    </row>
    <row r="31" spans="1:15" ht="13.2">
      <c r="A31" s="167" t="s">
        <v>1144</v>
      </c>
      <c r="B31" s="167" t="s">
        <v>1145</v>
      </c>
      <c r="C31" s="95">
        <v>261442.92</v>
      </c>
      <c r="D31" s="95">
        <v>0</v>
      </c>
      <c r="E31" s="95">
        <v>1057638.1599999999</v>
      </c>
      <c r="F31" s="95">
        <v>0</v>
      </c>
      <c r="G31" s="95">
        <v>0</v>
      </c>
      <c r="H31" s="95">
        <v>0</v>
      </c>
      <c r="I31" s="95">
        <v>2755711</v>
      </c>
      <c r="J31" s="95">
        <v>15446961</v>
      </c>
      <c r="K31" s="95">
        <v>0</v>
      </c>
      <c r="L31" s="95">
        <v>0</v>
      </c>
      <c r="M31" s="95">
        <v>0</v>
      </c>
      <c r="N31" s="341">
        <f t="shared" si="0"/>
        <v>19521753.079999998</v>
      </c>
      <c r="O31" s="95" t="s">
        <v>146</v>
      </c>
    </row>
    <row r="32" spans="1:15" ht="13.2">
      <c r="A32" s="167" t="s">
        <v>1147</v>
      </c>
      <c r="B32" s="167" t="s">
        <v>1148</v>
      </c>
      <c r="C32" s="95">
        <v>0</v>
      </c>
      <c r="D32" s="95">
        <v>0</v>
      </c>
      <c r="E32" s="95">
        <v>667990.26</v>
      </c>
      <c r="F32" s="95">
        <v>0</v>
      </c>
      <c r="G32" s="95">
        <v>0</v>
      </c>
      <c r="H32" s="95">
        <v>0</v>
      </c>
      <c r="I32" s="95">
        <v>1821064</v>
      </c>
      <c r="J32" s="95">
        <v>10374336</v>
      </c>
      <c r="K32" s="95">
        <v>0</v>
      </c>
      <c r="L32" s="95">
        <v>0</v>
      </c>
      <c r="M32" s="95">
        <v>0</v>
      </c>
      <c r="N32" s="341">
        <f t="shared" si="0"/>
        <v>12863390.26</v>
      </c>
      <c r="O32" s="95" t="s">
        <v>146</v>
      </c>
    </row>
    <row r="33" spans="1:15" ht="13.2">
      <c r="A33" s="167" t="s">
        <v>1150</v>
      </c>
      <c r="B33" s="167" t="s">
        <v>1151</v>
      </c>
      <c r="C33" s="95">
        <v>0</v>
      </c>
      <c r="D33" s="95">
        <v>0</v>
      </c>
      <c r="E33" s="95">
        <v>1365434.92</v>
      </c>
      <c r="F33" s="95">
        <v>0</v>
      </c>
      <c r="G33" s="95">
        <v>3129026.71</v>
      </c>
      <c r="H33" s="95">
        <v>0</v>
      </c>
      <c r="I33" s="95">
        <v>5483326</v>
      </c>
      <c r="J33" s="95">
        <v>30958415</v>
      </c>
      <c r="K33" s="95">
        <v>0</v>
      </c>
      <c r="L33" s="95">
        <v>0</v>
      </c>
      <c r="M33" s="95">
        <v>0</v>
      </c>
      <c r="N33" s="341">
        <f t="shared" si="0"/>
        <v>40936202.630000003</v>
      </c>
      <c r="O33" s="95" t="s">
        <v>146</v>
      </c>
    </row>
    <row r="34" spans="1:15" ht="13.2">
      <c r="A34" s="167" t="s">
        <v>1153</v>
      </c>
      <c r="B34" s="167" t="s">
        <v>1154</v>
      </c>
      <c r="C34" s="95">
        <v>430675.93</v>
      </c>
      <c r="D34" s="95">
        <v>0</v>
      </c>
      <c r="E34" s="95">
        <v>1391107.34</v>
      </c>
      <c r="F34" s="95">
        <v>0</v>
      </c>
      <c r="G34" s="95">
        <v>1760622.98</v>
      </c>
      <c r="H34" s="95">
        <v>0</v>
      </c>
      <c r="I34" s="95">
        <v>4382446</v>
      </c>
      <c r="J34" s="95">
        <v>25099273</v>
      </c>
      <c r="K34" s="95">
        <v>0</v>
      </c>
      <c r="L34" s="95">
        <v>0</v>
      </c>
      <c r="M34" s="95">
        <v>0</v>
      </c>
      <c r="N34" s="341">
        <f t="shared" si="0"/>
        <v>33064125.25</v>
      </c>
      <c r="O34" s="95" t="s">
        <v>146</v>
      </c>
    </row>
    <row r="35" spans="1:15" ht="13.2">
      <c r="A35" s="167" t="s">
        <v>1156</v>
      </c>
      <c r="B35" s="167" t="s">
        <v>1157</v>
      </c>
      <c r="C35" s="95">
        <v>31099</v>
      </c>
      <c r="D35" s="95">
        <v>0</v>
      </c>
      <c r="E35" s="95">
        <v>435154.05</v>
      </c>
      <c r="F35" s="95">
        <v>0</v>
      </c>
      <c r="G35" s="95">
        <v>0</v>
      </c>
      <c r="H35" s="95">
        <v>0</v>
      </c>
      <c r="I35" s="95">
        <v>1184230</v>
      </c>
      <c r="J35" s="95">
        <v>6639557</v>
      </c>
      <c r="K35" s="95">
        <v>0</v>
      </c>
      <c r="L35" s="95">
        <v>0</v>
      </c>
      <c r="M35" s="95">
        <v>0</v>
      </c>
      <c r="N35" s="341">
        <f t="shared" si="0"/>
        <v>8290040.0499999998</v>
      </c>
      <c r="O35" s="95" t="s">
        <v>146</v>
      </c>
    </row>
    <row r="36" spans="1:15" ht="13.2">
      <c r="A36" s="167" t="s">
        <v>1159</v>
      </c>
      <c r="B36" s="167" t="s">
        <v>1160</v>
      </c>
      <c r="C36" s="95">
        <v>12494.14</v>
      </c>
      <c r="D36" s="95">
        <v>0</v>
      </c>
      <c r="E36" s="95">
        <v>683823.03</v>
      </c>
      <c r="F36" s="95">
        <v>0</v>
      </c>
      <c r="G36" s="95">
        <v>0</v>
      </c>
      <c r="H36" s="95">
        <v>0</v>
      </c>
      <c r="I36" s="95">
        <v>1623926</v>
      </c>
      <c r="J36" s="95">
        <v>9308234</v>
      </c>
      <c r="K36" s="95">
        <v>0</v>
      </c>
      <c r="L36" s="95">
        <v>0</v>
      </c>
      <c r="M36" s="95">
        <v>0</v>
      </c>
      <c r="N36" s="341">
        <f t="shared" si="0"/>
        <v>11628477.17</v>
      </c>
      <c r="O36" s="95" t="s">
        <v>146</v>
      </c>
    </row>
    <row r="37" spans="1:15" ht="13.2">
      <c r="A37" s="167" t="s">
        <v>1162</v>
      </c>
      <c r="B37" s="167" t="s">
        <v>1163</v>
      </c>
      <c r="C37" s="95">
        <v>0</v>
      </c>
      <c r="D37" s="95">
        <v>0</v>
      </c>
      <c r="E37" s="95">
        <v>863129.14</v>
      </c>
      <c r="F37" s="95">
        <v>0</v>
      </c>
      <c r="G37" s="95">
        <v>0</v>
      </c>
      <c r="H37" s="95">
        <v>0</v>
      </c>
      <c r="I37" s="95">
        <v>1263834</v>
      </c>
      <c r="J37" s="95">
        <v>6909360</v>
      </c>
      <c r="K37" s="95">
        <v>0</v>
      </c>
      <c r="L37" s="95">
        <v>0</v>
      </c>
      <c r="M37" s="95">
        <v>0</v>
      </c>
      <c r="N37" s="341">
        <f t="shared" si="0"/>
        <v>9036323.1400000006</v>
      </c>
      <c r="O37" s="95" t="s">
        <v>146</v>
      </c>
    </row>
    <row r="38" spans="1:15" ht="13.2">
      <c r="A38" s="167" t="s">
        <v>1165</v>
      </c>
      <c r="B38" s="167" t="s">
        <v>1166</v>
      </c>
      <c r="C38" s="95">
        <v>510857</v>
      </c>
      <c r="D38" s="95">
        <v>0</v>
      </c>
      <c r="E38" s="95">
        <v>809158.38</v>
      </c>
      <c r="F38" s="95">
        <v>0</v>
      </c>
      <c r="G38" s="95">
        <v>0</v>
      </c>
      <c r="H38" s="95">
        <v>0</v>
      </c>
      <c r="I38" s="95">
        <v>3134533</v>
      </c>
      <c r="J38" s="95">
        <v>17772277</v>
      </c>
      <c r="K38" s="95">
        <v>0</v>
      </c>
      <c r="L38" s="95">
        <v>0</v>
      </c>
      <c r="M38" s="95">
        <v>0</v>
      </c>
      <c r="N38" s="341">
        <f t="shared" si="0"/>
        <v>22226825.379999999</v>
      </c>
      <c r="O38" s="95" t="s">
        <v>146</v>
      </c>
    </row>
    <row r="39" spans="1:15" ht="13.2">
      <c r="A39" s="167" t="s">
        <v>1168</v>
      </c>
      <c r="B39" s="167" t="s">
        <v>1169</v>
      </c>
      <c r="C39" s="95">
        <v>0</v>
      </c>
      <c r="D39" s="95">
        <v>0</v>
      </c>
      <c r="E39" s="95">
        <v>237150.84</v>
      </c>
      <c r="F39" s="95">
        <v>0</v>
      </c>
      <c r="G39" s="95">
        <v>0</v>
      </c>
      <c r="H39" s="95">
        <v>0</v>
      </c>
      <c r="I39" s="95">
        <v>1380431</v>
      </c>
      <c r="J39" s="95">
        <v>8064079</v>
      </c>
      <c r="K39" s="95">
        <v>0</v>
      </c>
      <c r="L39" s="95">
        <v>0</v>
      </c>
      <c r="M39" s="95">
        <v>0</v>
      </c>
      <c r="N39" s="341">
        <f t="shared" si="0"/>
        <v>9681660.8399999999</v>
      </c>
      <c r="O39" s="95" t="s">
        <v>146</v>
      </c>
    </row>
    <row r="40" spans="1:15" ht="13.2">
      <c r="A40" s="167" t="s">
        <v>1171</v>
      </c>
      <c r="B40" s="167" t="s">
        <v>1172</v>
      </c>
      <c r="C40" s="95">
        <v>305627.40000000002</v>
      </c>
      <c r="D40" s="95">
        <v>0</v>
      </c>
      <c r="E40" s="95">
        <v>1656349.7</v>
      </c>
      <c r="F40" s="95">
        <v>0</v>
      </c>
      <c r="G40" s="95">
        <v>0</v>
      </c>
      <c r="H40" s="95">
        <v>0</v>
      </c>
      <c r="I40" s="95">
        <v>3667413</v>
      </c>
      <c r="J40" s="95">
        <v>21172362</v>
      </c>
      <c r="K40" s="95">
        <v>0</v>
      </c>
      <c r="L40" s="95">
        <v>0</v>
      </c>
      <c r="M40" s="95">
        <v>0</v>
      </c>
      <c r="N40" s="341">
        <f t="shared" si="0"/>
        <v>26801752.100000001</v>
      </c>
      <c r="O40" s="95" t="s">
        <v>146</v>
      </c>
    </row>
    <row r="41" spans="1:15" ht="13.2">
      <c r="A41" s="167" t="s">
        <v>1174</v>
      </c>
      <c r="B41" s="167" t="s">
        <v>1175</v>
      </c>
      <c r="C41" s="95">
        <v>26651</v>
      </c>
      <c r="D41" s="95">
        <v>0</v>
      </c>
      <c r="E41" s="95">
        <v>323238.34999999998</v>
      </c>
      <c r="F41" s="95">
        <v>0</v>
      </c>
      <c r="G41" s="95">
        <v>0</v>
      </c>
      <c r="H41" s="95">
        <v>0</v>
      </c>
      <c r="I41" s="95">
        <v>1073720</v>
      </c>
      <c r="J41" s="95">
        <v>5978739</v>
      </c>
      <c r="K41" s="95">
        <v>0</v>
      </c>
      <c r="L41" s="95">
        <v>0</v>
      </c>
      <c r="M41" s="95">
        <v>0</v>
      </c>
      <c r="N41" s="341">
        <f t="shared" si="0"/>
        <v>7402348.3499999996</v>
      </c>
      <c r="O41" s="95" t="s">
        <v>146</v>
      </c>
    </row>
    <row r="42" spans="1:15" ht="13.2">
      <c r="A42" s="167" t="s">
        <v>1177</v>
      </c>
      <c r="B42" s="167" t="s">
        <v>1178</v>
      </c>
      <c r="C42" s="95">
        <v>225827.23</v>
      </c>
      <c r="D42" s="95">
        <v>0</v>
      </c>
      <c r="E42" s="95">
        <v>851672.75</v>
      </c>
      <c r="F42" s="95">
        <v>0</v>
      </c>
      <c r="G42" s="95">
        <v>0</v>
      </c>
      <c r="H42" s="95">
        <v>0</v>
      </c>
      <c r="I42" s="95">
        <v>2011177</v>
      </c>
      <c r="J42" s="95">
        <v>11559328</v>
      </c>
      <c r="K42" s="95">
        <v>0</v>
      </c>
      <c r="L42" s="95">
        <v>0</v>
      </c>
      <c r="M42" s="95">
        <v>0</v>
      </c>
      <c r="N42" s="341">
        <f t="shared" si="0"/>
        <v>14648004.98</v>
      </c>
      <c r="O42" s="95" t="s">
        <v>146</v>
      </c>
    </row>
    <row r="43" spans="1:15" ht="13.2">
      <c r="A43" s="167" t="s">
        <v>1180</v>
      </c>
      <c r="B43" s="167" t="s">
        <v>1181</v>
      </c>
      <c r="C43" s="95">
        <v>349503</v>
      </c>
      <c r="D43" s="95">
        <v>0</v>
      </c>
      <c r="E43" s="95">
        <v>2095788.59</v>
      </c>
      <c r="F43" s="95">
        <v>0</v>
      </c>
      <c r="G43" s="95">
        <v>0</v>
      </c>
      <c r="H43" s="95">
        <v>0</v>
      </c>
      <c r="I43" s="95">
        <v>8630034</v>
      </c>
      <c r="J43" s="95">
        <v>48734068</v>
      </c>
      <c r="K43" s="95">
        <v>0</v>
      </c>
      <c r="L43" s="95">
        <v>0</v>
      </c>
      <c r="M43" s="95">
        <v>0</v>
      </c>
      <c r="N43" s="341">
        <f t="shared" si="0"/>
        <v>59809393.590000004</v>
      </c>
      <c r="O43" s="95" t="s">
        <v>146</v>
      </c>
    </row>
    <row r="44" spans="1:15" ht="13.2">
      <c r="A44" s="167" t="s">
        <v>1183</v>
      </c>
      <c r="B44" s="167" t="s">
        <v>1184</v>
      </c>
      <c r="C44" s="95">
        <v>23849.13</v>
      </c>
      <c r="D44" s="95">
        <v>0</v>
      </c>
      <c r="E44" s="95">
        <v>965563.15</v>
      </c>
      <c r="F44" s="95">
        <v>0</v>
      </c>
      <c r="G44" s="95">
        <v>0</v>
      </c>
      <c r="H44" s="95">
        <v>0</v>
      </c>
      <c r="I44" s="95">
        <v>3391608</v>
      </c>
      <c r="J44" s="95">
        <v>19184464</v>
      </c>
      <c r="K44" s="95">
        <v>0</v>
      </c>
      <c r="L44" s="95">
        <v>0</v>
      </c>
      <c r="M44" s="95">
        <v>0</v>
      </c>
      <c r="N44" s="341">
        <f t="shared" si="0"/>
        <v>23565484.280000001</v>
      </c>
      <c r="O44" s="95" t="s">
        <v>146</v>
      </c>
    </row>
    <row r="45" spans="1:15" ht="13.2">
      <c r="A45" s="167" t="s">
        <v>1186</v>
      </c>
      <c r="B45" s="167" t="s">
        <v>1187</v>
      </c>
      <c r="C45" s="95">
        <v>0</v>
      </c>
      <c r="D45" s="95">
        <v>0</v>
      </c>
      <c r="E45" s="95">
        <v>869740.36</v>
      </c>
      <c r="F45" s="95">
        <v>0</v>
      </c>
      <c r="G45" s="95">
        <v>0</v>
      </c>
      <c r="H45" s="95">
        <v>0</v>
      </c>
      <c r="I45" s="95">
        <v>3536769</v>
      </c>
      <c r="J45" s="95">
        <v>19792552</v>
      </c>
      <c r="K45" s="95">
        <v>0</v>
      </c>
      <c r="L45" s="95">
        <v>0</v>
      </c>
      <c r="M45" s="95">
        <v>0</v>
      </c>
      <c r="N45" s="341">
        <f t="shared" si="0"/>
        <v>24199061.359999999</v>
      </c>
      <c r="O45" s="95" t="s">
        <v>146</v>
      </c>
    </row>
    <row r="46" spans="1:15" ht="13.2">
      <c r="A46" s="167" t="s">
        <v>1189</v>
      </c>
      <c r="B46" s="167" t="s">
        <v>1190</v>
      </c>
      <c r="C46" s="95">
        <v>0</v>
      </c>
      <c r="D46" s="95">
        <v>0</v>
      </c>
      <c r="E46" s="95">
        <v>198741.42</v>
      </c>
      <c r="F46" s="95">
        <v>0</v>
      </c>
      <c r="G46" s="95">
        <v>0</v>
      </c>
      <c r="H46" s="95">
        <v>0</v>
      </c>
      <c r="I46" s="95">
        <v>789018</v>
      </c>
      <c r="J46" s="95">
        <v>4763546</v>
      </c>
      <c r="K46" s="95">
        <v>0</v>
      </c>
      <c r="L46" s="95">
        <v>0</v>
      </c>
      <c r="M46" s="95">
        <v>0</v>
      </c>
      <c r="N46" s="341">
        <f t="shared" si="0"/>
        <v>5751305.4199999999</v>
      </c>
      <c r="O46" s="95" t="s">
        <v>146</v>
      </c>
    </row>
    <row r="47" spans="1:15" ht="13.2">
      <c r="A47" s="167" t="s">
        <v>1192</v>
      </c>
      <c r="B47" s="167" t="s">
        <v>1193</v>
      </c>
      <c r="C47" s="95">
        <v>0</v>
      </c>
      <c r="D47" s="95">
        <v>0</v>
      </c>
      <c r="E47" s="95">
        <v>1285906.77</v>
      </c>
      <c r="F47" s="95">
        <v>0</v>
      </c>
      <c r="G47" s="95">
        <v>2118011.89</v>
      </c>
      <c r="H47" s="95">
        <v>0</v>
      </c>
      <c r="I47" s="95">
        <v>2801600</v>
      </c>
      <c r="J47" s="95">
        <v>15770152</v>
      </c>
      <c r="K47" s="95">
        <v>0</v>
      </c>
      <c r="L47" s="95">
        <v>0</v>
      </c>
      <c r="M47" s="95">
        <v>0</v>
      </c>
      <c r="N47" s="341">
        <f t="shared" si="0"/>
        <v>21975670.66</v>
      </c>
      <c r="O47" s="95" t="s">
        <v>146</v>
      </c>
    </row>
    <row r="48" spans="1:15" ht="13.2">
      <c r="A48" s="167" t="s">
        <v>1195</v>
      </c>
      <c r="B48" s="167" t="s">
        <v>1196</v>
      </c>
      <c r="C48" s="95">
        <v>1922.08</v>
      </c>
      <c r="D48" s="95">
        <v>0</v>
      </c>
      <c r="E48" s="95">
        <v>641039.81999999995</v>
      </c>
      <c r="F48" s="95">
        <v>0</v>
      </c>
      <c r="G48" s="95">
        <v>0</v>
      </c>
      <c r="H48" s="95">
        <v>0</v>
      </c>
      <c r="I48" s="95">
        <v>2183497</v>
      </c>
      <c r="J48" s="95">
        <v>12116146</v>
      </c>
      <c r="K48" s="95">
        <v>0</v>
      </c>
      <c r="L48" s="95">
        <v>0</v>
      </c>
      <c r="M48" s="95">
        <v>0</v>
      </c>
      <c r="N48" s="341">
        <f t="shared" si="0"/>
        <v>14942604.9</v>
      </c>
      <c r="O48" s="95" t="s">
        <v>146</v>
      </c>
    </row>
    <row r="49" spans="1:15" ht="13.2">
      <c r="A49" s="167" t="s">
        <v>1198</v>
      </c>
      <c r="B49" s="167" t="s">
        <v>1199</v>
      </c>
      <c r="C49" s="95">
        <v>13010618.300000001</v>
      </c>
      <c r="D49" s="95">
        <v>0</v>
      </c>
      <c r="E49" s="95">
        <v>1555308.2</v>
      </c>
      <c r="F49" s="95">
        <v>0</v>
      </c>
      <c r="G49" s="95">
        <v>0</v>
      </c>
      <c r="H49" s="95">
        <v>0</v>
      </c>
      <c r="I49" s="95">
        <v>6649293</v>
      </c>
      <c r="J49" s="95">
        <v>37459720</v>
      </c>
      <c r="K49" s="95">
        <v>0</v>
      </c>
      <c r="L49" s="95">
        <v>0</v>
      </c>
      <c r="M49" s="95">
        <v>0</v>
      </c>
      <c r="N49" s="341">
        <f t="shared" si="0"/>
        <v>58674939.5</v>
      </c>
      <c r="O49" s="95" t="s">
        <v>146</v>
      </c>
    </row>
    <row r="50" spans="1:15" ht="13.2">
      <c r="A50" s="167" t="s">
        <v>1201</v>
      </c>
      <c r="B50" s="167" t="s">
        <v>1202</v>
      </c>
      <c r="C50" s="95">
        <v>127349</v>
      </c>
      <c r="D50" s="95">
        <v>0</v>
      </c>
      <c r="E50" s="95">
        <v>545600.21</v>
      </c>
      <c r="F50" s="95">
        <v>0</v>
      </c>
      <c r="G50" s="95">
        <v>0</v>
      </c>
      <c r="H50" s="95">
        <v>0</v>
      </c>
      <c r="I50" s="95">
        <v>2041146</v>
      </c>
      <c r="J50" s="95">
        <v>11778770</v>
      </c>
      <c r="K50" s="95">
        <v>0</v>
      </c>
      <c r="L50" s="95">
        <v>0</v>
      </c>
      <c r="M50" s="95">
        <v>0</v>
      </c>
      <c r="N50" s="341">
        <f t="shared" si="0"/>
        <v>14492865.210000001</v>
      </c>
      <c r="O50" s="95" t="s">
        <v>146</v>
      </c>
    </row>
    <row r="51" spans="1:15" ht="13.2">
      <c r="A51" s="167" t="s">
        <v>1204</v>
      </c>
      <c r="B51" s="167" t="s">
        <v>1205</v>
      </c>
      <c r="C51" s="95">
        <v>210247</v>
      </c>
      <c r="D51" s="95">
        <v>0</v>
      </c>
      <c r="E51" s="95">
        <v>1494208.95</v>
      </c>
      <c r="F51" s="95">
        <v>0</v>
      </c>
      <c r="G51" s="95">
        <v>3642573.65</v>
      </c>
      <c r="H51" s="95">
        <v>0</v>
      </c>
      <c r="I51" s="95">
        <v>4474694</v>
      </c>
      <c r="J51" s="95">
        <v>25026992</v>
      </c>
      <c r="K51" s="95">
        <v>930546.67</v>
      </c>
      <c r="L51" s="95">
        <v>0</v>
      </c>
      <c r="M51" s="95">
        <v>0</v>
      </c>
      <c r="N51" s="341">
        <f t="shared" si="0"/>
        <v>35779262.270000003</v>
      </c>
      <c r="O51" s="95" t="s">
        <v>146</v>
      </c>
    </row>
    <row r="52" spans="1:15" ht="13.2">
      <c r="A52" s="167" t="s">
        <v>1210</v>
      </c>
      <c r="B52" s="167" t="s">
        <v>1211</v>
      </c>
      <c r="C52" s="95">
        <v>7640</v>
      </c>
      <c r="D52" s="95">
        <v>0</v>
      </c>
      <c r="E52" s="95">
        <v>546007.22</v>
      </c>
      <c r="F52" s="95">
        <v>0</v>
      </c>
      <c r="G52" s="95">
        <v>0</v>
      </c>
      <c r="H52" s="95">
        <v>0</v>
      </c>
      <c r="I52" s="95">
        <v>2350666</v>
      </c>
      <c r="J52" s="95">
        <v>13451282</v>
      </c>
      <c r="K52" s="95">
        <v>0</v>
      </c>
      <c r="L52" s="95">
        <v>0</v>
      </c>
      <c r="M52" s="95">
        <v>0</v>
      </c>
      <c r="N52" s="341">
        <f t="shared" si="0"/>
        <v>16355595.220000001</v>
      </c>
      <c r="O52" s="95" t="s">
        <v>146</v>
      </c>
    </row>
    <row r="53" spans="1:15" ht="13.2">
      <c r="A53" s="167" t="s">
        <v>1213</v>
      </c>
      <c r="B53" s="167" t="s">
        <v>1214</v>
      </c>
      <c r="C53" s="95">
        <v>372696</v>
      </c>
      <c r="D53" s="95">
        <v>0</v>
      </c>
      <c r="E53" s="95">
        <v>954641.73</v>
      </c>
      <c r="F53" s="95">
        <v>0</v>
      </c>
      <c r="G53" s="95">
        <v>0</v>
      </c>
      <c r="H53" s="95">
        <v>0</v>
      </c>
      <c r="I53" s="95">
        <v>2949570</v>
      </c>
      <c r="J53" s="95">
        <v>16477684</v>
      </c>
      <c r="K53" s="95">
        <v>0</v>
      </c>
      <c r="L53" s="95">
        <v>0</v>
      </c>
      <c r="M53" s="95">
        <v>0</v>
      </c>
      <c r="N53" s="341">
        <f t="shared" si="0"/>
        <v>20754591.73</v>
      </c>
      <c r="O53" s="95" t="s">
        <v>146</v>
      </c>
    </row>
    <row r="54" spans="1:15" ht="13.2">
      <c r="A54" s="167" t="s">
        <v>1216</v>
      </c>
      <c r="B54" s="167" t="s">
        <v>1217</v>
      </c>
      <c r="C54" s="95">
        <v>122098.05</v>
      </c>
      <c r="D54" s="95">
        <v>0</v>
      </c>
      <c r="E54" s="95">
        <v>870760.54</v>
      </c>
      <c r="F54" s="95">
        <v>0</v>
      </c>
      <c r="G54" s="95">
        <v>0</v>
      </c>
      <c r="H54" s="95">
        <v>0</v>
      </c>
      <c r="I54" s="95">
        <v>3297488</v>
      </c>
      <c r="J54" s="95">
        <v>18612492</v>
      </c>
      <c r="K54" s="95">
        <v>0</v>
      </c>
      <c r="L54" s="95">
        <v>0</v>
      </c>
      <c r="M54" s="95">
        <v>0</v>
      </c>
      <c r="N54" s="341">
        <f t="shared" si="0"/>
        <v>22902838.59</v>
      </c>
      <c r="O54" s="95" t="s">
        <v>146</v>
      </c>
    </row>
    <row r="55" spans="1:15" ht="13.2">
      <c r="A55" s="167" t="s">
        <v>1219</v>
      </c>
      <c r="B55" s="167" t="s">
        <v>1220</v>
      </c>
      <c r="C55" s="95">
        <v>0</v>
      </c>
      <c r="D55" s="95">
        <v>0</v>
      </c>
      <c r="E55" s="95">
        <v>729275.18</v>
      </c>
      <c r="F55" s="95">
        <v>0</v>
      </c>
      <c r="G55" s="95">
        <v>0</v>
      </c>
      <c r="H55" s="95">
        <v>0</v>
      </c>
      <c r="I55" s="95">
        <v>3489474</v>
      </c>
      <c r="J55" s="95">
        <v>19740126</v>
      </c>
      <c r="K55" s="95">
        <v>0</v>
      </c>
      <c r="L55" s="95">
        <v>0</v>
      </c>
      <c r="M55" s="95">
        <v>0</v>
      </c>
      <c r="N55" s="341">
        <f t="shared" si="0"/>
        <v>23958875.18</v>
      </c>
      <c r="O55" s="95" t="s">
        <v>146</v>
      </c>
    </row>
    <row r="56" spans="1:15" ht="13.2">
      <c r="A56" s="167" t="s">
        <v>1222</v>
      </c>
      <c r="B56" s="167" t="s">
        <v>1223</v>
      </c>
      <c r="C56" s="95">
        <v>164413</v>
      </c>
      <c r="D56" s="95">
        <v>0</v>
      </c>
      <c r="E56" s="95">
        <v>479444.84</v>
      </c>
      <c r="F56" s="95">
        <v>0</v>
      </c>
      <c r="G56" s="95">
        <v>0</v>
      </c>
      <c r="H56" s="95">
        <v>0</v>
      </c>
      <c r="I56" s="95">
        <v>1595830</v>
      </c>
      <c r="J56" s="95">
        <v>8651287</v>
      </c>
      <c r="K56" s="95">
        <v>0</v>
      </c>
      <c r="L56" s="95">
        <v>0</v>
      </c>
      <c r="M56" s="95">
        <v>0</v>
      </c>
      <c r="N56" s="341">
        <f t="shared" si="0"/>
        <v>10890974.84</v>
      </c>
      <c r="O56" s="95" t="s">
        <v>146</v>
      </c>
    </row>
    <row r="57" spans="1:15" ht="13.2">
      <c r="A57" s="167" t="s">
        <v>1225</v>
      </c>
      <c r="B57" s="167" t="s">
        <v>1226</v>
      </c>
      <c r="C57" s="95">
        <v>0</v>
      </c>
      <c r="D57" s="95">
        <v>0</v>
      </c>
      <c r="E57" s="95">
        <v>1519178.32</v>
      </c>
      <c r="F57" s="95">
        <v>0</v>
      </c>
      <c r="G57" s="95">
        <v>0</v>
      </c>
      <c r="H57" s="95">
        <v>0</v>
      </c>
      <c r="I57" s="95">
        <v>3391140</v>
      </c>
      <c r="J57" s="95">
        <v>19224763</v>
      </c>
      <c r="K57" s="95">
        <v>0</v>
      </c>
      <c r="L57" s="95">
        <v>0</v>
      </c>
      <c r="M57" s="95">
        <v>0</v>
      </c>
      <c r="N57" s="341">
        <f t="shared" si="0"/>
        <v>24135081.32</v>
      </c>
      <c r="O57" s="95" t="s">
        <v>146</v>
      </c>
    </row>
    <row r="58" spans="1:15" ht="13.2">
      <c r="A58" s="167" t="s">
        <v>1228</v>
      </c>
      <c r="B58" s="167" t="s">
        <v>1229</v>
      </c>
      <c r="C58" s="95">
        <v>36298907.280000001</v>
      </c>
      <c r="D58" s="95">
        <v>0</v>
      </c>
      <c r="E58" s="95">
        <v>5660502.7999999998</v>
      </c>
      <c r="F58" s="95">
        <v>0</v>
      </c>
      <c r="G58" s="95">
        <v>0</v>
      </c>
      <c r="H58" s="95">
        <v>0</v>
      </c>
      <c r="I58" s="95">
        <v>26724540</v>
      </c>
      <c r="J58" s="95">
        <v>151182084</v>
      </c>
      <c r="K58" s="95">
        <v>0</v>
      </c>
      <c r="L58" s="95">
        <v>0</v>
      </c>
      <c r="M58" s="95">
        <v>0</v>
      </c>
      <c r="N58" s="341">
        <f t="shared" si="0"/>
        <v>219866034.08000001</v>
      </c>
      <c r="O58" s="95" t="s">
        <v>146</v>
      </c>
    </row>
    <row r="59" spans="1:15" ht="13.2">
      <c r="A59" s="167" t="s">
        <v>1231</v>
      </c>
      <c r="B59" s="167" t="s">
        <v>1232</v>
      </c>
      <c r="C59" s="95">
        <v>588824</v>
      </c>
      <c r="D59" s="95">
        <v>0</v>
      </c>
      <c r="E59" s="95">
        <v>950529.04</v>
      </c>
      <c r="F59" s="95">
        <v>0</v>
      </c>
      <c r="G59" s="95">
        <v>0</v>
      </c>
      <c r="H59" s="95">
        <v>0</v>
      </c>
      <c r="I59" s="95">
        <v>4492019</v>
      </c>
      <c r="J59" s="95">
        <v>25448910</v>
      </c>
      <c r="K59" s="95">
        <v>0</v>
      </c>
      <c r="L59" s="95">
        <v>0</v>
      </c>
      <c r="M59" s="95">
        <v>0</v>
      </c>
      <c r="N59" s="341">
        <f t="shared" si="0"/>
        <v>31480282.039999999</v>
      </c>
      <c r="O59" s="95" t="s">
        <v>146</v>
      </c>
    </row>
    <row r="60" spans="1:15" ht="13.2">
      <c r="A60" s="167" t="s">
        <v>1234</v>
      </c>
      <c r="B60" s="167" t="s">
        <v>1235</v>
      </c>
      <c r="C60" s="95">
        <v>111640</v>
      </c>
      <c r="D60" s="95">
        <v>0</v>
      </c>
      <c r="E60" s="95">
        <v>664926.47</v>
      </c>
      <c r="F60" s="95">
        <v>0</v>
      </c>
      <c r="G60" s="95">
        <v>0</v>
      </c>
      <c r="H60" s="95">
        <v>0</v>
      </c>
      <c r="I60" s="95">
        <v>2256545</v>
      </c>
      <c r="J60" s="95">
        <v>12479342</v>
      </c>
      <c r="K60" s="95">
        <v>0</v>
      </c>
      <c r="L60" s="95">
        <v>0</v>
      </c>
      <c r="M60" s="95">
        <v>0</v>
      </c>
      <c r="N60" s="341">
        <f t="shared" si="0"/>
        <v>15512453.470000001</v>
      </c>
      <c r="O60" s="95" t="s">
        <v>146</v>
      </c>
    </row>
    <row r="61" spans="1:15" ht="13.2">
      <c r="A61" s="167" t="s">
        <v>1237</v>
      </c>
      <c r="B61" s="167" t="s">
        <v>1238</v>
      </c>
      <c r="C61" s="95">
        <v>109605.95</v>
      </c>
      <c r="D61" s="95">
        <v>0</v>
      </c>
      <c r="E61" s="95">
        <v>2172656</v>
      </c>
      <c r="F61" s="95">
        <v>0</v>
      </c>
      <c r="G61" s="95">
        <v>120885.22</v>
      </c>
      <c r="H61" s="95">
        <v>0</v>
      </c>
      <c r="I61" s="95">
        <v>4064966</v>
      </c>
      <c r="J61" s="95">
        <v>23221648</v>
      </c>
      <c r="K61" s="95">
        <v>0</v>
      </c>
      <c r="L61" s="95">
        <v>0</v>
      </c>
      <c r="M61" s="95">
        <v>0</v>
      </c>
      <c r="N61" s="341">
        <f t="shared" si="0"/>
        <v>29689761.170000002</v>
      </c>
      <c r="O61" s="95" t="s">
        <v>146</v>
      </c>
    </row>
    <row r="62" spans="1:15" ht="13.2">
      <c r="A62" s="167" t="s">
        <v>1240</v>
      </c>
      <c r="B62" s="167" t="s">
        <v>1241</v>
      </c>
      <c r="C62" s="95">
        <v>0</v>
      </c>
      <c r="D62" s="95">
        <v>0</v>
      </c>
      <c r="E62" s="95">
        <v>507245.37</v>
      </c>
      <c r="F62" s="95">
        <v>0</v>
      </c>
      <c r="G62" s="95">
        <v>0</v>
      </c>
      <c r="H62" s="95">
        <v>0</v>
      </c>
      <c r="I62" s="95">
        <v>2106702</v>
      </c>
      <c r="J62" s="95">
        <v>11699994</v>
      </c>
      <c r="K62" s="95">
        <v>0</v>
      </c>
      <c r="L62" s="95">
        <v>0</v>
      </c>
      <c r="M62" s="95">
        <v>0</v>
      </c>
      <c r="N62" s="341">
        <f t="shared" si="0"/>
        <v>14313941.369999999</v>
      </c>
      <c r="O62" s="95" t="s">
        <v>146</v>
      </c>
    </row>
    <row r="63" spans="1:15" ht="10.8" thickBot="1">
      <c r="C63" s="96">
        <f t="shared" ref="C63:N63" si="1">SUM(C5:C62)</f>
        <v>72434237.069999993</v>
      </c>
      <c r="D63" s="96">
        <f>SUM(D5:D62)</f>
        <v>0</v>
      </c>
      <c r="E63" s="96">
        <f t="shared" si="1"/>
        <v>79076132.730000004</v>
      </c>
      <c r="F63" s="96">
        <f t="shared" si="1"/>
        <v>0</v>
      </c>
      <c r="G63" s="96">
        <f t="shared" si="1"/>
        <v>29532804.109999999</v>
      </c>
      <c r="H63" s="96">
        <f t="shared" si="1"/>
        <v>0</v>
      </c>
      <c r="I63" s="96">
        <f>SUM(I5:I62)</f>
        <v>261349075</v>
      </c>
      <c r="J63" s="96">
        <f>SUM(J5:J62)</f>
        <v>1475791463</v>
      </c>
      <c r="K63" s="96">
        <f t="shared" si="1"/>
        <v>930546.67</v>
      </c>
      <c r="L63" s="96">
        <f t="shared" si="1"/>
        <v>0</v>
      </c>
      <c r="M63" s="96">
        <f t="shared" si="1"/>
        <v>0</v>
      </c>
      <c r="N63" s="96">
        <f t="shared" si="1"/>
        <v>1919114258.5799999</v>
      </c>
    </row>
    <row r="64" spans="1:15" ht="10.8" thickTop="1"/>
    <row r="65" spans="1:66" ht="11.4">
      <c r="C65" s="546"/>
      <c r="D65" s="546"/>
      <c r="E65" s="546"/>
      <c r="F65" s="546"/>
      <c r="G65" s="546"/>
      <c r="H65" s="546"/>
      <c r="I65" s="546"/>
      <c r="J65" s="546"/>
      <c r="K65" s="546"/>
      <c r="L65" s="546"/>
      <c r="M65" s="546"/>
      <c r="N65" s="546"/>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row>
    <row r="66" spans="1:66" ht="13.2">
      <c r="A66" s="186" t="s">
        <v>1707</v>
      </c>
      <c r="B66" s="167"/>
      <c r="C66" s="546"/>
      <c r="D66" s="546"/>
      <c r="E66" s="546"/>
      <c r="F66" s="546"/>
      <c r="G66" s="546"/>
      <c r="H66" s="546"/>
      <c r="I66" s="546"/>
      <c r="J66" s="546"/>
      <c r="K66" s="546"/>
      <c r="L66" s="546"/>
      <c r="M66" s="546"/>
      <c r="N66" s="546"/>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row>
    <row r="67" spans="1:66" ht="13.2">
      <c r="A67" s="167"/>
      <c r="B67" s="167" t="s">
        <v>1721</v>
      </c>
    </row>
    <row r="68" spans="1:66" ht="13.2">
      <c r="A68" s="167"/>
      <c r="B68" s="167" t="s">
        <v>1722</v>
      </c>
    </row>
    <row r="69" spans="1:66" ht="13.2">
      <c r="B69" s="167" t="s">
        <v>1723</v>
      </c>
    </row>
    <row r="70" spans="1:66" ht="13.2">
      <c r="B70" s="167"/>
    </row>
  </sheetData>
  <sheetProtection algorithmName="SHA-512" hashValue="9D6qpTsEfc0cLiHRHsNPYThCjt5iiyLHHrUAvmeit7r2FpHsp/sIoqyVRGgkr6HGKlcLxa5WeKjrqsw8kugz+g==" saltValue="4cM0vIo8ygmmO9zNsO97/Q==" spinCount="100000" sheet="1" objects="1" scenarios="1" autoFilter="0"/>
  <mergeCells count="1">
    <mergeCell ref="P3:W3"/>
  </mergeCells>
  <phoneticPr fontId="43" type="noConversion"/>
  <pageMargins left="0.75" right="0.75" top="1" bottom="1" header="0.5" footer="0.5"/>
  <pageSetup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ECCA-5EE8-4C22-BB72-4E3776381110}">
  <sheetPr codeName="Sheet37"/>
  <dimension ref="A1:J68"/>
  <sheetViews>
    <sheetView zoomScaleNormal="100" workbookViewId="0">
      <selection activeCell="P20" sqref="P20"/>
    </sheetView>
  </sheetViews>
  <sheetFormatPr defaultColWidth="9.28515625" defaultRowHeight="10.199999999999999"/>
  <cols>
    <col min="1" max="1" width="8.42578125" bestFit="1" customWidth="1"/>
    <col min="2" max="2" width="39.28515625" bestFit="1" customWidth="1"/>
    <col min="3" max="3" width="17.140625" bestFit="1" customWidth="1"/>
    <col min="4" max="5" width="17.140625" customWidth="1"/>
    <col min="6" max="9" width="15.28515625" bestFit="1" customWidth="1"/>
    <col min="10" max="10" width="13.42578125" bestFit="1" customWidth="1"/>
  </cols>
  <sheetData>
    <row r="1" spans="1:10" ht="13.2">
      <c r="A1" s="95"/>
      <c r="B1" s="267" t="s">
        <v>1710</v>
      </c>
      <c r="C1" s="280"/>
      <c r="D1" s="280"/>
      <c r="E1" s="280"/>
      <c r="F1" s="280"/>
      <c r="G1" s="280"/>
      <c r="H1" s="280"/>
      <c r="I1" s="280"/>
    </row>
    <row r="2" spans="1:10" ht="13.8">
      <c r="A2" s="710" t="s">
        <v>1669</v>
      </c>
      <c r="B2" s="915" t="s">
        <v>1957</v>
      </c>
      <c r="C2" s="711"/>
      <c r="D2" s="711"/>
      <c r="E2" s="711"/>
      <c r="F2" s="711"/>
      <c r="G2" s="711"/>
      <c r="H2" s="711"/>
      <c r="I2" s="711"/>
    </row>
    <row r="3" spans="1:10" ht="31.8">
      <c r="A3" s="712" t="s">
        <v>1690</v>
      </c>
      <c r="B3" s="713" t="s">
        <v>1067</v>
      </c>
      <c r="C3" s="490" t="s">
        <v>411</v>
      </c>
      <c r="D3" s="714" t="s">
        <v>1724</v>
      </c>
      <c r="E3" s="490" t="s">
        <v>1725</v>
      </c>
      <c r="F3" s="490" t="s">
        <v>1726</v>
      </c>
      <c r="G3" s="490" t="s">
        <v>1727</v>
      </c>
      <c r="H3" s="490" t="s">
        <v>1728</v>
      </c>
      <c r="I3" s="490" t="s">
        <v>1729</v>
      </c>
    </row>
    <row r="4" spans="1:10" ht="13.8">
      <c r="A4" s="710"/>
      <c r="B4" s="715"/>
      <c r="C4" s="716"/>
      <c r="D4" s="716"/>
      <c r="E4" s="716"/>
      <c r="F4" s="716"/>
      <c r="G4" s="716"/>
      <c r="H4" s="716"/>
      <c r="I4" s="716"/>
    </row>
    <row r="5" spans="1:10" ht="13.2">
      <c r="A5" s="167" t="s">
        <v>1070</v>
      </c>
      <c r="B5" s="167" t="s">
        <v>5</v>
      </c>
      <c r="C5" s="717">
        <v>12256720</v>
      </c>
      <c r="D5" s="717">
        <v>295327</v>
      </c>
      <c r="E5" s="717">
        <v>16513917</v>
      </c>
      <c r="F5" s="717">
        <v>9167854</v>
      </c>
      <c r="G5" s="717">
        <v>21106</v>
      </c>
      <c r="H5" s="718">
        <v>4020</v>
      </c>
      <c r="I5" s="719">
        <f>+H5+F5</f>
        <v>9171874</v>
      </c>
    </row>
    <row r="6" spans="1:10" ht="13.2">
      <c r="A6" s="167" t="s">
        <v>1207</v>
      </c>
      <c r="B6" s="167" t="s">
        <v>1208</v>
      </c>
      <c r="C6" s="717">
        <v>10983256</v>
      </c>
      <c r="D6" s="717">
        <v>156222</v>
      </c>
      <c r="E6" s="717">
        <v>14660542</v>
      </c>
      <c r="F6" s="717">
        <v>8148322</v>
      </c>
      <c r="G6" s="717">
        <v>19232</v>
      </c>
      <c r="H6" s="718">
        <v>6390</v>
      </c>
      <c r="I6" s="719">
        <f t="shared" ref="I6:I62" si="0">+H6+F6</f>
        <v>8154712</v>
      </c>
    </row>
    <row r="7" spans="1:10" ht="13.2">
      <c r="A7" s="167" t="s">
        <v>1072</v>
      </c>
      <c r="B7" s="167" t="s">
        <v>1704</v>
      </c>
      <c r="C7" s="717">
        <v>22098608</v>
      </c>
      <c r="D7" s="717">
        <v>581078</v>
      </c>
      <c r="E7" s="717">
        <v>30189316</v>
      </c>
      <c r="F7" s="717">
        <v>16142764</v>
      </c>
      <c r="G7" s="717">
        <v>38503</v>
      </c>
      <c r="H7" s="718">
        <v>10833</v>
      </c>
      <c r="I7" s="719">
        <f t="shared" si="0"/>
        <v>16153597</v>
      </c>
      <c r="J7" s="719"/>
    </row>
    <row r="8" spans="1:10" ht="13.2">
      <c r="A8" s="167" t="s">
        <v>1075</v>
      </c>
      <c r="B8" s="167" t="s">
        <v>1076</v>
      </c>
      <c r="C8" s="717">
        <v>7229654</v>
      </c>
      <c r="D8" s="717">
        <v>157444</v>
      </c>
      <c r="E8" s="717">
        <v>9734407</v>
      </c>
      <c r="F8" s="717">
        <v>4660541</v>
      </c>
      <c r="G8" s="717">
        <v>12604</v>
      </c>
      <c r="H8" s="718">
        <v>4043</v>
      </c>
      <c r="I8" s="719">
        <f t="shared" si="0"/>
        <v>4664584</v>
      </c>
      <c r="J8" s="719"/>
    </row>
    <row r="9" spans="1:10" ht="13.2">
      <c r="A9" s="167" t="s">
        <v>1078</v>
      </c>
      <c r="B9" s="167" t="s">
        <v>1079</v>
      </c>
      <c r="C9" s="717">
        <v>4329481</v>
      </c>
      <c r="D9" s="717">
        <v>66669</v>
      </c>
      <c r="E9" s="717">
        <v>5678782</v>
      </c>
      <c r="F9" s="717">
        <v>3102856</v>
      </c>
      <c r="G9" s="717">
        <v>7369</v>
      </c>
      <c r="H9" s="718">
        <v>1365</v>
      </c>
      <c r="I9" s="719">
        <f t="shared" si="0"/>
        <v>3104221</v>
      </c>
      <c r="J9" s="719"/>
    </row>
    <row r="10" spans="1:10" ht="13.2">
      <c r="A10" s="167" t="s">
        <v>1081</v>
      </c>
      <c r="B10" s="167" t="s">
        <v>1082</v>
      </c>
      <c r="C10" s="717">
        <v>10720549</v>
      </c>
      <c r="D10" s="717">
        <v>306314</v>
      </c>
      <c r="E10" s="717">
        <v>13913952</v>
      </c>
      <c r="F10" s="717">
        <v>6667076</v>
      </c>
      <c r="G10" s="717">
        <v>18920</v>
      </c>
      <c r="H10" s="718">
        <v>9179</v>
      </c>
      <c r="I10" s="719">
        <f t="shared" si="0"/>
        <v>6676255</v>
      </c>
      <c r="J10" s="719"/>
    </row>
    <row r="11" spans="1:10" ht="13.2">
      <c r="A11" s="167" t="s">
        <v>1084</v>
      </c>
      <c r="B11" s="167" t="s">
        <v>1085</v>
      </c>
      <c r="C11" s="717">
        <v>6827429</v>
      </c>
      <c r="D11" s="717">
        <v>93059</v>
      </c>
      <c r="E11" s="717">
        <v>9252248</v>
      </c>
      <c r="F11" s="717">
        <v>4566347</v>
      </c>
      <c r="G11" s="717">
        <v>11706</v>
      </c>
      <c r="H11" s="718">
        <v>3022</v>
      </c>
      <c r="I11" s="719">
        <f t="shared" si="0"/>
        <v>4569369</v>
      </c>
      <c r="J11" s="719"/>
    </row>
    <row r="12" spans="1:10" ht="13.2">
      <c r="A12" s="167" t="s">
        <v>1087</v>
      </c>
      <c r="B12" s="167" t="s">
        <v>1705</v>
      </c>
      <c r="C12" s="717">
        <v>13453005</v>
      </c>
      <c r="D12" s="717">
        <v>194083</v>
      </c>
      <c r="E12" s="717">
        <v>17892586</v>
      </c>
      <c r="F12" s="717">
        <v>9599436</v>
      </c>
      <c r="G12" s="717">
        <v>23186</v>
      </c>
      <c r="H12" s="718">
        <v>4650</v>
      </c>
      <c r="I12" s="719">
        <f t="shared" si="0"/>
        <v>9604086</v>
      </c>
      <c r="J12" s="719"/>
    </row>
    <row r="13" spans="1:10" ht="13.2">
      <c r="A13" s="167" t="s">
        <v>1090</v>
      </c>
      <c r="B13" s="167" t="s">
        <v>1091</v>
      </c>
      <c r="C13" s="717">
        <v>30196533</v>
      </c>
      <c r="D13" s="717">
        <v>802061</v>
      </c>
      <c r="E13" s="717">
        <v>40950824</v>
      </c>
      <c r="F13" s="717">
        <v>21971814</v>
      </c>
      <c r="G13" s="717">
        <v>52464</v>
      </c>
      <c r="H13" s="718">
        <v>11380</v>
      </c>
      <c r="I13" s="719">
        <f t="shared" si="0"/>
        <v>21983194</v>
      </c>
      <c r="J13" s="719"/>
    </row>
    <row r="14" spans="1:10" ht="13.2">
      <c r="A14" s="167" t="s">
        <v>1093</v>
      </c>
      <c r="B14" s="167" t="s">
        <v>1094</v>
      </c>
      <c r="C14" s="717">
        <v>7397371</v>
      </c>
      <c r="D14" s="717">
        <v>100827</v>
      </c>
      <c r="E14" s="717">
        <v>10027293</v>
      </c>
      <c r="F14" s="717">
        <v>4649723</v>
      </c>
      <c r="G14" s="717">
        <v>12747</v>
      </c>
      <c r="H14" s="718">
        <v>2630</v>
      </c>
      <c r="I14" s="719">
        <f t="shared" si="0"/>
        <v>4652353</v>
      </c>
      <c r="J14" s="719"/>
    </row>
    <row r="15" spans="1:10" ht="13.2">
      <c r="A15" s="167" t="s">
        <v>1096</v>
      </c>
      <c r="B15" s="167" t="s">
        <v>1097</v>
      </c>
      <c r="C15" s="717">
        <v>18621072</v>
      </c>
      <c r="D15" s="717">
        <v>253808</v>
      </c>
      <c r="E15" s="717">
        <v>26055920</v>
      </c>
      <c r="F15" s="717">
        <v>12047072</v>
      </c>
      <c r="G15" s="717">
        <v>32193</v>
      </c>
      <c r="H15" s="718">
        <v>8015</v>
      </c>
      <c r="I15" s="719">
        <f t="shared" si="0"/>
        <v>12055087</v>
      </c>
      <c r="J15" s="719"/>
    </row>
    <row r="16" spans="1:10" ht="13.2">
      <c r="A16" s="167" t="s">
        <v>1099</v>
      </c>
      <c r="B16" s="167" t="s">
        <v>1100</v>
      </c>
      <c r="C16" s="717">
        <v>22184693</v>
      </c>
      <c r="D16" s="717">
        <v>539519</v>
      </c>
      <c r="E16" s="717">
        <v>31518731</v>
      </c>
      <c r="F16" s="717">
        <v>15051356</v>
      </c>
      <c r="G16" s="717">
        <v>38943</v>
      </c>
      <c r="H16" s="718">
        <v>14874</v>
      </c>
      <c r="I16" s="719">
        <f t="shared" si="0"/>
        <v>15066230</v>
      </c>
      <c r="J16" s="719"/>
    </row>
    <row r="17" spans="1:10" ht="13.2">
      <c r="A17" s="167" t="s">
        <v>1102</v>
      </c>
      <c r="B17" s="167" t="s">
        <v>1103</v>
      </c>
      <c r="C17" s="717">
        <v>62329978</v>
      </c>
      <c r="D17" s="717">
        <v>3830492</v>
      </c>
      <c r="E17" s="717">
        <v>89008864</v>
      </c>
      <c r="F17" s="717">
        <v>53184635</v>
      </c>
      <c r="G17" s="717">
        <v>108884</v>
      </c>
      <c r="H17" s="718">
        <v>20171</v>
      </c>
      <c r="I17" s="719">
        <f t="shared" si="0"/>
        <v>53204806</v>
      </c>
      <c r="J17" s="719"/>
    </row>
    <row r="18" spans="1:10" ht="13.2">
      <c r="A18" s="167" t="s">
        <v>1105</v>
      </c>
      <c r="B18" s="167" t="s">
        <v>1106</v>
      </c>
      <c r="C18" s="717">
        <v>9185861</v>
      </c>
      <c r="D18" s="717">
        <v>207143</v>
      </c>
      <c r="E18" s="717">
        <v>12641071</v>
      </c>
      <c r="F18" s="717">
        <v>6692375</v>
      </c>
      <c r="G18" s="717">
        <v>16055</v>
      </c>
      <c r="H18" s="718">
        <v>6219</v>
      </c>
      <c r="I18" s="719">
        <f t="shared" si="0"/>
        <v>6698594</v>
      </c>
      <c r="J18" s="719"/>
    </row>
    <row r="19" spans="1:10" ht="13.2">
      <c r="A19" s="167" t="s">
        <v>1108</v>
      </c>
      <c r="B19" s="167" t="s">
        <v>1109</v>
      </c>
      <c r="C19" s="717">
        <v>16324978</v>
      </c>
      <c r="D19" s="717">
        <v>599565</v>
      </c>
      <c r="E19" s="717">
        <v>22019014</v>
      </c>
      <c r="F19" s="717">
        <v>12737977</v>
      </c>
      <c r="G19" s="717">
        <v>28808</v>
      </c>
      <c r="H19" s="718">
        <v>10306</v>
      </c>
      <c r="I19" s="719">
        <f t="shared" si="0"/>
        <v>12748283</v>
      </c>
      <c r="J19" s="719"/>
    </row>
    <row r="20" spans="1:10" ht="13.2">
      <c r="A20" s="167" t="s">
        <v>1111</v>
      </c>
      <c r="B20" s="167" t="s">
        <v>1112</v>
      </c>
      <c r="C20" s="717">
        <v>8584750</v>
      </c>
      <c r="D20" s="717">
        <v>117011</v>
      </c>
      <c r="E20" s="717">
        <v>11501975</v>
      </c>
      <c r="F20" s="717">
        <v>5492183</v>
      </c>
      <c r="G20" s="717">
        <v>14817</v>
      </c>
      <c r="H20" s="718">
        <v>4205</v>
      </c>
      <c r="I20" s="719">
        <f t="shared" si="0"/>
        <v>5496388</v>
      </c>
      <c r="J20" s="719"/>
    </row>
    <row r="21" spans="1:10" ht="13.2">
      <c r="A21" s="167" t="s">
        <v>1114</v>
      </c>
      <c r="B21" s="167" t="s">
        <v>1115</v>
      </c>
      <c r="C21" s="717">
        <v>11225185</v>
      </c>
      <c r="D21" s="717">
        <v>154282</v>
      </c>
      <c r="E21" s="717">
        <v>15239951</v>
      </c>
      <c r="F21" s="717">
        <v>7973562</v>
      </c>
      <c r="G21" s="717">
        <v>19476</v>
      </c>
      <c r="H21" s="718">
        <v>5216</v>
      </c>
      <c r="I21" s="719">
        <f t="shared" si="0"/>
        <v>7978778</v>
      </c>
      <c r="J21" s="719"/>
    </row>
    <row r="22" spans="1:10" ht="13.2">
      <c r="A22" s="167" t="s">
        <v>1117</v>
      </c>
      <c r="B22" s="209" t="s">
        <v>1118</v>
      </c>
      <c r="C22" s="717">
        <v>12930558</v>
      </c>
      <c r="D22" s="717">
        <v>183505</v>
      </c>
      <c r="E22" s="717">
        <v>18293537</v>
      </c>
      <c r="F22" s="717">
        <v>9198939</v>
      </c>
      <c r="G22" s="717">
        <v>22549</v>
      </c>
      <c r="H22" s="718">
        <v>4940</v>
      </c>
      <c r="I22" s="719">
        <f t="shared" si="0"/>
        <v>9203879</v>
      </c>
      <c r="J22" s="719"/>
    </row>
    <row r="23" spans="1:10" ht="13.2">
      <c r="A23" s="167" t="s">
        <v>1120</v>
      </c>
      <c r="B23" s="167" t="s">
        <v>1121</v>
      </c>
      <c r="C23" s="717">
        <v>18855579</v>
      </c>
      <c r="D23" s="717">
        <v>257004</v>
      </c>
      <c r="E23" s="717">
        <v>26568491</v>
      </c>
      <c r="F23" s="717">
        <v>13948995</v>
      </c>
      <c r="G23" s="717">
        <v>32562</v>
      </c>
      <c r="H23" s="718">
        <v>8479</v>
      </c>
      <c r="I23" s="719">
        <f t="shared" si="0"/>
        <v>13957474</v>
      </c>
      <c r="J23" s="719"/>
    </row>
    <row r="24" spans="1:10" ht="13.2">
      <c r="A24" s="167" t="s">
        <v>1123</v>
      </c>
      <c r="B24" s="167" t="s">
        <v>1124</v>
      </c>
      <c r="C24" s="717">
        <v>6383647</v>
      </c>
      <c r="D24" s="717">
        <v>275942</v>
      </c>
      <c r="E24" s="717">
        <v>8442037</v>
      </c>
      <c r="F24" s="717">
        <v>6461285</v>
      </c>
      <c r="G24" s="717">
        <v>10989</v>
      </c>
      <c r="H24" s="718">
        <v>2036</v>
      </c>
      <c r="I24" s="719">
        <f t="shared" si="0"/>
        <v>6463321</v>
      </c>
      <c r="J24" s="719"/>
    </row>
    <row r="25" spans="1:10" ht="13.2">
      <c r="A25" s="167" t="s">
        <v>1126</v>
      </c>
      <c r="B25" s="167" t="s">
        <v>1127</v>
      </c>
      <c r="C25" s="717">
        <v>41601309</v>
      </c>
      <c r="D25" s="717">
        <v>567032</v>
      </c>
      <c r="E25" s="717">
        <v>56530015</v>
      </c>
      <c r="F25" s="717">
        <v>26425517</v>
      </c>
      <c r="G25" s="717">
        <v>72451</v>
      </c>
      <c r="H25" s="718">
        <v>21892</v>
      </c>
      <c r="I25" s="719">
        <f t="shared" si="0"/>
        <v>26447409</v>
      </c>
      <c r="J25" s="719"/>
    </row>
    <row r="26" spans="1:10" ht="13.2">
      <c r="A26" s="167" t="s">
        <v>1129</v>
      </c>
      <c r="B26" s="167" t="s">
        <v>1130</v>
      </c>
      <c r="C26" s="717">
        <v>27689679</v>
      </c>
      <c r="D26" s="717">
        <v>636381</v>
      </c>
      <c r="E26" s="717">
        <v>38433764</v>
      </c>
      <c r="F26" s="717">
        <v>19189819</v>
      </c>
      <c r="G26" s="717">
        <v>48352</v>
      </c>
      <c r="H26" s="718">
        <v>15342</v>
      </c>
      <c r="I26" s="719">
        <f t="shared" si="0"/>
        <v>19205161</v>
      </c>
      <c r="J26" s="719"/>
    </row>
    <row r="27" spans="1:10" ht="13.2">
      <c r="A27" s="167" t="s">
        <v>1132</v>
      </c>
      <c r="B27" s="167" t="s">
        <v>1133</v>
      </c>
      <c r="C27" s="717">
        <v>18457807</v>
      </c>
      <c r="D27" s="717">
        <v>286701</v>
      </c>
      <c r="E27" s="717">
        <v>24302704</v>
      </c>
      <c r="F27" s="717">
        <v>14528290</v>
      </c>
      <c r="G27" s="717">
        <v>31667</v>
      </c>
      <c r="H27" s="718">
        <v>5866</v>
      </c>
      <c r="I27" s="719">
        <f t="shared" si="0"/>
        <v>14534156</v>
      </c>
      <c r="J27" s="719"/>
    </row>
    <row r="28" spans="1:10" ht="13.2">
      <c r="A28" s="167" t="s">
        <v>1135</v>
      </c>
      <c r="B28" s="167" t="s">
        <v>1136</v>
      </c>
      <c r="C28" s="717">
        <v>31422502</v>
      </c>
      <c r="D28" s="717">
        <v>623892</v>
      </c>
      <c r="E28" s="717">
        <v>42394438</v>
      </c>
      <c r="F28" s="717">
        <v>24987033</v>
      </c>
      <c r="G28" s="717">
        <v>53764</v>
      </c>
      <c r="H28" s="718">
        <v>9960</v>
      </c>
      <c r="I28" s="719">
        <f t="shared" si="0"/>
        <v>24996993</v>
      </c>
      <c r="J28" s="719"/>
    </row>
    <row r="29" spans="1:10" ht="13.2">
      <c r="A29" s="167" t="s">
        <v>1138</v>
      </c>
      <c r="B29" s="167" t="s">
        <v>1139</v>
      </c>
      <c r="C29" s="717">
        <v>5549513</v>
      </c>
      <c r="D29" s="717">
        <v>300367</v>
      </c>
      <c r="E29" s="717">
        <v>7849633</v>
      </c>
      <c r="F29" s="717">
        <v>5153116</v>
      </c>
      <c r="G29" s="717">
        <v>9567</v>
      </c>
      <c r="H29" s="718">
        <v>3399</v>
      </c>
      <c r="I29" s="719">
        <f t="shared" si="0"/>
        <v>5156515</v>
      </c>
      <c r="J29" s="719"/>
    </row>
    <row r="30" spans="1:10" ht="13.2">
      <c r="A30" s="167" t="s">
        <v>1141</v>
      </c>
      <c r="B30" s="167" t="s">
        <v>1142</v>
      </c>
      <c r="C30" s="717">
        <v>7600710</v>
      </c>
      <c r="D30" s="717">
        <v>284422</v>
      </c>
      <c r="E30" s="717">
        <v>10435269</v>
      </c>
      <c r="F30" s="717">
        <v>5959125</v>
      </c>
      <c r="G30" s="717">
        <v>13315</v>
      </c>
      <c r="H30" s="718">
        <v>3410</v>
      </c>
      <c r="I30" s="719">
        <f t="shared" si="0"/>
        <v>5962535</v>
      </c>
      <c r="J30" s="719"/>
    </row>
    <row r="31" spans="1:10" ht="13.2">
      <c r="A31" s="167" t="s">
        <v>1144</v>
      </c>
      <c r="B31" s="167" t="s">
        <v>1145</v>
      </c>
      <c r="C31" s="717">
        <v>8566940</v>
      </c>
      <c r="D31" s="717">
        <v>237446</v>
      </c>
      <c r="E31" s="717">
        <v>12068285</v>
      </c>
      <c r="F31" s="717">
        <v>6424600</v>
      </c>
      <c r="G31" s="717">
        <v>14657</v>
      </c>
      <c r="H31" s="718">
        <v>2715</v>
      </c>
      <c r="I31" s="719">
        <f t="shared" si="0"/>
        <v>6427315</v>
      </c>
      <c r="J31" s="719"/>
    </row>
    <row r="32" spans="1:10" ht="13.2">
      <c r="A32" s="167" t="s">
        <v>1147</v>
      </c>
      <c r="B32" s="167" t="s">
        <v>1148</v>
      </c>
      <c r="C32" s="717">
        <v>6034854</v>
      </c>
      <c r="D32" s="717">
        <v>82256</v>
      </c>
      <c r="E32" s="717">
        <v>8186829</v>
      </c>
      <c r="F32" s="717">
        <v>4092433</v>
      </c>
      <c r="G32" s="717">
        <v>10516</v>
      </c>
      <c r="H32" s="718">
        <v>3309</v>
      </c>
      <c r="I32" s="719">
        <f t="shared" si="0"/>
        <v>4095742</v>
      </c>
      <c r="J32" s="719"/>
    </row>
    <row r="33" spans="1:10" ht="13.2">
      <c r="A33" s="167" t="s">
        <v>1150</v>
      </c>
      <c r="B33" s="167" t="s">
        <v>1151</v>
      </c>
      <c r="C33" s="717">
        <v>16403641</v>
      </c>
      <c r="D33" s="717">
        <v>819121</v>
      </c>
      <c r="E33" s="717">
        <v>22592014</v>
      </c>
      <c r="F33" s="717">
        <v>12122573</v>
      </c>
      <c r="G33" s="717">
        <v>28698</v>
      </c>
      <c r="H33" s="718">
        <v>7684</v>
      </c>
      <c r="I33" s="719">
        <f t="shared" si="0"/>
        <v>12130257</v>
      </c>
      <c r="J33" s="719"/>
    </row>
    <row r="34" spans="1:10" ht="13.2">
      <c r="A34" s="167" t="s">
        <v>1153</v>
      </c>
      <c r="B34" s="167" t="s">
        <v>1154</v>
      </c>
      <c r="C34" s="717">
        <v>12831115</v>
      </c>
      <c r="D34" s="717">
        <v>821116</v>
      </c>
      <c r="E34" s="717">
        <v>17724558</v>
      </c>
      <c r="F34" s="717">
        <v>11281614</v>
      </c>
      <c r="G34" s="717">
        <v>22582</v>
      </c>
      <c r="H34" s="718">
        <v>5286</v>
      </c>
      <c r="I34" s="719">
        <f t="shared" si="0"/>
        <v>11286900</v>
      </c>
      <c r="J34" s="719"/>
    </row>
    <row r="35" spans="1:10" ht="13.2">
      <c r="A35" s="167" t="s">
        <v>1156</v>
      </c>
      <c r="B35" s="167" t="s">
        <v>1157</v>
      </c>
      <c r="C35" s="717">
        <v>3560653</v>
      </c>
      <c r="D35" s="717">
        <v>78212</v>
      </c>
      <c r="E35" s="717">
        <v>5034273</v>
      </c>
      <c r="F35" s="717">
        <v>2509063</v>
      </c>
      <c r="G35" s="717">
        <v>6018</v>
      </c>
      <c r="H35" s="718">
        <v>1765</v>
      </c>
      <c r="I35" s="719">
        <f t="shared" si="0"/>
        <v>2510828</v>
      </c>
      <c r="J35" s="719"/>
    </row>
    <row r="36" spans="1:10" ht="13.2">
      <c r="A36" s="167" t="s">
        <v>1159</v>
      </c>
      <c r="B36" s="167" t="s">
        <v>1160</v>
      </c>
      <c r="C36" s="717">
        <v>4702021</v>
      </c>
      <c r="D36" s="717">
        <v>287124</v>
      </c>
      <c r="E36" s="717">
        <v>6640883</v>
      </c>
      <c r="F36" s="717">
        <v>4592782</v>
      </c>
      <c r="G36" s="717">
        <v>8106</v>
      </c>
      <c r="H36" s="718">
        <v>1502</v>
      </c>
      <c r="I36" s="719">
        <f t="shared" si="0"/>
        <v>4594284</v>
      </c>
      <c r="J36" s="719"/>
    </row>
    <row r="37" spans="1:10" ht="13.2">
      <c r="A37" s="167" t="s">
        <v>1162</v>
      </c>
      <c r="B37" s="167" t="s">
        <v>1163</v>
      </c>
      <c r="C37" s="717">
        <v>4241912</v>
      </c>
      <c r="D37" s="717">
        <v>62344</v>
      </c>
      <c r="E37" s="717">
        <v>5782252</v>
      </c>
      <c r="F37" s="717">
        <v>3611206</v>
      </c>
      <c r="G37" s="717">
        <v>7247</v>
      </c>
      <c r="H37" s="718">
        <v>1342</v>
      </c>
      <c r="I37" s="719">
        <f t="shared" si="0"/>
        <v>3612548</v>
      </c>
      <c r="J37" s="719"/>
    </row>
    <row r="38" spans="1:10" ht="13.2">
      <c r="A38" s="167" t="s">
        <v>1165</v>
      </c>
      <c r="B38" s="167" t="s">
        <v>1166</v>
      </c>
      <c r="C38" s="717">
        <v>9418884</v>
      </c>
      <c r="D38" s="717">
        <v>401493</v>
      </c>
      <c r="E38" s="717">
        <v>13520011</v>
      </c>
      <c r="F38" s="717">
        <v>6907564</v>
      </c>
      <c r="G38" s="717">
        <v>16248</v>
      </c>
      <c r="H38" s="718">
        <v>3010</v>
      </c>
      <c r="I38" s="719">
        <f t="shared" si="0"/>
        <v>6910574</v>
      </c>
      <c r="J38" s="719"/>
    </row>
    <row r="39" spans="1:10" ht="13.2">
      <c r="A39" s="167" t="s">
        <v>1168</v>
      </c>
      <c r="B39" s="167" t="s">
        <v>1169</v>
      </c>
      <c r="C39" s="717">
        <v>4390334</v>
      </c>
      <c r="D39" s="717">
        <v>168682</v>
      </c>
      <c r="E39" s="717">
        <v>6183941</v>
      </c>
      <c r="F39" s="717">
        <v>2978489</v>
      </c>
      <c r="G39" s="717">
        <v>7773</v>
      </c>
      <c r="H39" s="718">
        <v>2905</v>
      </c>
      <c r="I39" s="719">
        <f t="shared" si="0"/>
        <v>2981394</v>
      </c>
      <c r="J39" s="719"/>
    </row>
    <row r="40" spans="1:10" ht="13.2">
      <c r="A40" s="167" t="s">
        <v>1171</v>
      </c>
      <c r="B40" s="167" t="s">
        <v>1172</v>
      </c>
      <c r="C40" s="717">
        <v>11363217</v>
      </c>
      <c r="D40" s="717">
        <v>554260</v>
      </c>
      <c r="E40" s="717">
        <v>15394692</v>
      </c>
      <c r="F40" s="717">
        <v>10482171</v>
      </c>
      <c r="G40" s="717">
        <v>19782</v>
      </c>
      <c r="H40" s="718">
        <v>3665</v>
      </c>
      <c r="I40" s="719">
        <f t="shared" si="0"/>
        <v>10485836</v>
      </c>
      <c r="J40" s="719"/>
    </row>
    <row r="41" spans="1:10" ht="13.2">
      <c r="A41" s="167" t="s">
        <v>1174</v>
      </c>
      <c r="B41" s="167" t="s">
        <v>1175</v>
      </c>
      <c r="C41" s="717">
        <v>3110933</v>
      </c>
      <c r="D41" s="717">
        <v>145341</v>
      </c>
      <c r="E41" s="717">
        <v>4372546</v>
      </c>
      <c r="F41" s="717">
        <v>2520393</v>
      </c>
      <c r="G41" s="717">
        <v>5349</v>
      </c>
      <c r="H41" s="718">
        <v>1105</v>
      </c>
      <c r="I41" s="719">
        <f t="shared" si="0"/>
        <v>2521498</v>
      </c>
      <c r="J41" s="719"/>
    </row>
    <row r="42" spans="1:10" ht="13.2">
      <c r="A42" s="167" t="s">
        <v>1177</v>
      </c>
      <c r="B42" s="167" t="s">
        <v>1178</v>
      </c>
      <c r="C42" s="717">
        <v>6578080</v>
      </c>
      <c r="D42" s="717">
        <v>132898</v>
      </c>
      <c r="E42" s="717">
        <v>8695712</v>
      </c>
      <c r="F42" s="717">
        <v>4881783</v>
      </c>
      <c r="G42" s="717">
        <v>11349</v>
      </c>
      <c r="H42" s="718">
        <v>2102</v>
      </c>
      <c r="I42" s="719">
        <f t="shared" si="0"/>
        <v>4883885</v>
      </c>
      <c r="J42" s="719"/>
    </row>
    <row r="43" spans="1:10" ht="13.2">
      <c r="A43" s="167" t="s">
        <v>1180</v>
      </c>
      <c r="B43" s="167" t="s">
        <v>1181</v>
      </c>
      <c r="C43" s="717">
        <v>26282635</v>
      </c>
      <c r="D43" s="717">
        <v>890211</v>
      </c>
      <c r="E43" s="717">
        <v>36830465</v>
      </c>
      <c r="F43" s="717">
        <v>21254996</v>
      </c>
      <c r="G43" s="717">
        <v>45395</v>
      </c>
      <c r="H43" s="718">
        <v>8721</v>
      </c>
      <c r="I43" s="719">
        <f t="shared" si="0"/>
        <v>21263717</v>
      </c>
      <c r="J43" s="719"/>
    </row>
    <row r="44" spans="1:10" ht="13.2">
      <c r="A44" s="167" t="s">
        <v>1183</v>
      </c>
      <c r="B44" s="167" t="s">
        <v>1184</v>
      </c>
      <c r="C44" s="717">
        <v>10299029</v>
      </c>
      <c r="D44" s="717">
        <v>389601</v>
      </c>
      <c r="E44" s="717">
        <v>14605150</v>
      </c>
      <c r="F44" s="717">
        <v>7823691</v>
      </c>
      <c r="G44" s="717">
        <v>17751</v>
      </c>
      <c r="H44" s="718">
        <v>3288</v>
      </c>
      <c r="I44" s="719">
        <f t="shared" si="0"/>
        <v>7826979</v>
      </c>
      <c r="J44" s="719"/>
    </row>
    <row r="45" spans="1:10" ht="13.2">
      <c r="A45" s="167" t="s">
        <v>1186</v>
      </c>
      <c r="B45" s="167" t="s">
        <v>1187</v>
      </c>
      <c r="C45" s="717">
        <v>10456357</v>
      </c>
      <c r="D45" s="717">
        <v>381836</v>
      </c>
      <c r="E45" s="717">
        <v>14496864</v>
      </c>
      <c r="F45" s="717">
        <v>8729506</v>
      </c>
      <c r="G45" s="717">
        <v>17959</v>
      </c>
      <c r="H45" s="718">
        <v>3743</v>
      </c>
      <c r="I45" s="719">
        <f t="shared" si="0"/>
        <v>8733249</v>
      </c>
      <c r="J45" s="719"/>
    </row>
    <row r="46" spans="1:10" ht="13.2">
      <c r="A46" s="167" t="s">
        <v>1189</v>
      </c>
      <c r="B46" s="167" t="s">
        <v>1190</v>
      </c>
      <c r="C46" s="717">
        <v>2704256</v>
      </c>
      <c r="D46" s="717">
        <v>126286</v>
      </c>
      <c r="E46" s="717">
        <v>3814293</v>
      </c>
      <c r="F46" s="717">
        <v>2857249</v>
      </c>
      <c r="G46" s="717">
        <v>4641</v>
      </c>
      <c r="H46" s="718">
        <v>863</v>
      </c>
      <c r="I46" s="719">
        <f t="shared" si="0"/>
        <v>2858112</v>
      </c>
      <c r="J46" s="719"/>
    </row>
    <row r="47" spans="1:10" ht="13.2">
      <c r="A47" s="167" t="s">
        <v>1192</v>
      </c>
      <c r="B47" s="167" t="s">
        <v>1193</v>
      </c>
      <c r="C47" s="717">
        <v>9254135</v>
      </c>
      <c r="D47" s="717">
        <v>126135</v>
      </c>
      <c r="E47" s="717">
        <v>12631406</v>
      </c>
      <c r="F47" s="717">
        <v>6586236</v>
      </c>
      <c r="G47" s="717">
        <v>15966</v>
      </c>
      <c r="H47" s="718">
        <v>3927</v>
      </c>
      <c r="I47" s="719">
        <f t="shared" si="0"/>
        <v>6590163</v>
      </c>
      <c r="J47" s="719"/>
    </row>
    <row r="48" spans="1:10" ht="13.2">
      <c r="A48" s="167" t="s">
        <v>1195</v>
      </c>
      <c r="B48" s="167" t="s">
        <v>1196</v>
      </c>
      <c r="C48" s="717">
        <v>6681976</v>
      </c>
      <c r="D48" s="717">
        <v>115215</v>
      </c>
      <c r="E48" s="717">
        <v>9476583</v>
      </c>
      <c r="F48" s="717">
        <v>4834778</v>
      </c>
      <c r="G48" s="717">
        <v>11614</v>
      </c>
      <c r="H48" s="718">
        <v>2679</v>
      </c>
      <c r="I48" s="719">
        <f t="shared" si="0"/>
        <v>4837457</v>
      </c>
      <c r="J48" s="719"/>
    </row>
    <row r="49" spans="1:10" ht="13.2">
      <c r="A49" s="167" t="s">
        <v>1198</v>
      </c>
      <c r="B49" s="167" t="s">
        <v>1199</v>
      </c>
      <c r="C49" s="717">
        <v>21417349</v>
      </c>
      <c r="D49" s="717">
        <v>291922</v>
      </c>
      <c r="E49" s="717">
        <v>30187238</v>
      </c>
      <c r="F49" s="717">
        <v>13867466</v>
      </c>
      <c r="G49" s="717">
        <v>37161</v>
      </c>
      <c r="H49" s="718">
        <v>9915</v>
      </c>
      <c r="I49" s="719">
        <f t="shared" si="0"/>
        <v>13877381</v>
      </c>
      <c r="J49" s="719"/>
    </row>
    <row r="50" spans="1:10" ht="13.2">
      <c r="A50" s="167" t="s">
        <v>1201</v>
      </c>
      <c r="B50" s="167" t="s">
        <v>1202</v>
      </c>
      <c r="C50" s="717">
        <v>6306467</v>
      </c>
      <c r="D50" s="717">
        <v>174994</v>
      </c>
      <c r="E50" s="717">
        <v>8807270</v>
      </c>
      <c r="F50" s="717">
        <v>4461079</v>
      </c>
      <c r="G50" s="717">
        <v>11039</v>
      </c>
      <c r="H50" s="718">
        <v>2558</v>
      </c>
      <c r="I50" s="719">
        <f t="shared" si="0"/>
        <v>4463637</v>
      </c>
      <c r="J50" s="719"/>
    </row>
    <row r="51" spans="1:10" ht="13.2">
      <c r="A51" s="167" t="s">
        <v>1204</v>
      </c>
      <c r="B51" s="167" t="s">
        <v>1205</v>
      </c>
      <c r="C51" s="717">
        <v>14457824</v>
      </c>
      <c r="D51" s="717">
        <v>197062</v>
      </c>
      <c r="E51" s="717">
        <v>19547948</v>
      </c>
      <c r="F51" s="717">
        <v>9178674</v>
      </c>
      <c r="G51" s="717">
        <v>25116</v>
      </c>
      <c r="H51" s="718">
        <v>5377</v>
      </c>
      <c r="I51" s="719">
        <f t="shared" si="0"/>
        <v>9184051</v>
      </c>
      <c r="J51" s="719"/>
    </row>
    <row r="52" spans="1:10" ht="13.2">
      <c r="A52" s="167" t="s">
        <v>1210</v>
      </c>
      <c r="B52" s="167" t="s">
        <v>1211</v>
      </c>
      <c r="C52" s="717">
        <v>7422603</v>
      </c>
      <c r="D52" s="717">
        <v>237434</v>
      </c>
      <c r="E52" s="717">
        <v>9694723</v>
      </c>
      <c r="F52" s="717">
        <v>6199069</v>
      </c>
      <c r="G52" s="717">
        <v>12818</v>
      </c>
      <c r="H52" s="718">
        <v>2375</v>
      </c>
      <c r="I52" s="719">
        <f t="shared" si="0"/>
        <v>6201444</v>
      </c>
      <c r="J52" s="719"/>
    </row>
    <row r="53" spans="1:10" ht="13.2">
      <c r="A53" s="167" t="s">
        <v>1213</v>
      </c>
      <c r="B53" s="167" t="s">
        <v>1214</v>
      </c>
      <c r="C53" s="717">
        <v>9286788</v>
      </c>
      <c r="D53" s="717">
        <v>238915</v>
      </c>
      <c r="E53" s="717">
        <v>12335969</v>
      </c>
      <c r="F53" s="717">
        <v>7275287</v>
      </c>
      <c r="G53" s="717">
        <v>16028</v>
      </c>
      <c r="H53" s="718">
        <v>2969</v>
      </c>
      <c r="I53" s="719">
        <f t="shared" si="0"/>
        <v>7278256</v>
      </c>
      <c r="J53" s="719"/>
    </row>
    <row r="54" spans="1:10" ht="13.2">
      <c r="A54" s="167" t="s">
        <v>1216</v>
      </c>
      <c r="B54" s="167" t="s">
        <v>1217</v>
      </c>
      <c r="C54" s="717">
        <v>10478620</v>
      </c>
      <c r="D54" s="717">
        <v>325440</v>
      </c>
      <c r="E54" s="717">
        <v>14356316</v>
      </c>
      <c r="F54" s="717">
        <v>8436348</v>
      </c>
      <c r="G54" s="717">
        <v>18250</v>
      </c>
      <c r="H54" s="718">
        <v>4198</v>
      </c>
      <c r="I54" s="719">
        <f t="shared" si="0"/>
        <v>8440546</v>
      </c>
      <c r="J54" s="719"/>
    </row>
    <row r="55" spans="1:10" ht="13.2">
      <c r="A55" s="167" t="s">
        <v>1219</v>
      </c>
      <c r="B55" s="167" t="s">
        <v>1220</v>
      </c>
      <c r="C55" s="717">
        <v>11238543</v>
      </c>
      <c r="D55" s="717">
        <v>218795</v>
      </c>
      <c r="E55" s="717">
        <v>15021043</v>
      </c>
      <c r="F55" s="717">
        <v>8703570</v>
      </c>
      <c r="G55" s="717">
        <v>19741</v>
      </c>
      <c r="H55" s="718">
        <v>5849</v>
      </c>
      <c r="I55" s="719">
        <f t="shared" si="0"/>
        <v>8709419</v>
      </c>
      <c r="J55" s="719"/>
    </row>
    <row r="56" spans="1:10" ht="13.2">
      <c r="A56" s="167" t="s">
        <v>1222</v>
      </c>
      <c r="B56" s="167" t="s">
        <v>1223</v>
      </c>
      <c r="C56" s="717">
        <v>5335785</v>
      </c>
      <c r="D56" s="717">
        <v>72728</v>
      </c>
      <c r="E56" s="717">
        <v>7515665</v>
      </c>
      <c r="F56" s="717">
        <v>3731701</v>
      </c>
      <c r="G56" s="717">
        <v>9400</v>
      </c>
      <c r="H56" s="718">
        <v>4636</v>
      </c>
      <c r="I56" s="719">
        <f t="shared" si="0"/>
        <v>3736337</v>
      </c>
      <c r="J56" s="719"/>
    </row>
    <row r="57" spans="1:10" ht="13.2">
      <c r="A57" s="167" t="s">
        <v>1225</v>
      </c>
      <c r="B57" s="167" t="s">
        <v>1226</v>
      </c>
      <c r="C57" s="717">
        <v>9668234</v>
      </c>
      <c r="D57" s="717">
        <v>585526</v>
      </c>
      <c r="E57" s="717">
        <v>13617340</v>
      </c>
      <c r="F57" s="717">
        <v>10512711</v>
      </c>
      <c r="G57" s="717">
        <v>16748</v>
      </c>
      <c r="H57" s="718">
        <v>3103</v>
      </c>
      <c r="I57" s="719">
        <f t="shared" si="0"/>
        <v>10515814</v>
      </c>
      <c r="J57" s="719"/>
    </row>
    <row r="58" spans="1:10" ht="13.2">
      <c r="A58" s="167" t="s">
        <v>1228</v>
      </c>
      <c r="B58" s="167" t="s">
        <v>1229</v>
      </c>
      <c r="C58" s="717">
        <v>83057164</v>
      </c>
      <c r="D58" s="717">
        <v>2295730</v>
      </c>
      <c r="E58" s="717">
        <v>115109829</v>
      </c>
      <c r="F58" s="717">
        <v>56238273</v>
      </c>
      <c r="G58" s="717">
        <v>145060</v>
      </c>
      <c r="H58" s="718">
        <v>61183</v>
      </c>
      <c r="I58" s="719">
        <f t="shared" si="0"/>
        <v>56299456</v>
      </c>
      <c r="J58" s="719"/>
    </row>
    <row r="59" spans="1:10" ht="13.2">
      <c r="A59" s="167" t="s">
        <v>1231</v>
      </c>
      <c r="B59" s="167" t="s">
        <v>1232</v>
      </c>
      <c r="C59" s="717">
        <v>13769144</v>
      </c>
      <c r="D59" s="717">
        <v>454278</v>
      </c>
      <c r="E59" s="717">
        <v>19338037</v>
      </c>
      <c r="F59" s="717">
        <v>9843510</v>
      </c>
      <c r="G59" s="717">
        <v>23953</v>
      </c>
      <c r="H59" s="718">
        <v>6384</v>
      </c>
      <c r="I59" s="719">
        <f t="shared" si="0"/>
        <v>9849894</v>
      </c>
      <c r="J59" s="719"/>
    </row>
    <row r="60" spans="1:10" ht="13.2">
      <c r="A60" s="167" t="s">
        <v>1234</v>
      </c>
      <c r="B60" s="167" t="s">
        <v>1235</v>
      </c>
      <c r="C60" s="717">
        <v>7030768</v>
      </c>
      <c r="D60" s="717">
        <v>100044</v>
      </c>
      <c r="E60" s="717">
        <v>9569955</v>
      </c>
      <c r="F60" s="717">
        <v>5322241</v>
      </c>
      <c r="G60" s="717">
        <v>12009</v>
      </c>
      <c r="H60" s="718">
        <v>2685</v>
      </c>
      <c r="I60" s="719">
        <f t="shared" si="0"/>
        <v>5324926</v>
      </c>
      <c r="J60" s="719"/>
    </row>
    <row r="61" spans="1:10" ht="13.2">
      <c r="A61" s="167" t="s">
        <v>1237</v>
      </c>
      <c r="B61" s="167" t="s">
        <v>1238</v>
      </c>
      <c r="C61" s="717">
        <v>13196234</v>
      </c>
      <c r="D61" s="717">
        <v>267226</v>
      </c>
      <c r="E61" s="717">
        <v>18305170</v>
      </c>
      <c r="F61" s="717">
        <v>8598412</v>
      </c>
      <c r="G61" s="717">
        <v>22930</v>
      </c>
      <c r="H61" s="718">
        <v>5165</v>
      </c>
      <c r="I61" s="719">
        <f t="shared" si="0"/>
        <v>8603577</v>
      </c>
      <c r="J61" s="719"/>
    </row>
    <row r="62" spans="1:10" ht="13.2">
      <c r="A62" s="167" t="s">
        <v>1240</v>
      </c>
      <c r="B62" s="167" t="s">
        <v>1241</v>
      </c>
      <c r="C62" s="717">
        <v>6609249</v>
      </c>
      <c r="D62" s="717">
        <v>171261</v>
      </c>
      <c r="E62" s="717">
        <v>9215512</v>
      </c>
      <c r="F62" s="717">
        <v>5146731</v>
      </c>
      <c r="G62" s="717">
        <v>11414</v>
      </c>
      <c r="H62" s="718">
        <v>2158</v>
      </c>
      <c r="I62" s="719">
        <f t="shared" si="0"/>
        <v>5148889</v>
      </c>
      <c r="J62" s="719"/>
    </row>
    <row r="63" spans="1:10" ht="10.8" thickBot="1">
      <c r="A63" s="95"/>
      <c r="B63" s="95"/>
      <c r="C63" s="96">
        <f t="shared" ref="C63:I63" si="1">SUM(C5:C62)</f>
        <v>820596171</v>
      </c>
      <c r="D63" s="96">
        <f t="shared" si="1"/>
        <v>23321082</v>
      </c>
      <c r="E63" s="96">
        <f t="shared" si="1"/>
        <v>1130722053</v>
      </c>
      <c r="F63" s="96">
        <f t="shared" si="1"/>
        <v>609714211</v>
      </c>
      <c r="G63" s="96">
        <f t="shared" si="1"/>
        <v>1425547</v>
      </c>
      <c r="H63" s="96">
        <f t="shared" si="1"/>
        <v>380008</v>
      </c>
      <c r="I63" s="96">
        <f t="shared" si="1"/>
        <v>610094219</v>
      </c>
    </row>
    <row r="64" spans="1:10" ht="10.8" thickTop="1"/>
    <row r="65" spans="2:2" ht="13.2">
      <c r="B65" s="744" t="s">
        <v>1730</v>
      </c>
    </row>
    <row r="66" spans="2:2">
      <c r="B66" s="745" t="s">
        <v>1731</v>
      </c>
    </row>
    <row r="68" spans="2:2">
      <c r="B68" t="s">
        <v>1732</v>
      </c>
    </row>
  </sheetData>
  <sheetProtection algorithmName="SHA-512" hashValue="HGVR/IwQPQn8uO5se2EPBXzScMPsXxKwz7OXCSWERcT2DuvkEnwbzVwRuO56JqCuk6eB1rNuFWjMY4fB+W8dtA==" saltValue="ErVti/J1L9c70bZHsQQgWw==" spinCount="100000" sheet="1" objects="1" scenarios="1" autoFilter="0"/>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dimension ref="A1:F273"/>
  <sheetViews>
    <sheetView zoomScaleNormal="100" workbookViewId="0">
      <selection activeCell="G26" sqref="G26"/>
    </sheetView>
  </sheetViews>
  <sheetFormatPr defaultColWidth="9.28515625" defaultRowHeight="13.8"/>
  <cols>
    <col min="1" max="1" width="9.28515625" style="81"/>
    <col min="2" max="2" width="30" style="81" customWidth="1"/>
    <col min="3" max="3" width="26.42578125" style="181" bestFit="1" customWidth="1"/>
    <col min="4" max="4" width="18.7109375" style="81" customWidth="1"/>
    <col min="5" max="5" width="45.7109375" style="81" customWidth="1"/>
    <col min="6" max="6" width="43.42578125" style="81" customWidth="1"/>
    <col min="7" max="16384" width="9.28515625" style="81"/>
  </cols>
  <sheetData>
    <row r="1" spans="1:6">
      <c r="B1" s="916" t="s">
        <v>1961</v>
      </c>
      <c r="C1" s="907" t="s">
        <v>1733</v>
      </c>
      <c r="D1" s="686"/>
    </row>
    <row r="2" spans="1:6">
      <c r="A2" s="37" t="s">
        <v>1669</v>
      </c>
      <c r="C2" s="907" t="s">
        <v>1734</v>
      </c>
      <c r="D2" s="195"/>
    </row>
    <row r="3" spans="1:6">
      <c r="A3" s="908" t="s">
        <v>1690</v>
      </c>
      <c r="B3" s="908" t="s">
        <v>1067</v>
      </c>
      <c r="C3" s="909">
        <f>+Index!$A$118</f>
        <v>45107</v>
      </c>
      <c r="D3" s="195"/>
      <c r="E3" s="334"/>
      <c r="F3" s="334"/>
    </row>
    <row r="5" spans="1:6">
      <c r="A5" s="180" t="s">
        <v>1070</v>
      </c>
      <c r="B5" s="81" t="s">
        <v>1735</v>
      </c>
      <c r="C5" s="603">
        <v>0</v>
      </c>
      <c r="E5" s="330"/>
      <c r="F5" s="333"/>
    </row>
    <row r="6" spans="1:6">
      <c r="A6" s="180" t="s">
        <v>1207</v>
      </c>
      <c r="B6" s="81" t="s">
        <v>1736</v>
      </c>
      <c r="C6" s="819">
        <v>1500000</v>
      </c>
      <c r="E6" s="331"/>
      <c r="F6" s="333"/>
    </row>
    <row r="7" spans="1:6">
      <c r="A7" s="180" t="s">
        <v>1072</v>
      </c>
      <c r="B7" s="81" t="s">
        <v>1737</v>
      </c>
      <c r="C7" s="603">
        <v>0</v>
      </c>
      <c r="E7" s="331"/>
      <c r="F7" s="333"/>
    </row>
    <row r="8" spans="1:6">
      <c r="A8" s="180" t="s">
        <v>1075</v>
      </c>
      <c r="B8" s="81" t="s">
        <v>1738</v>
      </c>
      <c r="C8" s="603">
        <v>0</v>
      </c>
      <c r="E8" s="331"/>
      <c r="F8" s="333"/>
    </row>
    <row r="9" spans="1:6">
      <c r="A9" s="180" t="s">
        <v>1078</v>
      </c>
      <c r="B9" s="81" t="s">
        <v>1739</v>
      </c>
      <c r="C9" s="603">
        <v>0</v>
      </c>
      <c r="E9" s="331"/>
      <c r="F9" s="333"/>
    </row>
    <row r="10" spans="1:6">
      <c r="A10" s="180" t="s">
        <v>1081</v>
      </c>
      <c r="B10" s="81" t="s">
        <v>1740</v>
      </c>
      <c r="C10" s="603">
        <v>0</v>
      </c>
      <c r="E10" s="331"/>
      <c r="F10" s="333"/>
    </row>
    <row r="11" spans="1:6">
      <c r="A11" s="180" t="s">
        <v>1084</v>
      </c>
      <c r="B11" s="81" t="s">
        <v>1741</v>
      </c>
      <c r="C11" s="603">
        <v>18520</v>
      </c>
      <c r="E11" s="331"/>
      <c r="F11" s="333"/>
    </row>
    <row r="12" spans="1:6">
      <c r="A12" s="180" t="s">
        <v>1087</v>
      </c>
      <c r="B12" s="81" t="s">
        <v>1742</v>
      </c>
      <c r="C12" s="603">
        <v>0</v>
      </c>
      <c r="E12" s="331"/>
      <c r="F12" s="333"/>
    </row>
    <row r="13" spans="1:6">
      <c r="A13" s="180" t="s">
        <v>1090</v>
      </c>
      <c r="B13" s="81" t="s">
        <v>1743</v>
      </c>
      <c r="C13" s="603">
        <v>0</v>
      </c>
      <c r="E13" s="331"/>
      <c r="F13" s="333"/>
    </row>
    <row r="14" spans="1:6">
      <c r="A14" s="180" t="s">
        <v>1093</v>
      </c>
      <c r="B14" s="81" t="s">
        <v>1744</v>
      </c>
      <c r="C14" s="603">
        <v>0</v>
      </c>
      <c r="E14" s="331"/>
      <c r="F14" s="333"/>
    </row>
    <row r="15" spans="1:6">
      <c r="A15" s="180" t="s">
        <v>1096</v>
      </c>
      <c r="B15" s="81" t="s">
        <v>1745</v>
      </c>
      <c r="C15" s="603">
        <v>0</v>
      </c>
      <c r="E15" s="330"/>
      <c r="F15" s="333"/>
    </row>
    <row r="16" spans="1:6">
      <c r="A16" s="180" t="s">
        <v>1099</v>
      </c>
      <c r="B16" s="81" t="s">
        <v>1746</v>
      </c>
      <c r="C16" s="603">
        <v>0</v>
      </c>
      <c r="E16" s="331"/>
      <c r="F16" s="333"/>
    </row>
    <row r="17" spans="1:6">
      <c r="A17" s="180" t="s">
        <v>1102</v>
      </c>
      <c r="B17" s="81" t="s">
        <v>1747</v>
      </c>
      <c r="C17" s="603">
        <v>0</v>
      </c>
      <c r="E17" s="331"/>
      <c r="F17" s="333"/>
    </row>
    <row r="18" spans="1:6">
      <c r="A18" s="180" t="s">
        <v>1105</v>
      </c>
      <c r="B18" s="81" t="s">
        <v>1748</v>
      </c>
      <c r="C18" s="603">
        <v>0</v>
      </c>
      <c r="E18" s="330"/>
      <c r="F18" s="333"/>
    </row>
    <row r="19" spans="1:6">
      <c r="A19" s="180" t="s">
        <v>1108</v>
      </c>
      <c r="B19" s="81" t="s">
        <v>1749</v>
      </c>
      <c r="C19" s="603">
        <v>14350</v>
      </c>
      <c r="E19" s="331"/>
      <c r="F19" s="333"/>
    </row>
    <row r="20" spans="1:6">
      <c r="A20" s="180" t="s">
        <v>1111</v>
      </c>
      <c r="B20" s="81" t="s">
        <v>1750</v>
      </c>
      <c r="C20" s="603">
        <v>0</v>
      </c>
      <c r="E20" s="332"/>
    </row>
    <row r="21" spans="1:6">
      <c r="A21" s="180" t="s">
        <v>1114</v>
      </c>
      <c r="B21" s="81" t="s">
        <v>1751</v>
      </c>
      <c r="C21" s="603">
        <v>2660</v>
      </c>
    </row>
    <row r="22" spans="1:6">
      <c r="A22" s="180" t="s">
        <v>1117</v>
      </c>
      <c r="B22" s="81" t="s">
        <v>1752</v>
      </c>
      <c r="C22" s="603">
        <v>0</v>
      </c>
      <c r="E22" s="331"/>
      <c r="F22" s="333"/>
    </row>
    <row r="23" spans="1:6">
      <c r="A23" s="180" t="s">
        <v>1120</v>
      </c>
      <c r="B23" s="81" t="s">
        <v>1753</v>
      </c>
      <c r="C23" s="603">
        <v>0</v>
      </c>
      <c r="E23" s="332"/>
    </row>
    <row r="24" spans="1:6">
      <c r="A24" s="180" t="s">
        <v>1123</v>
      </c>
      <c r="B24" s="81" t="s">
        <v>1754</v>
      </c>
      <c r="C24" s="603">
        <v>5872.13</v>
      </c>
      <c r="F24" s="333"/>
    </row>
    <row r="25" spans="1:6">
      <c r="A25" s="180" t="s">
        <v>1126</v>
      </c>
      <c r="B25" s="81" t="s">
        <v>1755</v>
      </c>
      <c r="C25" s="603">
        <v>10712</v>
      </c>
    </row>
    <row r="26" spans="1:6">
      <c r="A26" s="180" t="s">
        <v>1129</v>
      </c>
      <c r="B26" s="81" t="s">
        <v>1756</v>
      </c>
      <c r="C26" s="603">
        <v>0</v>
      </c>
    </row>
    <row r="27" spans="1:6">
      <c r="A27" s="180" t="s">
        <v>1132</v>
      </c>
      <c r="B27" s="81" t="s">
        <v>1757</v>
      </c>
      <c r="C27" s="603">
        <v>14809.86</v>
      </c>
      <c r="E27" s="331"/>
      <c r="F27" s="333"/>
    </row>
    <row r="28" spans="1:6">
      <c r="A28" s="180" t="s">
        <v>1135</v>
      </c>
      <c r="B28" s="81" t="s">
        <v>1758</v>
      </c>
      <c r="C28" s="603">
        <v>184879.56</v>
      </c>
      <c r="E28" s="331"/>
      <c r="F28" s="333"/>
    </row>
    <row r="29" spans="1:6">
      <c r="A29" s="180" t="s">
        <v>1138</v>
      </c>
      <c r="B29" s="81" t="s">
        <v>1759</v>
      </c>
      <c r="C29" s="603">
        <v>0</v>
      </c>
      <c r="E29" s="331"/>
      <c r="F29" s="333"/>
    </row>
    <row r="30" spans="1:6">
      <c r="A30" s="180" t="s">
        <v>1141</v>
      </c>
      <c r="B30" s="81" t="s">
        <v>1760</v>
      </c>
      <c r="C30" s="603">
        <v>12650</v>
      </c>
      <c r="E30" s="331"/>
      <c r="F30" s="333"/>
    </row>
    <row r="31" spans="1:6">
      <c r="A31" s="180" t="s">
        <v>1144</v>
      </c>
      <c r="B31" s="81" t="s">
        <v>1761</v>
      </c>
      <c r="C31" s="603">
        <v>9107.19</v>
      </c>
      <c r="E31" s="332"/>
    </row>
    <row r="32" spans="1:6">
      <c r="A32" s="180" t="s">
        <v>1147</v>
      </c>
      <c r="B32" s="81" t="s">
        <v>1762</v>
      </c>
      <c r="C32" s="603">
        <v>0</v>
      </c>
    </row>
    <row r="33" spans="1:6">
      <c r="A33" s="180" t="s">
        <v>1150</v>
      </c>
      <c r="B33" s="81" t="s">
        <v>1763</v>
      </c>
      <c r="C33" s="603">
        <v>0</v>
      </c>
      <c r="E33" s="331"/>
      <c r="F33" s="333"/>
    </row>
    <row r="34" spans="1:6">
      <c r="A34" s="180" t="s">
        <v>1153</v>
      </c>
      <c r="B34" s="81" t="s">
        <v>1764</v>
      </c>
      <c r="C34" s="603">
        <v>0</v>
      </c>
      <c r="E34" s="331"/>
      <c r="F34" s="333"/>
    </row>
    <row r="35" spans="1:6">
      <c r="A35" s="180" t="s">
        <v>1156</v>
      </c>
      <c r="B35" s="81" t="s">
        <v>1765</v>
      </c>
      <c r="C35" s="603">
        <v>0</v>
      </c>
      <c r="E35" s="331"/>
      <c r="F35" s="333"/>
    </row>
    <row r="36" spans="1:6">
      <c r="A36" s="180" t="s">
        <v>1159</v>
      </c>
      <c r="B36" s="81" t="s">
        <v>1766</v>
      </c>
      <c r="C36" s="603">
        <v>0</v>
      </c>
      <c r="E36" s="331"/>
      <c r="F36" s="333"/>
    </row>
    <row r="37" spans="1:6">
      <c r="A37" s="180" t="s">
        <v>1162</v>
      </c>
      <c r="B37" s="81" t="s">
        <v>1767</v>
      </c>
      <c r="C37" s="603">
        <v>16100</v>
      </c>
      <c r="E37" s="331"/>
      <c r="F37" s="333"/>
    </row>
    <row r="38" spans="1:6">
      <c r="A38" s="180" t="s">
        <v>1165</v>
      </c>
      <c r="B38" s="81" t="s">
        <v>1768</v>
      </c>
      <c r="C38" s="603">
        <v>0</v>
      </c>
      <c r="E38" s="332"/>
    </row>
    <row r="39" spans="1:6">
      <c r="A39" s="180" t="s">
        <v>1168</v>
      </c>
      <c r="B39" s="81" t="s">
        <v>1769</v>
      </c>
      <c r="C39" s="603">
        <v>0</v>
      </c>
    </row>
    <row r="40" spans="1:6">
      <c r="A40" s="180" t="s">
        <v>1171</v>
      </c>
      <c r="B40" s="81" t="s">
        <v>1770</v>
      </c>
      <c r="C40" s="603">
        <v>0</v>
      </c>
      <c r="E40" s="331"/>
      <c r="F40" s="333"/>
    </row>
    <row r="41" spans="1:6">
      <c r="A41" s="180" t="s">
        <v>1174</v>
      </c>
      <c r="B41" s="81" t="s">
        <v>1771</v>
      </c>
      <c r="C41" s="603">
        <v>0</v>
      </c>
      <c r="E41" s="331"/>
      <c r="F41" s="333"/>
    </row>
    <row r="42" spans="1:6">
      <c r="A42" s="180" t="s">
        <v>1177</v>
      </c>
      <c r="B42" s="81" t="s">
        <v>1772</v>
      </c>
      <c r="C42" s="603">
        <v>1209308.1399999999</v>
      </c>
      <c r="E42" s="332"/>
    </row>
    <row r="43" spans="1:6">
      <c r="A43" s="180" t="s">
        <v>1180</v>
      </c>
      <c r="B43" s="81" t="s">
        <v>1773</v>
      </c>
      <c r="C43" s="603">
        <v>0</v>
      </c>
    </row>
    <row r="44" spans="1:6">
      <c r="A44" s="180" t="s">
        <v>1183</v>
      </c>
      <c r="B44" s="81" t="s">
        <v>1774</v>
      </c>
      <c r="C44" s="603">
        <v>0</v>
      </c>
      <c r="E44" s="330"/>
      <c r="F44" s="333"/>
    </row>
    <row r="45" spans="1:6">
      <c r="A45" s="180" t="s">
        <v>1186</v>
      </c>
      <c r="B45" s="81" t="s">
        <v>1775</v>
      </c>
      <c r="C45" s="603">
        <v>0</v>
      </c>
      <c r="E45" s="330"/>
      <c r="F45" s="333"/>
    </row>
    <row r="46" spans="1:6">
      <c r="A46" s="180" t="s">
        <v>1189</v>
      </c>
      <c r="B46" s="81" t="s">
        <v>1776</v>
      </c>
      <c r="C46" s="603">
        <v>0</v>
      </c>
      <c r="E46" s="332"/>
    </row>
    <row r="47" spans="1:6">
      <c r="A47" s="180" t="s">
        <v>1192</v>
      </c>
      <c r="B47" s="81" t="s">
        <v>1777</v>
      </c>
      <c r="C47" s="603">
        <v>41969.05</v>
      </c>
    </row>
    <row r="48" spans="1:6">
      <c r="A48" s="180" t="s">
        <v>1195</v>
      </c>
      <c r="B48" s="81" t="s">
        <v>1778</v>
      </c>
      <c r="C48" s="603">
        <v>0</v>
      </c>
      <c r="E48" s="331"/>
      <c r="F48" s="333"/>
    </row>
    <row r="49" spans="1:6">
      <c r="A49" s="180" t="s">
        <v>1198</v>
      </c>
      <c r="B49" s="81" t="s">
        <v>1779</v>
      </c>
      <c r="C49" s="603">
        <v>88992.99</v>
      </c>
      <c r="E49" s="331"/>
      <c r="F49" s="333"/>
    </row>
    <row r="50" spans="1:6">
      <c r="A50" s="180" t="s">
        <v>1201</v>
      </c>
      <c r="B50" s="81" t="s">
        <v>1780</v>
      </c>
      <c r="C50" s="603">
        <v>0</v>
      </c>
      <c r="E50" s="331"/>
      <c r="F50" s="333"/>
    </row>
    <row r="51" spans="1:6">
      <c r="A51" s="180" t="s">
        <v>1204</v>
      </c>
      <c r="B51" s="81" t="s">
        <v>1781</v>
      </c>
      <c r="C51" s="603">
        <v>5000</v>
      </c>
      <c r="E51" s="331"/>
      <c r="F51" s="333"/>
    </row>
    <row r="52" spans="1:6">
      <c r="A52" s="180" t="s">
        <v>1210</v>
      </c>
      <c r="B52" s="81" t="s">
        <v>1782</v>
      </c>
      <c r="C52" s="603">
        <v>0.89</v>
      </c>
      <c r="E52" s="331"/>
      <c r="F52" s="333"/>
    </row>
    <row r="53" spans="1:6">
      <c r="A53" s="180" t="s">
        <v>1213</v>
      </c>
      <c r="B53" s="81" t="s">
        <v>1783</v>
      </c>
      <c r="C53" s="603">
        <v>912.21</v>
      </c>
      <c r="E53" s="332"/>
    </row>
    <row r="54" spans="1:6">
      <c r="A54" s="180" t="s">
        <v>1216</v>
      </c>
      <c r="B54" s="81" t="s">
        <v>1784</v>
      </c>
      <c r="C54" s="603">
        <v>0</v>
      </c>
    </row>
    <row r="55" spans="1:6">
      <c r="A55" s="180" t="s">
        <v>1219</v>
      </c>
      <c r="B55" s="81" t="s">
        <v>1785</v>
      </c>
      <c r="C55" s="603">
        <v>0</v>
      </c>
      <c r="E55" s="331"/>
      <c r="F55" s="333"/>
    </row>
    <row r="56" spans="1:6">
      <c r="A56" s="180" t="s">
        <v>1222</v>
      </c>
      <c r="B56" s="81" t="s">
        <v>1786</v>
      </c>
      <c r="C56" s="603">
        <v>0</v>
      </c>
      <c r="E56" s="331"/>
      <c r="F56" s="333"/>
    </row>
    <row r="57" spans="1:6">
      <c r="A57" s="180" t="s">
        <v>1225</v>
      </c>
      <c r="B57" s="81" t="s">
        <v>1787</v>
      </c>
      <c r="C57" s="603">
        <v>0</v>
      </c>
      <c r="E57" s="331"/>
      <c r="F57" s="333"/>
    </row>
    <row r="58" spans="1:6">
      <c r="A58" s="180" t="s">
        <v>1228</v>
      </c>
      <c r="B58" s="81" t="s">
        <v>1788</v>
      </c>
      <c r="C58" s="603">
        <v>0</v>
      </c>
      <c r="E58" s="331"/>
      <c r="F58" s="333"/>
    </row>
    <row r="59" spans="1:6">
      <c r="A59" s="180" t="s">
        <v>1231</v>
      </c>
      <c r="B59" s="81" t="s">
        <v>1789</v>
      </c>
      <c r="C59" s="603">
        <v>0</v>
      </c>
      <c r="E59" s="331"/>
      <c r="F59" s="333"/>
    </row>
    <row r="60" spans="1:6">
      <c r="A60" s="180" t="s">
        <v>1234</v>
      </c>
      <c r="B60" s="81" t="s">
        <v>1790</v>
      </c>
      <c r="C60" s="603">
        <v>0</v>
      </c>
      <c r="E60" s="331"/>
      <c r="F60" s="333"/>
    </row>
    <row r="61" spans="1:6">
      <c r="A61" s="180" t="s">
        <v>1237</v>
      </c>
      <c r="B61" s="81" t="s">
        <v>1791</v>
      </c>
      <c r="C61" s="603">
        <v>5392</v>
      </c>
      <c r="E61" s="331"/>
      <c r="F61" s="333"/>
    </row>
    <row r="62" spans="1:6">
      <c r="A62" s="180" t="s">
        <v>1240</v>
      </c>
      <c r="B62" s="81" t="s">
        <v>1792</v>
      </c>
      <c r="C62" s="603">
        <v>0</v>
      </c>
      <c r="E62" s="332"/>
    </row>
    <row r="63" spans="1:6" ht="14.4" thickBot="1">
      <c r="C63" s="194">
        <f>SUM(C5:C62)</f>
        <v>3141236.02</v>
      </c>
    </row>
    <row r="64" spans="1:6" ht="14.4" thickTop="1">
      <c r="E64" s="330"/>
      <c r="F64" s="333"/>
    </row>
    <row r="65" spans="1:6">
      <c r="A65" s="82" t="s">
        <v>1793</v>
      </c>
      <c r="E65" s="332"/>
    </row>
    <row r="66" spans="1:6">
      <c r="A66" s="81" t="s">
        <v>1794</v>
      </c>
      <c r="E66" s="331"/>
      <c r="F66" s="333"/>
    </row>
    <row r="67" spans="1:6">
      <c r="A67" s="81" t="s">
        <v>1795</v>
      </c>
      <c r="E67" s="331"/>
      <c r="F67" s="333"/>
    </row>
    <row r="68" spans="1:6">
      <c r="A68" s="745" t="s">
        <v>1731</v>
      </c>
      <c r="E68" s="331"/>
      <c r="F68" s="333"/>
    </row>
    <row r="69" spans="1:6">
      <c r="E69" s="332"/>
    </row>
    <row r="70" spans="1:6">
      <c r="E70" s="330"/>
      <c r="F70" s="333"/>
    </row>
    <row r="71" spans="1:6">
      <c r="E71" s="332"/>
      <c r="F71" s="333"/>
    </row>
    <row r="72" spans="1:6">
      <c r="E72" s="332"/>
    </row>
    <row r="73" spans="1:6">
      <c r="E73" s="331"/>
      <c r="F73" s="333"/>
    </row>
    <row r="74" spans="1:6">
      <c r="E74" s="331"/>
      <c r="F74" s="333"/>
    </row>
    <row r="75" spans="1:6">
      <c r="E75" s="331"/>
      <c r="F75" s="333"/>
    </row>
    <row r="76" spans="1:6">
      <c r="E76" s="331"/>
      <c r="F76" s="333"/>
    </row>
    <row r="77" spans="1:6">
      <c r="E77" s="331"/>
      <c r="F77" s="333"/>
    </row>
    <row r="78" spans="1:6">
      <c r="E78" s="332"/>
      <c r="F78" s="333"/>
    </row>
    <row r="79" spans="1:6">
      <c r="E79" s="331"/>
      <c r="F79" s="333"/>
    </row>
    <row r="80" spans="1:6">
      <c r="E80" s="332"/>
      <c r="F80" s="333"/>
    </row>
    <row r="81" spans="5:6">
      <c r="E81" s="331"/>
      <c r="F81" s="333"/>
    </row>
    <row r="82" spans="5:6">
      <c r="E82" s="331"/>
      <c r="F82" s="333"/>
    </row>
    <row r="83" spans="5:6">
      <c r="E83" s="332"/>
      <c r="F83" s="333"/>
    </row>
    <row r="84" spans="5:6">
      <c r="E84" s="330"/>
      <c r="F84" s="333"/>
    </row>
    <row r="85" spans="5:6">
      <c r="E85" s="330"/>
      <c r="F85" s="333"/>
    </row>
    <row r="86" spans="5:6">
      <c r="E86" s="332"/>
      <c r="F86" s="333"/>
    </row>
    <row r="87" spans="5:6">
      <c r="E87" s="331"/>
      <c r="F87" s="333"/>
    </row>
    <row r="88" spans="5:6">
      <c r="E88" s="331"/>
      <c r="F88" s="333"/>
    </row>
    <row r="89" spans="5:6">
      <c r="E89" s="331"/>
      <c r="F89" s="333"/>
    </row>
    <row r="90" spans="5:6">
      <c r="E90" s="331"/>
      <c r="F90" s="333"/>
    </row>
    <row r="91" spans="5:6">
      <c r="E91" s="331"/>
      <c r="F91" s="333"/>
    </row>
    <row r="92" spans="5:6">
      <c r="E92" s="332"/>
      <c r="F92" s="333"/>
    </row>
    <row r="93" spans="5:6">
      <c r="E93" s="331"/>
      <c r="F93" s="333"/>
    </row>
    <row r="94" spans="5:6">
      <c r="E94" s="331"/>
      <c r="F94" s="333"/>
    </row>
    <row r="95" spans="5:6">
      <c r="E95" s="331"/>
      <c r="F95" s="333"/>
    </row>
    <row r="96" spans="5:6">
      <c r="E96" s="331"/>
      <c r="F96" s="333"/>
    </row>
    <row r="97" spans="5:6">
      <c r="E97" s="331"/>
      <c r="F97" s="333"/>
    </row>
    <row r="98" spans="5:6">
      <c r="E98" s="332"/>
      <c r="F98" s="333"/>
    </row>
    <row r="99" spans="5:6">
      <c r="E99" s="331"/>
      <c r="F99" s="333"/>
    </row>
    <row r="100" spans="5:6">
      <c r="E100" s="331"/>
      <c r="F100" s="333"/>
    </row>
    <row r="101" spans="5:6">
      <c r="E101" s="331"/>
      <c r="F101" s="333"/>
    </row>
    <row r="102" spans="5:6">
      <c r="E102" s="331"/>
      <c r="F102" s="333"/>
    </row>
    <row r="103" spans="5:6">
      <c r="E103" s="331"/>
      <c r="F103" s="333"/>
    </row>
    <row r="104" spans="5:6">
      <c r="E104" s="331"/>
      <c r="F104" s="333"/>
    </row>
    <row r="105" spans="5:6">
      <c r="E105" s="331"/>
      <c r="F105" s="333"/>
    </row>
    <row r="106" spans="5:6">
      <c r="E106" s="332"/>
      <c r="F106" s="333"/>
    </row>
    <row r="107" spans="5:6">
      <c r="E107" s="331"/>
      <c r="F107" s="333"/>
    </row>
    <row r="108" spans="5:6">
      <c r="E108" s="331"/>
      <c r="F108" s="333"/>
    </row>
    <row r="109" spans="5:6">
      <c r="E109" s="331"/>
      <c r="F109" s="333"/>
    </row>
    <row r="110" spans="5:6">
      <c r="E110" s="331"/>
      <c r="F110" s="333"/>
    </row>
    <row r="111" spans="5:6">
      <c r="E111" s="331"/>
      <c r="F111" s="333"/>
    </row>
    <row r="112" spans="5:6">
      <c r="E112" s="331"/>
      <c r="F112" s="333"/>
    </row>
    <row r="113" spans="5:6">
      <c r="E113" s="332"/>
      <c r="F113" s="333"/>
    </row>
    <row r="114" spans="5:6">
      <c r="E114" s="331"/>
      <c r="F114" s="333"/>
    </row>
    <row r="115" spans="5:6">
      <c r="E115" s="331"/>
      <c r="F115" s="333"/>
    </row>
    <row r="116" spans="5:6">
      <c r="E116" s="332"/>
      <c r="F116" s="333"/>
    </row>
    <row r="117" spans="5:6">
      <c r="E117" s="331"/>
      <c r="F117" s="333"/>
    </row>
    <row r="118" spans="5:6">
      <c r="E118" s="332"/>
      <c r="F118" s="333"/>
    </row>
    <row r="119" spans="5:6">
      <c r="E119" s="331"/>
      <c r="F119" s="333"/>
    </row>
    <row r="120" spans="5:6">
      <c r="E120" s="331"/>
      <c r="F120" s="333"/>
    </row>
    <row r="121" spans="5:6">
      <c r="E121" s="332"/>
      <c r="F121" s="333"/>
    </row>
    <row r="122" spans="5:6">
      <c r="E122" s="331"/>
      <c r="F122" s="333"/>
    </row>
    <row r="123" spans="5:6">
      <c r="E123" s="332"/>
      <c r="F123" s="333"/>
    </row>
    <row r="124" spans="5:6">
      <c r="E124" s="331"/>
      <c r="F124" s="333"/>
    </row>
    <row r="125" spans="5:6">
      <c r="E125" s="331"/>
      <c r="F125" s="333"/>
    </row>
    <row r="126" spans="5:6">
      <c r="E126" s="331"/>
      <c r="F126" s="333"/>
    </row>
    <row r="127" spans="5:6">
      <c r="E127" s="331"/>
      <c r="F127" s="333"/>
    </row>
    <row r="128" spans="5:6">
      <c r="E128" s="331"/>
      <c r="F128" s="333"/>
    </row>
    <row r="129" spans="5:6">
      <c r="E129" s="331"/>
      <c r="F129" s="333"/>
    </row>
    <row r="130" spans="5:6">
      <c r="E130" s="331"/>
      <c r="F130" s="333"/>
    </row>
    <row r="131" spans="5:6">
      <c r="E131" s="331"/>
      <c r="F131" s="333"/>
    </row>
    <row r="132" spans="5:6">
      <c r="E132" s="332"/>
      <c r="F132" s="333"/>
    </row>
    <row r="133" spans="5:6">
      <c r="E133" s="331"/>
      <c r="F133" s="333"/>
    </row>
    <row r="134" spans="5:6">
      <c r="E134" s="331"/>
      <c r="F134" s="333"/>
    </row>
    <row r="135" spans="5:6">
      <c r="E135" s="331"/>
      <c r="F135" s="333"/>
    </row>
    <row r="136" spans="5:6">
      <c r="E136" s="331"/>
      <c r="F136" s="333"/>
    </row>
    <row r="137" spans="5:6">
      <c r="E137" s="331"/>
      <c r="F137" s="333"/>
    </row>
    <row r="138" spans="5:6">
      <c r="E138" s="331"/>
      <c r="F138" s="333"/>
    </row>
    <row r="139" spans="5:6">
      <c r="E139" s="331"/>
      <c r="F139" s="333"/>
    </row>
    <row r="140" spans="5:6">
      <c r="E140" s="331"/>
      <c r="F140" s="333"/>
    </row>
    <row r="141" spans="5:6">
      <c r="E141" s="332"/>
      <c r="F141" s="333"/>
    </row>
    <row r="142" spans="5:6">
      <c r="E142" s="331"/>
      <c r="F142" s="333"/>
    </row>
    <row r="143" spans="5:6">
      <c r="E143" s="331"/>
      <c r="F143" s="333"/>
    </row>
    <row r="144" spans="5:6">
      <c r="E144" s="331"/>
      <c r="F144" s="333"/>
    </row>
    <row r="145" spans="5:6">
      <c r="E145" s="332"/>
      <c r="F145" s="333"/>
    </row>
    <row r="146" spans="5:6">
      <c r="E146" s="331"/>
      <c r="F146" s="333"/>
    </row>
    <row r="147" spans="5:6">
      <c r="E147" s="331"/>
      <c r="F147" s="333"/>
    </row>
    <row r="148" spans="5:6">
      <c r="E148" s="331"/>
      <c r="F148" s="333"/>
    </row>
    <row r="149" spans="5:6">
      <c r="E149" s="332"/>
      <c r="F149" s="333"/>
    </row>
    <row r="150" spans="5:6">
      <c r="E150" s="330"/>
      <c r="F150" s="333"/>
    </row>
    <row r="151" spans="5:6">
      <c r="E151" s="330"/>
      <c r="F151" s="333"/>
    </row>
    <row r="152" spans="5:6">
      <c r="E152" s="332"/>
      <c r="F152" s="333"/>
    </row>
    <row r="153" spans="5:6">
      <c r="E153" s="331"/>
      <c r="F153" s="333"/>
    </row>
    <row r="154" spans="5:6">
      <c r="E154" s="331"/>
      <c r="F154" s="333"/>
    </row>
    <row r="155" spans="5:6">
      <c r="E155" s="331"/>
      <c r="F155" s="333"/>
    </row>
    <row r="156" spans="5:6">
      <c r="E156" s="331"/>
      <c r="F156" s="333"/>
    </row>
    <row r="157" spans="5:6">
      <c r="E157" s="331"/>
      <c r="F157" s="333"/>
    </row>
    <row r="158" spans="5:6">
      <c r="E158" s="331"/>
      <c r="F158" s="333"/>
    </row>
    <row r="159" spans="5:6">
      <c r="E159" s="331"/>
      <c r="F159" s="333"/>
    </row>
    <row r="160" spans="5:6">
      <c r="E160" s="332"/>
      <c r="F160" s="333"/>
    </row>
    <row r="161" spans="5:6">
      <c r="E161" s="331"/>
      <c r="F161" s="333"/>
    </row>
    <row r="162" spans="5:6">
      <c r="E162" s="331"/>
      <c r="F162" s="333"/>
    </row>
    <row r="163" spans="5:6">
      <c r="E163" s="332"/>
      <c r="F163" s="333"/>
    </row>
    <row r="164" spans="5:6">
      <c r="E164" s="331"/>
      <c r="F164" s="333"/>
    </row>
    <row r="165" spans="5:6">
      <c r="E165" s="332"/>
      <c r="F165" s="333"/>
    </row>
    <row r="166" spans="5:6">
      <c r="E166" s="331"/>
      <c r="F166" s="333"/>
    </row>
    <row r="167" spans="5:6">
      <c r="E167" s="332"/>
      <c r="F167" s="333"/>
    </row>
    <row r="168" spans="5:6">
      <c r="E168" s="330"/>
      <c r="F168" s="333"/>
    </row>
    <row r="169" spans="5:6">
      <c r="E169" s="331"/>
      <c r="F169" s="333"/>
    </row>
    <row r="170" spans="5:6">
      <c r="E170" s="330"/>
      <c r="F170" s="333"/>
    </row>
    <row r="171" spans="5:6">
      <c r="E171" s="330"/>
      <c r="F171" s="333"/>
    </row>
    <row r="172" spans="5:6">
      <c r="E172" s="332"/>
      <c r="F172" s="333"/>
    </row>
    <row r="173" spans="5:6">
      <c r="E173" s="331"/>
      <c r="F173" s="333"/>
    </row>
    <row r="174" spans="5:6">
      <c r="E174" s="331"/>
      <c r="F174" s="333"/>
    </row>
    <row r="175" spans="5:6">
      <c r="E175" s="331"/>
      <c r="F175" s="333"/>
    </row>
    <row r="176" spans="5:6">
      <c r="E176" s="331"/>
      <c r="F176" s="333"/>
    </row>
    <row r="177" spans="5:6">
      <c r="E177" s="331"/>
      <c r="F177" s="333"/>
    </row>
    <row r="178" spans="5:6">
      <c r="E178" s="332"/>
      <c r="F178" s="333"/>
    </row>
    <row r="179" spans="5:6">
      <c r="E179" s="331"/>
      <c r="F179" s="333"/>
    </row>
    <row r="180" spans="5:6">
      <c r="E180" s="332"/>
      <c r="F180" s="333"/>
    </row>
    <row r="181" spans="5:6">
      <c r="E181" s="331"/>
      <c r="F181" s="333"/>
    </row>
    <row r="182" spans="5:6">
      <c r="E182" s="331"/>
      <c r="F182" s="333"/>
    </row>
    <row r="183" spans="5:6">
      <c r="E183" s="331"/>
      <c r="F183" s="333"/>
    </row>
    <row r="184" spans="5:6">
      <c r="E184" s="332"/>
      <c r="F184" s="333"/>
    </row>
    <row r="185" spans="5:6">
      <c r="E185" s="330"/>
      <c r="F185" s="333"/>
    </row>
    <row r="186" spans="5:6">
      <c r="E186" s="332"/>
      <c r="F186" s="333"/>
    </row>
    <row r="187" spans="5:6">
      <c r="E187" s="331"/>
      <c r="F187" s="333"/>
    </row>
    <row r="188" spans="5:6">
      <c r="E188" s="331"/>
      <c r="F188" s="333"/>
    </row>
    <row r="189" spans="5:6">
      <c r="E189" s="331"/>
      <c r="F189" s="333"/>
    </row>
    <row r="190" spans="5:6">
      <c r="E190" s="331"/>
      <c r="F190" s="333"/>
    </row>
    <row r="191" spans="5:6">
      <c r="E191" s="332"/>
      <c r="F191" s="333"/>
    </row>
    <row r="192" spans="5:6">
      <c r="E192" s="331"/>
      <c r="F192" s="333"/>
    </row>
    <row r="193" spans="5:6">
      <c r="E193" s="331"/>
      <c r="F193" s="333"/>
    </row>
    <row r="194" spans="5:6">
      <c r="E194" s="331"/>
      <c r="F194" s="333"/>
    </row>
    <row r="195" spans="5:6">
      <c r="E195" s="332"/>
      <c r="F195" s="333"/>
    </row>
    <row r="196" spans="5:6">
      <c r="E196" s="331"/>
      <c r="F196" s="333"/>
    </row>
    <row r="197" spans="5:6">
      <c r="E197" s="331"/>
      <c r="F197" s="333"/>
    </row>
    <row r="198" spans="5:6">
      <c r="E198" s="331"/>
      <c r="F198" s="333"/>
    </row>
    <row r="199" spans="5:6">
      <c r="E199" s="331"/>
      <c r="F199" s="333"/>
    </row>
    <row r="200" spans="5:6">
      <c r="E200" s="331"/>
      <c r="F200" s="333"/>
    </row>
    <row r="201" spans="5:6">
      <c r="E201" s="331"/>
      <c r="F201" s="333"/>
    </row>
    <row r="202" spans="5:6">
      <c r="E202" s="331"/>
      <c r="F202" s="333"/>
    </row>
    <row r="203" spans="5:6">
      <c r="E203" s="332"/>
      <c r="F203" s="333"/>
    </row>
    <row r="204" spans="5:6">
      <c r="E204" s="331"/>
      <c r="F204" s="333"/>
    </row>
    <row r="205" spans="5:6">
      <c r="E205" s="332"/>
      <c r="F205" s="333"/>
    </row>
    <row r="206" spans="5:6">
      <c r="E206" s="331"/>
      <c r="F206" s="333"/>
    </row>
    <row r="207" spans="5:6">
      <c r="E207" s="331"/>
      <c r="F207" s="333"/>
    </row>
    <row r="208" spans="5:6">
      <c r="E208" s="331"/>
      <c r="F208" s="333"/>
    </row>
    <row r="209" spans="5:6">
      <c r="E209" s="331"/>
      <c r="F209" s="333"/>
    </row>
    <row r="210" spans="5:6">
      <c r="E210" s="331"/>
      <c r="F210" s="333"/>
    </row>
    <row r="211" spans="5:6">
      <c r="E211" s="331"/>
      <c r="F211" s="333"/>
    </row>
    <row r="212" spans="5:6">
      <c r="E212" s="331"/>
      <c r="F212" s="333"/>
    </row>
    <row r="213" spans="5:6">
      <c r="E213" s="331"/>
      <c r="F213" s="333"/>
    </row>
    <row r="214" spans="5:6">
      <c r="E214" s="331"/>
      <c r="F214" s="333"/>
    </row>
    <row r="215" spans="5:6">
      <c r="E215" s="331"/>
      <c r="F215" s="333"/>
    </row>
    <row r="216" spans="5:6">
      <c r="E216" s="331"/>
      <c r="F216" s="333"/>
    </row>
    <row r="217" spans="5:6">
      <c r="E217" s="331"/>
      <c r="F217" s="333"/>
    </row>
    <row r="218" spans="5:6">
      <c r="E218" s="331"/>
      <c r="F218" s="333"/>
    </row>
    <row r="219" spans="5:6">
      <c r="E219" s="331"/>
      <c r="F219" s="333"/>
    </row>
    <row r="220" spans="5:6">
      <c r="E220" s="332"/>
      <c r="F220" s="333"/>
    </row>
    <row r="221" spans="5:6">
      <c r="E221" s="331"/>
      <c r="F221" s="333"/>
    </row>
    <row r="222" spans="5:6">
      <c r="E222" s="332"/>
      <c r="F222" s="333"/>
    </row>
    <row r="223" spans="5:6">
      <c r="E223" s="330"/>
      <c r="F223" s="333"/>
    </row>
    <row r="224" spans="5:6">
      <c r="E224" s="330"/>
      <c r="F224" s="333"/>
    </row>
    <row r="225" spans="5:6">
      <c r="E225" s="330"/>
      <c r="F225" s="333"/>
    </row>
    <row r="226" spans="5:6">
      <c r="E226" s="330"/>
      <c r="F226" s="333"/>
    </row>
    <row r="227" spans="5:6">
      <c r="E227" s="330"/>
      <c r="F227" s="333"/>
    </row>
    <row r="228" spans="5:6">
      <c r="E228" s="330"/>
      <c r="F228" s="333"/>
    </row>
    <row r="229" spans="5:6">
      <c r="E229" s="332"/>
      <c r="F229" s="333"/>
    </row>
    <row r="230" spans="5:6">
      <c r="E230" s="331"/>
      <c r="F230" s="333"/>
    </row>
    <row r="231" spans="5:6">
      <c r="E231" s="331"/>
      <c r="F231" s="333"/>
    </row>
    <row r="232" spans="5:6">
      <c r="E232" s="332"/>
      <c r="F232" s="333"/>
    </row>
    <row r="233" spans="5:6">
      <c r="E233" s="331"/>
      <c r="F233" s="333"/>
    </row>
    <row r="234" spans="5:6">
      <c r="E234" s="332"/>
      <c r="F234" s="333"/>
    </row>
    <row r="235" spans="5:6">
      <c r="E235" s="331"/>
      <c r="F235" s="333"/>
    </row>
    <row r="236" spans="5:6">
      <c r="E236" s="331"/>
      <c r="F236" s="333"/>
    </row>
    <row r="237" spans="5:6">
      <c r="E237" s="332"/>
      <c r="F237" s="333"/>
    </row>
    <row r="238" spans="5:6">
      <c r="E238" s="331"/>
      <c r="F238" s="333"/>
    </row>
    <row r="239" spans="5:6">
      <c r="E239" s="332"/>
      <c r="F239" s="333"/>
    </row>
    <row r="240" spans="5:6">
      <c r="E240" s="331"/>
      <c r="F240" s="333"/>
    </row>
    <row r="241" spans="5:6">
      <c r="E241" s="331"/>
      <c r="F241" s="333"/>
    </row>
    <row r="242" spans="5:6">
      <c r="E242" s="331"/>
      <c r="F242" s="333"/>
    </row>
    <row r="243" spans="5:6">
      <c r="E243" s="331"/>
      <c r="F243" s="333"/>
    </row>
    <row r="244" spans="5:6">
      <c r="E244" s="332"/>
      <c r="F244" s="333"/>
    </row>
    <row r="245" spans="5:6">
      <c r="E245" s="330"/>
      <c r="F245" s="333"/>
    </row>
    <row r="246" spans="5:6">
      <c r="E246" s="332"/>
      <c r="F246" s="333"/>
    </row>
    <row r="247" spans="5:6">
      <c r="E247" s="330"/>
      <c r="F247" s="333"/>
    </row>
    <row r="248" spans="5:6">
      <c r="E248" s="332"/>
      <c r="F248" s="333"/>
    </row>
    <row r="249" spans="5:6">
      <c r="E249" s="332"/>
      <c r="F249" s="333"/>
    </row>
    <row r="250" spans="5:6">
      <c r="E250" s="332"/>
      <c r="F250" s="333"/>
    </row>
    <row r="251" spans="5:6">
      <c r="E251" s="331"/>
      <c r="F251" s="333"/>
    </row>
    <row r="252" spans="5:6">
      <c r="E252" s="331"/>
      <c r="F252" s="333"/>
    </row>
    <row r="253" spans="5:6">
      <c r="E253" s="331"/>
      <c r="F253" s="333"/>
    </row>
    <row r="254" spans="5:6">
      <c r="E254" s="331"/>
      <c r="F254" s="333"/>
    </row>
    <row r="255" spans="5:6">
      <c r="E255" s="332"/>
      <c r="F255" s="333"/>
    </row>
    <row r="256" spans="5:6">
      <c r="E256" s="331"/>
      <c r="F256" s="333"/>
    </row>
    <row r="257" spans="5:6">
      <c r="E257" s="331"/>
      <c r="F257" s="333"/>
    </row>
    <row r="258" spans="5:6">
      <c r="E258" s="331"/>
      <c r="F258" s="333"/>
    </row>
    <row r="259" spans="5:6">
      <c r="E259" s="331"/>
      <c r="F259" s="333"/>
    </row>
    <row r="260" spans="5:6">
      <c r="E260" s="332"/>
      <c r="F260" s="333"/>
    </row>
    <row r="261" spans="5:6">
      <c r="E261" s="331"/>
      <c r="F261" s="333"/>
    </row>
    <row r="262" spans="5:6">
      <c r="E262" s="331"/>
      <c r="F262" s="333"/>
    </row>
    <row r="263" spans="5:6">
      <c r="E263" s="331"/>
      <c r="F263" s="333"/>
    </row>
    <row r="264" spans="5:6">
      <c r="E264" s="331"/>
      <c r="F264" s="333"/>
    </row>
    <row r="265" spans="5:6">
      <c r="E265" s="331"/>
      <c r="F265" s="333"/>
    </row>
    <row r="266" spans="5:6">
      <c r="E266" s="331"/>
      <c r="F266" s="333"/>
    </row>
    <row r="267" spans="5:6">
      <c r="E267" s="332"/>
      <c r="F267" s="333"/>
    </row>
    <row r="268" spans="5:6">
      <c r="E268" s="330"/>
      <c r="F268" s="333"/>
    </row>
    <row r="269" spans="5:6">
      <c r="E269" s="331"/>
      <c r="F269" s="333"/>
    </row>
    <row r="270" spans="5:6">
      <c r="E270" s="332"/>
      <c r="F270" s="333"/>
    </row>
    <row r="271" spans="5:6">
      <c r="E271" s="330"/>
      <c r="F271" s="333"/>
    </row>
    <row r="272" spans="5:6">
      <c r="E272" s="332"/>
      <c r="F272" s="333"/>
    </row>
    <row r="273" spans="5:6">
      <c r="E273" s="331"/>
      <c r="F273" s="333"/>
    </row>
  </sheetData>
  <sheetProtection algorithmName="SHA-512" hashValue="qEA2BWw1BIt6SAN2Y1PsxXMXafnnGx7BG4HEe1zNWnOG6JiCK82ttwr0QYnPC1p05rEd5dSJUIh4puaWUjqSFA==" saltValue="lnf5KCrb5ySzJgQ8wngBRA==" spinCount="100000" sheet="1" objects="1" scenarios="1" autoFilter="0"/>
  <phoneticPr fontId="43" type="noConversion"/>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dimension ref="A1:F68"/>
  <sheetViews>
    <sheetView workbookViewId="0">
      <selection activeCell="F4" sqref="F4"/>
    </sheetView>
  </sheetViews>
  <sheetFormatPr defaultColWidth="9.28515625" defaultRowHeight="10.199999999999999"/>
  <cols>
    <col min="1" max="2" width="8.28515625" style="26" customWidth="1"/>
    <col min="3" max="3" width="38.28515625" style="26" customWidth="1"/>
    <col min="4" max="4" width="17.42578125" style="95" customWidth="1"/>
    <col min="5" max="5" width="9.7109375" style="26" bestFit="1" customWidth="1"/>
    <col min="6" max="6" width="16" style="26" customWidth="1"/>
    <col min="7" max="8" width="16.140625" style="26" customWidth="1"/>
    <col min="9" max="9" width="15.28515625" style="26" bestFit="1" customWidth="1"/>
    <col min="10" max="10" width="16" style="26" customWidth="1"/>
    <col min="11" max="11" width="13" style="26" bestFit="1" customWidth="1"/>
    <col min="12" max="14" width="14.28515625" style="26" bestFit="1" customWidth="1"/>
    <col min="15" max="15" width="15.28515625" style="26" bestFit="1" customWidth="1"/>
    <col min="16" max="18" width="14.28515625" style="26" bestFit="1" customWidth="1"/>
    <col min="19" max="19" width="15.28515625" style="26" bestFit="1" customWidth="1"/>
    <col min="20" max="29" width="14.28515625" style="26" bestFit="1" customWidth="1"/>
    <col min="30" max="30" width="15.28515625" style="26" bestFit="1" customWidth="1"/>
    <col min="31" max="31" width="13" style="26" bestFit="1" customWidth="1"/>
    <col min="32" max="35" width="14.28515625" style="26" bestFit="1" customWidth="1"/>
    <col min="36" max="36" width="13" style="26" bestFit="1" customWidth="1"/>
    <col min="37" max="37" width="11.42578125" style="26" bestFit="1" customWidth="1"/>
    <col min="38" max="38" width="14.28515625" style="26" bestFit="1" customWidth="1"/>
    <col min="39" max="39" width="13" style="26" bestFit="1" customWidth="1"/>
    <col min="40" max="40" width="14.28515625" style="26" bestFit="1" customWidth="1"/>
    <col min="41" max="43" width="13" style="26" bestFit="1" customWidth="1"/>
    <col min="44" max="44" width="9.42578125" style="26" bestFit="1" customWidth="1"/>
    <col min="45" max="46" width="14.28515625" style="26" bestFit="1" customWidth="1"/>
    <col min="47" max="47" width="13" style="26" bestFit="1" customWidth="1"/>
    <col min="48" max="48" width="12.28515625" style="26" bestFit="1" customWidth="1"/>
    <col min="49" max="51" width="14.28515625" style="26" bestFit="1" customWidth="1"/>
    <col min="52" max="52" width="13" style="26" bestFit="1" customWidth="1"/>
    <col min="53" max="55" width="14.28515625" style="26" bestFit="1" customWidth="1"/>
    <col min="56" max="56" width="13.85546875" style="26" bestFit="1" customWidth="1"/>
    <col min="57" max="58" width="13" style="26" bestFit="1" customWidth="1"/>
    <col min="59" max="59" width="14.28515625" style="26" bestFit="1" customWidth="1"/>
    <col min="60" max="60" width="15.28515625" style="26" bestFit="1" customWidth="1"/>
    <col min="61" max="61" width="13" style="26" bestFit="1" customWidth="1"/>
    <col min="62" max="63" width="14.28515625" style="26" bestFit="1" customWidth="1"/>
    <col min="64" max="64" width="13" style="26" bestFit="1" customWidth="1"/>
    <col min="65" max="16384" width="9.28515625" style="26"/>
  </cols>
  <sheetData>
    <row r="1" spans="1:5">
      <c r="D1" s="384">
        <v>2190</v>
      </c>
    </row>
    <row r="2" spans="1:5" ht="13.8">
      <c r="C2" s="189" t="s">
        <v>1796</v>
      </c>
      <c r="D2" s="62">
        <f>+Index!$A$120</f>
        <v>44742</v>
      </c>
    </row>
    <row r="3" spans="1:5" ht="13.8">
      <c r="A3" s="37" t="s">
        <v>1669</v>
      </c>
      <c r="B3" s="37"/>
      <c r="C3" s="81"/>
      <c r="D3" s="364" t="s">
        <v>1797</v>
      </c>
    </row>
    <row r="4" spans="1:5" ht="13.8">
      <c r="A4" s="908" t="s">
        <v>1690</v>
      </c>
      <c r="B4" s="908"/>
      <c r="C4" s="908" t="s">
        <v>1067</v>
      </c>
      <c r="D4" s="748" t="s">
        <v>1798</v>
      </c>
      <c r="E4" s="383" t="s">
        <v>146</v>
      </c>
    </row>
    <row r="5" spans="1:5" ht="6.75" customHeight="1"/>
    <row r="6" spans="1:5">
      <c r="A6" s="383" t="s">
        <v>1071</v>
      </c>
      <c r="B6" s="383" t="s">
        <v>1070</v>
      </c>
      <c r="C6" s="26" t="s">
        <v>5</v>
      </c>
      <c r="D6" s="933">
        <v>41498609.57</v>
      </c>
    </row>
    <row r="7" spans="1:5">
      <c r="A7" s="383" t="s">
        <v>1209</v>
      </c>
      <c r="B7" s="26" t="s">
        <v>1207</v>
      </c>
      <c r="C7" s="26" t="s">
        <v>1208</v>
      </c>
      <c r="D7" s="933">
        <v>42740235.369999997</v>
      </c>
    </row>
    <row r="8" spans="1:5">
      <c r="A8" s="383" t="s">
        <v>1074</v>
      </c>
      <c r="B8" s="26" t="s">
        <v>1072</v>
      </c>
      <c r="C8" s="26" t="s">
        <v>1704</v>
      </c>
      <c r="D8" s="933">
        <v>107500847.11</v>
      </c>
    </row>
    <row r="9" spans="1:5">
      <c r="A9" s="383" t="s">
        <v>1077</v>
      </c>
      <c r="B9" s="26" t="s">
        <v>1075</v>
      </c>
      <c r="C9" s="26" t="s">
        <v>1076</v>
      </c>
      <c r="D9" s="933">
        <v>10812696.789999999</v>
      </c>
    </row>
    <row r="10" spans="1:5">
      <c r="A10" s="383" t="s">
        <v>1080</v>
      </c>
      <c r="B10" s="26" t="s">
        <v>1078</v>
      </c>
      <c r="C10" s="26" t="s">
        <v>1079</v>
      </c>
      <c r="D10" s="933">
        <v>6019140.6299999999</v>
      </c>
    </row>
    <row r="11" spans="1:5">
      <c r="A11" s="383" t="s">
        <v>1083</v>
      </c>
      <c r="B11" s="26" t="s">
        <v>1081</v>
      </c>
      <c r="C11" s="26" t="s">
        <v>1082</v>
      </c>
      <c r="D11" s="933">
        <v>51871126.049999997</v>
      </c>
    </row>
    <row r="12" spans="1:5">
      <c r="A12" s="383" t="s">
        <v>1086</v>
      </c>
      <c r="B12" s="26" t="s">
        <v>1084</v>
      </c>
      <c r="C12" s="26" t="s">
        <v>1085</v>
      </c>
      <c r="D12" s="933">
        <v>27390987.800000001</v>
      </c>
    </row>
    <row r="13" spans="1:5">
      <c r="A13" s="383" t="s">
        <v>1089</v>
      </c>
      <c r="B13" s="26" t="s">
        <v>1087</v>
      </c>
      <c r="C13" s="26" t="s">
        <v>1705</v>
      </c>
      <c r="D13" s="933">
        <v>39628823.890000001</v>
      </c>
    </row>
    <row r="14" spans="1:5">
      <c r="A14" s="383" t="s">
        <v>1092</v>
      </c>
      <c r="B14" s="26" t="s">
        <v>1090</v>
      </c>
      <c r="C14" s="26" t="s">
        <v>1091</v>
      </c>
      <c r="D14" s="933">
        <v>193428064.59999999</v>
      </c>
    </row>
    <row r="15" spans="1:5">
      <c r="A15" s="383" t="s">
        <v>1095</v>
      </c>
      <c r="B15" s="26" t="s">
        <v>1093</v>
      </c>
      <c r="C15" s="26" t="s">
        <v>1094</v>
      </c>
      <c r="D15" s="933">
        <v>19279972.27</v>
      </c>
    </row>
    <row r="16" spans="1:5">
      <c r="A16" s="383" t="s">
        <v>1098</v>
      </c>
      <c r="B16" s="26" t="s">
        <v>1096</v>
      </c>
      <c r="C16" s="26" t="s">
        <v>1097</v>
      </c>
      <c r="D16" s="933">
        <v>40469029.619999997</v>
      </c>
    </row>
    <row r="17" spans="1:4">
      <c r="A17" s="383" t="s">
        <v>1101</v>
      </c>
      <c r="B17" s="26" t="s">
        <v>1099</v>
      </c>
      <c r="C17" s="26" t="s">
        <v>1100</v>
      </c>
      <c r="D17" s="933">
        <v>10543281.699999999</v>
      </c>
    </row>
    <row r="18" spans="1:4">
      <c r="A18" s="383" t="s">
        <v>1104</v>
      </c>
      <c r="B18" s="26" t="s">
        <v>1102</v>
      </c>
      <c r="C18" s="26" t="s">
        <v>1103</v>
      </c>
      <c r="D18" s="933">
        <v>486742343.33999997</v>
      </c>
    </row>
    <row r="19" spans="1:4">
      <c r="A19" s="383" t="s">
        <v>1107</v>
      </c>
      <c r="B19" s="26" t="s">
        <v>1105</v>
      </c>
      <c r="C19" s="26" t="s">
        <v>1106</v>
      </c>
      <c r="D19" s="933">
        <v>21110173.640000001</v>
      </c>
    </row>
    <row r="20" spans="1:4">
      <c r="A20" s="383" t="s">
        <v>1110</v>
      </c>
      <c r="B20" s="26" t="s">
        <v>1108</v>
      </c>
      <c r="C20" s="26" t="s">
        <v>1109</v>
      </c>
      <c r="D20" s="933">
        <v>30815231.789999999</v>
      </c>
    </row>
    <row r="21" spans="1:4">
      <c r="A21" s="383" t="s">
        <v>1113</v>
      </c>
      <c r="B21" s="26" t="s">
        <v>1111</v>
      </c>
      <c r="C21" s="26" t="s">
        <v>1112</v>
      </c>
      <c r="D21" s="933">
        <v>17591421.370000001</v>
      </c>
    </row>
    <row r="22" spans="1:4">
      <c r="A22" s="383" t="s">
        <v>1116</v>
      </c>
      <c r="B22" s="26" t="s">
        <v>1114</v>
      </c>
      <c r="C22" s="26" t="s">
        <v>1115</v>
      </c>
      <c r="D22" s="933">
        <v>22671407.02</v>
      </c>
    </row>
    <row r="23" spans="1:4">
      <c r="A23" s="383" t="s">
        <v>1119</v>
      </c>
      <c r="B23" s="26" t="s">
        <v>1117</v>
      </c>
      <c r="C23" s="26" t="s">
        <v>1118</v>
      </c>
      <c r="D23" s="933">
        <v>38954256.210000001</v>
      </c>
    </row>
    <row r="24" spans="1:4">
      <c r="A24" s="383" t="s">
        <v>1122</v>
      </c>
      <c r="B24" s="26" t="s">
        <v>1120</v>
      </c>
      <c r="C24" s="26" t="s">
        <v>1121</v>
      </c>
      <c r="D24" s="933">
        <v>30941429.690000001</v>
      </c>
    </row>
    <row r="25" spans="1:4">
      <c r="A25" s="383" t="s">
        <v>1125</v>
      </c>
      <c r="B25" s="26" t="s">
        <v>1123</v>
      </c>
      <c r="C25" s="26" t="s">
        <v>1124</v>
      </c>
      <c r="D25" s="933">
        <v>14678562.210000001</v>
      </c>
    </row>
    <row r="26" spans="1:4">
      <c r="A26" s="383" t="s">
        <v>1128</v>
      </c>
      <c r="B26" s="26" t="s">
        <v>1126</v>
      </c>
      <c r="C26" s="26" t="s">
        <v>1127</v>
      </c>
      <c r="D26" s="933">
        <v>80707454.299999997</v>
      </c>
    </row>
    <row r="27" spans="1:4">
      <c r="A27" s="383" t="s">
        <v>1131</v>
      </c>
      <c r="B27" s="26" t="s">
        <v>1129</v>
      </c>
      <c r="C27" s="26" t="s">
        <v>1130</v>
      </c>
      <c r="D27" s="933">
        <v>65617102.630000003</v>
      </c>
    </row>
    <row r="28" spans="1:4">
      <c r="A28" s="383" t="s">
        <v>1134</v>
      </c>
      <c r="B28" s="26" t="s">
        <v>1132</v>
      </c>
      <c r="C28" s="26" t="s">
        <v>1133</v>
      </c>
      <c r="D28" s="933">
        <v>57429811.509999998</v>
      </c>
    </row>
    <row r="29" spans="1:4">
      <c r="A29" s="383" t="s">
        <v>1137</v>
      </c>
      <c r="B29" s="26" t="s">
        <v>1135</v>
      </c>
      <c r="C29" s="26" t="s">
        <v>1136</v>
      </c>
      <c r="D29" s="933">
        <v>223199212.83000001</v>
      </c>
    </row>
    <row r="30" spans="1:4">
      <c r="A30" s="383" t="s">
        <v>1140</v>
      </c>
      <c r="B30" s="26" t="s">
        <v>1138</v>
      </c>
      <c r="C30" s="26" t="s">
        <v>1139</v>
      </c>
      <c r="D30" s="933">
        <v>4149008.98</v>
      </c>
    </row>
    <row r="31" spans="1:4">
      <c r="A31" s="383" t="s">
        <v>1143</v>
      </c>
      <c r="B31" s="26" t="s">
        <v>1141</v>
      </c>
      <c r="C31" s="26" t="s">
        <v>1142</v>
      </c>
      <c r="D31" s="933">
        <v>42539367.969999999</v>
      </c>
    </row>
    <row r="32" spans="1:4">
      <c r="A32" s="383" t="s">
        <v>1146</v>
      </c>
      <c r="B32" s="26" t="s">
        <v>1144</v>
      </c>
      <c r="C32" s="26" t="s">
        <v>1145</v>
      </c>
      <c r="D32" s="933">
        <v>23368453.609999999</v>
      </c>
    </row>
    <row r="33" spans="1:4">
      <c r="A33" s="383" t="s">
        <v>1149</v>
      </c>
      <c r="B33" s="26" t="s">
        <v>1147</v>
      </c>
      <c r="C33" s="26" t="s">
        <v>1148</v>
      </c>
      <c r="D33" s="933">
        <v>13759028.65</v>
      </c>
    </row>
    <row r="34" spans="1:4">
      <c r="A34" s="383" t="s">
        <v>1152</v>
      </c>
      <c r="B34" s="26" t="s">
        <v>1150</v>
      </c>
      <c r="C34" s="26" t="s">
        <v>1151</v>
      </c>
      <c r="D34" s="933">
        <v>39485898.329999998</v>
      </c>
    </row>
    <row r="35" spans="1:4">
      <c r="A35" s="383" t="s">
        <v>1155</v>
      </c>
      <c r="B35" s="26" t="s">
        <v>1153</v>
      </c>
      <c r="C35" s="26" t="s">
        <v>1154</v>
      </c>
      <c r="D35" s="933">
        <v>6956133.2000000002</v>
      </c>
    </row>
    <row r="36" spans="1:4">
      <c r="A36" s="383" t="s">
        <v>1158</v>
      </c>
      <c r="B36" s="26" t="s">
        <v>1156</v>
      </c>
      <c r="C36" s="26" t="s">
        <v>1157</v>
      </c>
      <c r="D36" s="933">
        <v>900113.6</v>
      </c>
    </row>
    <row r="37" spans="1:4">
      <c r="A37" s="383" t="s">
        <v>1161</v>
      </c>
      <c r="B37" s="26" t="s">
        <v>1159</v>
      </c>
      <c r="C37" s="26" t="s">
        <v>1160</v>
      </c>
      <c r="D37" s="933">
        <v>11532036.189999999</v>
      </c>
    </row>
    <row r="38" spans="1:4">
      <c r="A38" s="383" t="s">
        <v>1164</v>
      </c>
      <c r="B38" s="26" t="s">
        <v>1162</v>
      </c>
      <c r="C38" s="26" t="s">
        <v>1163</v>
      </c>
      <c r="D38" s="933">
        <v>2494366.59</v>
      </c>
    </row>
    <row r="39" spans="1:4">
      <c r="A39" s="383" t="s">
        <v>1167</v>
      </c>
      <c r="B39" s="26" t="s">
        <v>1165</v>
      </c>
      <c r="C39" s="26" t="s">
        <v>1166</v>
      </c>
      <c r="D39" s="933">
        <v>53400555.07</v>
      </c>
    </row>
    <row r="40" spans="1:4">
      <c r="A40" s="383" t="s">
        <v>1170</v>
      </c>
      <c r="B40" s="26" t="s">
        <v>1168</v>
      </c>
      <c r="C40" s="26" t="s">
        <v>1169</v>
      </c>
      <c r="D40" s="933">
        <v>3826815.93</v>
      </c>
    </row>
    <row r="41" spans="1:4">
      <c r="A41" s="383" t="s">
        <v>1173</v>
      </c>
      <c r="B41" s="26" t="s">
        <v>1171</v>
      </c>
      <c r="C41" s="26" t="s">
        <v>1172</v>
      </c>
      <c r="D41" s="933">
        <v>5394735.4900000002</v>
      </c>
    </row>
    <row r="42" spans="1:4">
      <c r="A42" s="383" t="s">
        <v>1176</v>
      </c>
      <c r="B42" s="26" t="s">
        <v>1174</v>
      </c>
      <c r="C42" s="26" t="s">
        <v>1175</v>
      </c>
      <c r="D42" s="933">
        <v>5020412.91</v>
      </c>
    </row>
    <row r="43" spans="1:4">
      <c r="A43" s="383" t="s">
        <v>1179</v>
      </c>
      <c r="B43" s="26" t="s">
        <v>1177</v>
      </c>
      <c r="C43" s="26" t="s">
        <v>1178</v>
      </c>
      <c r="D43" s="933">
        <v>1739.47</v>
      </c>
    </row>
    <row r="44" spans="1:4">
      <c r="A44" s="383" t="s">
        <v>1182</v>
      </c>
      <c r="B44" s="26" t="s">
        <v>1180</v>
      </c>
      <c r="C44" s="26" t="s">
        <v>1181</v>
      </c>
      <c r="D44" s="933">
        <v>43442326.810000002</v>
      </c>
    </row>
    <row r="45" spans="1:4">
      <c r="A45" s="383" t="s">
        <v>1185</v>
      </c>
      <c r="B45" s="26" t="s">
        <v>1183</v>
      </c>
      <c r="C45" s="26" t="s">
        <v>1184</v>
      </c>
      <c r="D45" s="933">
        <v>25153761.949999999</v>
      </c>
    </row>
    <row r="46" spans="1:4">
      <c r="A46" s="383" t="s">
        <v>1188</v>
      </c>
      <c r="B46" s="26" t="s">
        <v>1186</v>
      </c>
      <c r="C46" s="26" t="s">
        <v>1187</v>
      </c>
      <c r="D46" s="933">
        <v>7128616.0199999996</v>
      </c>
    </row>
    <row r="47" spans="1:4">
      <c r="A47" s="383" t="s">
        <v>1191</v>
      </c>
      <c r="B47" s="26" t="s">
        <v>1189</v>
      </c>
      <c r="C47" s="26" t="s">
        <v>1190</v>
      </c>
      <c r="D47" s="933">
        <v>-577457.53</v>
      </c>
    </row>
    <row r="48" spans="1:4">
      <c r="A48" s="383" t="s">
        <v>1194</v>
      </c>
      <c r="B48" s="26" t="s">
        <v>1192</v>
      </c>
      <c r="C48" s="26" t="s">
        <v>1193</v>
      </c>
      <c r="D48" s="933">
        <v>18625272.710000001</v>
      </c>
    </row>
    <row r="49" spans="1:4">
      <c r="A49" s="383" t="s">
        <v>1197</v>
      </c>
      <c r="B49" s="26" t="s">
        <v>1195</v>
      </c>
      <c r="C49" s="26" t="s">
        <v>1196</v>
      </c>
      <c r="D49" s="933">
        <v>16662564.060000001</v>
      </c>
    </row>
    <row r="50" spans="1:4">
      <c r="A50" s="383" t="s">
        <v>1200</v>
      </c>
      <c r="B50" s="26" t="s">
        <v>1198</v>
      </c>
      <c r="C50" s="26" t="s">
        <v>1199</v>
      </c>
      <c r="D50" s="933">
        <v>61187420.369999997</v>
      </c>
    </row>
    <row r="51" spans="1:4">
      <c r="A51" s="383" t="s">
        <v>1203</v>
      </c>
      <c r="B51" s="26" t="s">
        <v>1201</v>
      </c>
      <c r="C51" s="26" t="s">
        <v>1202</v>
      </c>
      <c r="D51" s="933">
        <v>9419935.0299999993</v>
      </c>
    </row>
    <row r="52" spans="1:4">
      <c r="A52" s="383" t="s">
        <v>1206</v>
      </c>
      <c r="B52" s="26" t="s">
        <v>1204</v>
      </c>
      <c r="C52" s="26" t="s">
        <v>1205</v>
      </c>
      <c r="D52" s="933">
        <v>77044337.340000004</v>
      </c>
    </row>
    <row r="53" spans="1:4">
      <c r="A53" s="383" t="s">
        <v>1212</v>
      </c>
      <c r="B53" s="26" t="s">
        <v>1210</v>
      </c>
      <c r="C53" s="26" t="s">
        <v>1211</v>
      </c>
      <c r="D53" s="933">
        <v>24351560.960000001</v>
      </c>
    </row>
    <row r="54" spans="1:4">
      <c r="A54" s="383" t="s">
        <v>1215</v>
      </c>
      <c r="B54" s="26" t="s">
        <v>1213</v>
      </c>
      <c r="C54" s="26" t="s">
        <v>1214</v>
      </c>
      <c r="D54" s="933">
        <v>37161160.619999997</v>
      </c>
    </row>
    <row r="55" spans="1:4">
      <c r="A55" s="383" t="s">
        <v>1218</v>
      </c>
      <c r="B55" s="26" t="s">
        <v>1216</v>
      </c>
      <c r="C55" s="26" t="s">
        <v>1217</v>
      </c>
      <c r="D55" s="933">
        <v>-5618170.8700000001</v>
      </c>
    </row>
    <row r="56" spans="1:4">
      <c r="A56" s="383" t="s">
        <v>1221</v>
      </c>
      <c r="B56" s="26" t="s">
        <v>1219</v>
      </c>
      <c r="C56" s="26" t="s">
        <v>1220</v>
      </c>
      <c r="D56" s="933">
        <v>5243204.87</v>
      </c>
    </row>
    <row r="57" spans="1:4">
      <c r="A57" s="383" t="s">
        <v>1224</v>
      </c>
      <c r="B57" s="26" t="s">
        <v>1222</v>
      </c>
      <c r="C57" s="26" t="s">
        <v>1223</v>
      </c>
      <c r="D57" s="933">
        <v>4614921.72</v>
      </c>
    </row>
    <row r="58" spans="1:4">
      <c r="A58" s="383" t="s">
        <v>1227</v>
      </c>
      <c r="B58" s="26" t="s">
        <v>1225</v>
      </c>
      <c r="C58" s="26" t="s">
        <v>1226</v>
      </c>
      <c r="D58" s="933">
        <v>15812276.77</v>
      </c>
    </row>
    <row r="59" spans="1:4">
      <c r="A59" s="383" t="s">
        <v>1230</v>
      </c>
      <c r="B59" s="26" t="s">
        <v>1228</v>
      </c>
      <c r="C59" s="26" t="s">
        <v>1229</v>
      </c>
      <c r="D59" s="933">
        <v>420322673.69999999</v>
      </c>
    </row>
    <row r="60" spans="1:4">
      <c r="A60" s="383" t="s">
        <v>1233</v>
      </c>
      <c r="B60" s="26" t="s">
        <v>1231</v>
      </c>
      <c r="C60" s="26" t="s">
        <v>1232</v>
      </c>
      <c r="D60" s="933">
        <v>7784489.3700000001</v>
      </c>
    </row>
    <row r="61" spans="1:4">
      <c r="A61" s="383" t="s">
        <v>1236</v>
      </c>
      <c r="B61" s="26" t="s">
        <v>1234</v>
      </c>
      <c r="C61" s="26" t="s">
        <v>1235</v>
      </c>
      <c r="D61" s="933">
        <v>24749428.890000001</v>
      </c>
    </row>
    <row r="62" spans="1:4">
      <c r="A62" s="383" t="s">
        <v>1239</v>
      </c>
      <c r="B62" s="26" t="s">
        <v>1237</v>
      </c>
      <c r="C62" s="26" t="s">
        <v>1238</v>
      </c>
      <c r="D62" s="933">
        <v>18311965.050000001</v>
      </c>
    </row>
    <row r="63" spans="1:4">
      <c r="A63" s="383" t="s">
        <v>1242</v>
      </c>
      <c r="B63" s="26" t="s">
        <v>1240</v>
      </c>
      <c r="C63" s="26" t="s">
        <v>1241</v>
      </c>
      <c r="D63" s="933">
        <v>3637001.4</v>
      </c>
    </row>
    <row r="64" spans="1:4" ht="10.8" thickBot="1">
      <c r="D64" s="385">
        <f>SUM(D6:D63)</f>
        <v>2708927177.1700001</v>
      </c>
    </row>
    <row r="65" spans="1:6" ht="10.8" thickTop="1">
      <c r="D65" s="341"/>
      <c r="F65" s="383" t="s">
        <v>1799</v>
      </c>
    </row>
    <row r="67" spans="1:6" ht="13.2">
      <c r="A67" s="186" t="s">
        <v>1707</v>
      </c>
      <c r="B67" s="186"/>
    </row>
    <row r="68" spans="1:6" ht="13.2">
      <c r="A68" s="167" t="s">
        <v>1800</v>
      </c>
      <c r="B68" s="167"/>
      <c r="C68" s="95"/>
      <c r="E68" s="95"/>
    </row>
  </sheetData>
  <sheetProtection algorithmName="SHA-512" hashValue="a1SNkHtTcNCjGpYwGQi5Ab1IV2X1A/LoJ/pxbcXukWFMFRjQUMFtOL6acGUHdg1lyFQMI2T8CgWr3y6nwUwKLg==" saltValue="O8BihBmFdtpPMsoRE5npqg==" spinCount="100000" sheet="1" objects="1" scenarios="1" autoFilter="0"/>
  <customSheetViews>
    <customSheetView guid="{09B6E9FC-05EC-46D9-876B-83C9B6994F28}" state="hidden" showRuler="0">
      <selection activeCell="C4" sqref="C4"/>
      <pageMargins left="0" right="0" top="0" bottom="0" header="0" footer="0"/>
      <pageSetup orientation="portrait" r:id="rId1"/>
      <headerFooter alignWithMargins="0"/>
    </customSheetView>
  </customSheetViews>
  <phoneticPr fontId="43" type="noConversion"/>
  <pageMargins left="0.5" right="0.5" top="0.25" bottom="0.25" header="0.5" footer="0.5"/>
  <pageSetup orientation="portrait" r:id="rId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dimension ref="A1:CI212"/>
  <sheetViews>
    <sheetView zoomScale="150" zoomScaleNormal="150" workbookViewId="0">
      <pane xSplit="3" ySplit="6" topLeftCell="D7" activePane="bottomRight" state="frozen"/>
      <selection pane="topRight" activeCell="N47" sqref="N47"/>
      <selection pane="bottomLeft" activeCell="N47" sqref="N47"/>
      <selection pane="bottomRight" activeCell="A10" sqref="A10"/>
    </sheetView>
  </sheetViews>
  <sheetFormatPr defaultColWidth="9.28515625" defaultRowHeight="10.199999999999999"/>
  <cols>
    <col min="1" max="1" width="9.28515625" style="26"/>
    <col min="2" max="2" width="42.42578125" style="26" customWidth="1"/>
    <col min="3" max="3" width="0.85546875" style="26" customWidth="1"/>
    <col min="4" max="62" width="13.42578125" style="26" customWidth="1"/>
    <col min="63" max="78" width="14.85546875" style="26" customWidth="1"/>
    <col min="79" max="79" width="13.42578125" style="26" customWidth="1"/>
    <col min="80" max="80" width="9.28515625" style="26" customWidth="1"/>
    <col min="81" max="81" width="13.7109375" style="26" bestFit="1" customWidth="1"/>
    <col min="82" max="16384" width="9.28515625" style="26"/>
  </cols>
  <sheetData>
    <row r="1" spans="1:80">
      <c r="B1" s="353" t="s">
        <v>1801</v>
      </c>
      <c r="C1" s="20"/>
      <c r="D1" s="1" t="s">
        <v>1070</v>
      </c>
      <c r="E1" s="1" t="s">
        <v>1207</v>
      </c>
      <c r="F1" s="1" t="s">
        <v>1072</v>
      </c>
      <c r="G1" s="1" t="s">
        <v>1075</v>
      </c>
      <c r="H1" s="1" t="s">
        <v>1078</v>
      </c>
      <c r="I1" s="1" t="s">
        <v>1081</v>
      </c>
      <c r="J1" s="1" t="s">
        <v>1084</v>
      </c>
      <c r="K1" s="1" t="s">
        <v>1087</v>
      </c>
      <c r="L1" s="1" t="s">
        <v>1090</v>
      </c>
      <c r="M1" s="1" t="s">
        <v>1093</v>
      </c>
      <c r="N1" s="1" t="s">
        <v>1096</v>
      </c>
      <c r="O1" s="1" t="s">
        <v>1099</v>
      </c>
      <c r="P1" s="1" t="s">
        <v>1102</v>
      </c>
      <c r="Q1" s="1" t="s">
        <v>1105</v>
      </c>
      <c r="R1" s="1" t="s">
        <v>1108</v>
      </c>
      <c r="S1" s="1" t="s">
        <v>1111</v>
      </c>
      <c r="T1" s="1" t="s">
        <v>1114</v>
      </c>
      <c r="U1" s="1" t="s">
        <v>1117</v>
      </c>
      <c r="V1" s="1" t="s">
        <v>1120</v>
      </c>
      <c r="W1" s="1" t="s">
        <v>1123</v>
      </c>
      <c r="X1" s="1" t="s">
        <v>1126</v>
      </c>
      <c r="Y1" s="1" t="s">
        <v>1129</v>
      </c>
      <c r="Z1" s="1" t="s">
        <v>1132</v>
      </c>
      <c r="AA1" s="1" t="s">
        <v>1135</v>
      </c>
      <c r="AB1" s="1" t="s">
        <v>1138</v>
      </c>
      <c r="AC1" s="1" t="s">
        <v>1141</v>
      </c>
      <c r="AD1" s="1" t="s">
        <v>1144</v>
      </c>
      <c r="AE1" s="1" t="s">
        <v>1147</v>
      </c>
      <c r="AF1" s="1" t="s">
        <v>1150</v>
      </c>
      <c r="AG1" s="1" t="s">
        <v>1153</v>
      </c>
      <c r="AH1" s="1" t="s">
        <v>1156</v>
      </c>
      <c r="AI1" s="1" t="s">
        <v>1159</v>
      </c>
      <c r="AJ1" s="1" t="s">
        <v>1162</v>
      </c>
      <c r="AK1" s="1" t="s">
        <v>1165</v>
      </c>
      <c r="AL1" s="1" t="s">
        <v>1168</v>
      </c>
      <c r="AM1" s="1" t="s">
        <v>1171</v>
      </c>
      <c r="AN1" s="1" t="s">
        <v>1174</v>
      </c>
      <c r="AO1" s="1" t="s">
        <v>1177</v>
      </c>
      <c r="AP1" s="1" t="s">
        <v>1180</v>
      </c>
      <c r="AQ1" s="1" t="s">
        <v>1183</v>
      </c>
      <c r="AR1" s="1" t="s">
        <v>1186</v>
      </c>
      <c r="AS1" s="1" t="s">
        <v>1189</v>
      </c>
      <c r="AT1" s="1" t="s">
        <v>1192</v>
      </c>
      <c r="AU1" s="1" t="s">
        <v>1195</v>
      </c>
      <c r="AV1" s="1" t="s">
        <v>1198</v>
      </c>
      <c r="AW1" s="1" t="s">
        <v>1201</v>
      </c>
      <c r="AX1" s="1" t="s">
        <v>1204</v>
      </c>
      <c r="AY1" s="1" t="s">
        <v>1210</v>
      </c>
      <c r="AZ1" s="1" t="s">
        <v>1213</v>
      </c>
      <c r="BA1" s="1" t="s">
        <v>1216</v>
      </c>
      <c r="BB1" s="1" t="s">
        <v>1219</v>
      </c>
      <c r="BC1" s="1" t="s">
        <v>1222</v>
      </c>
      <c r="BD1" s="1" t="s">
        <v>1225</v>
      </c>
      <c r="BE1" s="1" t="s">
        <v>1228</v>
      </c>
      <c r="BF1" s="1" t="s">
        <v>1231</v>
      </c>
      <c r="BG1" s="1" t="s">
        <v>1234</v>
      </c>
      <c r="BH1" s="1" t="s">
        <v>1237</v>
      </c>
      <c r="BI1" s="1" t="s">
        <v>1240</v>
      </c>
      <c r="BJ1" s="1"/>
      <c r="BK1" s="352"/>
      <c r="BL1" s="352"/>
      <c r="BM1" s="352"/>
      <c r="BN1" s="352"/>
      <c r="BO1" s="352"/>
      <c r="BP1" s="352"/>
      <c r="BQ1" s="352"/>
      <c r="BR1" s="352"/>
      <c r="BS1" s="352"/>
      <c r="BT1" s="352"/>
      <c r="BU1" s="352"/>
      <c r="BV1" s="352"/>
      <c r="BW1" s="352"/>
      <c r="BX1" s="352"/>
      <c r="BY1" s="352"/>
      <c r="BZ1" s="1"/>
    </row>
    <row r="2" spans="1:80">
      <c r="B2" s="353" t="s">
        <v>1802</v>
      </c>
      <c r="C2" s="20"/>
      <c r="D2" s="20" t="s">
        <v>1071</v>
      </c>
      <c r="E2" s="20" t="s">
        <v>1209</v>
      </c>
      <c r="F2" s="20" t="s">
        <v>1074</v>
      </c>
      <c r="G2" s="20" t="s">
        <v>1077</v>
      </c>
      <c r="H2" s="20" t="s">
        <v>1080</v>
      </c>
      <c r="I2" s="20" t="s">
        <v>1083</v>
      </c>
      <c r="J2" s="20" t="s">
        <v>1086</v>
      </c>
      <c r="K2" s="20" t="s">
        <v>1089</v>
      </c>
      <c r="L2" s="20" t="s">
        <v>1092</v>
      </c>
      <c r="M2" s="20" t="s">
        <v>1095</v>
      </c>
      <c r="N2" s="20" t="s">
        <v>1098</v>
      </c>
      <c r="O2" s="20" t="s">
        <v>1101</v>
      </c>
      <c r="P2" s="20" t="s">
        <v>1104</v>
      </c>
      <c r="Q2" s="20" t="s">
        <v>1107</v>
      </c>
      <c r="R2" s="20" t="s">
        <v>1110</v>
      </c>
      <c r="S2" s="20" t="s">
        <v>1113</v>
      </c>
      <c r="T2" s="20" t="s">
        <v>1116</v>
      </c>
      <c r="U2" s="20" t="s">
        <v>1119</v>
      </c>
      <c r="V2" s="20" t="s">
        <v>1122</v>
      </c>
      <c r="W2" s="20" t="s">
        <v>1125</v>
      </c>
      <c r="X2" s="20" t="s">
        <v>1128</v>
      </c>
      <c r="Y2" s="20" t="s">
        <v>1131</v>
      </c>
      <c r="Z2" s="20" t="s">
        <v>1134</v>
      </c>
      <c r="AA2" s="20" t="s">
        <v>1137</v>
      </c>
      <c r="AB2" s="20" t="s">
        <v>1140</v>
      </c>
      <c r="AC2" s="20" t="s">
        <v>1143</v>
      </c>
      <c r="AD2" s="20" t="s">
        <v>1146</v>
      </c>
      <c r="AE2" s="20" t="s">
        <v>1149</v>
      </c>
      <c r="AF2" s="20" t="s">
        <v>1152</v>
      </c>
      <c r="AG2" s="20" t="s">
        <v>1155</v>
      </c>
      <c r="AH2" s="20" t="s">
        <v>1158</v>
      </c>
      <c r="AI2" s="20" t="s">
        <v>1161</v>
      </c>
      <c r="AJ2" s="20" t="s">
        <v>1164</v>
      </c>
      <c r="AK2" s="20" t="s">
        <v>1167</v>
      </c>
      <c r="AL2" s="20" t="s">
        <v>1170</v>
      </c>
      <c r="AM2" s="20" t="s">
        <v>1173</v>
      </c>
      <c r="AN2" s="20" t="s">
        <v>1176</v>
      </c>
      <c r="AO2" s="20" t="s">
        <v>1179</v>
      </c>
      <c r="AP2" s="20" t="s">
        <v>1182</v>
      </c>
      <c r="AQ2" s="20" t="s">
        <v>1185</v>
      </c>
      <c r="AR2" s="20" t="s">
        <v>1188</v>
      </c>
      <c r="AS2" s="20" t="s">
        <v>1191</v>
      </c>
      <c r="AT2" s="20" t="s">
        <v>1194</v>
      </c>
      <c r="AU2" s="20" t="s">
        <v>1197</v>
      </c>
      <c r="AV2" s="20" t="s">
        <v>1200</v>
      </c>
      <c r="AW2" s="20" t="s">
        <v>1203</v>
      </c>
      <c r="AX2" s="20" t="s">
        <v>1206</v>
      </c>
      <c r="AY2" s="20" t="s">
        <v>1212</v>
      </c>
      <c r="AZ2" s="20" t="s">
        <v>1215</v>
      </c>
      <c r="BA2" s="20" t="s">
        <v>1218</v>
      </c>
      <c r="BB2" s="20" t="s">
        <v>1221</v>
      </c>
      <c r="BC2" s="20" t="s">
        <v>1224</v>
      </c>
      <c r="BD2" s="20" t="s">
        <v>1227</v>
      </c>
      <c r="BE2" s="20" t="s">
        <v>1230</v>
      </c>
      <c r="BF2" s="20" t="s">
        <v>1233</v>
      </c>
      <c r="BG2" s="20" t="s">
        <v>1236</v>
      </c>
      <c r="BH2" s="20" t="s">
        <v>1239</v>
      </c>
      <c r="BI2" s="20" t="s">
        <v>1242</v>
      </c>
      <c r="BJ2" s="20"/>
      <c r="BK2" s="429"/>
      <c r="BL2" s="429"/>
      <c r="BM2" s="352"/>
      <c r="BN2" s="352"/>
      <c r="BO2" s="352"/>
      <c r="BP2" s="352"/>
      <c r="BQ2" s="352"/>
      <c r="BR2" s="352"/>
      <c r="BS2" s="352"/>
      <c r="BT2" s="352"/>
      <c r="BU2" s="352"/>
      <c r="BV2" s="352"/>
      <c r="BW2" s="352"/>
      <c r="BX2" s="429"/>
      <c r="BY2" s="429"/>
      <c r="BZ2" s="20"/>
      <c r="CA2" s="20"/>
      <c r="CB2" s="20"/>
    </row>
    <row r="3" spans="1:80">
      <c r="B3" s="437">
        <f>+Index!$A$120</f>
        <v>44742</v>
      </c>
      <c r="C3" s="4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429"/>
      <c r="BL3" s="429"/>
      <c r="BM3" s="352"/>
      <c r="BN3" s="352"/>
      <c r="BO3" s="352"/>
      <c r="BP3" s="352"/>
      <c r="BQ3" s="352"/>
      <c r="BR3" s="352"/>
      <c r="BS3" s="352"/>
      <c r="BT3" s="352"/>
      <c r="BU3" s="352"/>
      <c r="BV3" s="352"/>
      <c r="BW3" s="352"/>
      <c r="BX3" s="429"/>
      <c r="BY3" s="429"/>
      <c r="BZ3" s="20"/>
      <c r="CA3" s="20"/>
      <c r="CB3" s="20"/>
    </row>
    <row r="4" spans="1:80">
      <c r="B4" s="361" t="s">
        <v>1803</v>
      </c>
      <c r="C4" s="421"/>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429"/>
      <c r="BL4" s="429"/>
      <c r="BM4" s="352"/>
      <c r="BN4" s="352"/>
      <c r="BO4" s="352"/>
      <c r="BP4" s="352"/>
      <c r="BQ4" s="352"/>
      <c r="BR4" s="352"/>
      <c r="BS4" s="352"/>
      <c r="BT4" s="352"/>
      <c r="BU4" s="352"/>
      <c r="BV4" s="352"/>
      <c r="BW4" s="352"/>
      <c r="BX4" s="429"/>
      <c r="BY4" s="429"/>
      <c r="CA4" s="20"/>
      <c r="CB4" s="20"/>
    </row>
    <row r="5" spans="1:80">
      <c r="B5" s="362" t="s">
        <v>1804</v>
      </c>
      <c r="C5" s="421"/>
      <c r="D5" s="20"/>
      <c r="E5" s="20"/>
      <c r="F5" s="20"/>
      <c r="G5" s="20"/>
      <c r="H5" s="20"/>
      <c r="I5" s="20"/>
      <c r="J5" s="20"/>
      <c r="K5" s="20"/>
      <c r="L5" s="20"/>
      <c r="M5" s="20"/>
      <c r="N5" s="20"/>
      <c r="O5" s="20" t="s">
        <v>1805</v>
      </c>
      <c r="P5" s="20" t="s">
        <v>1805</v>
      </c>
      <c r="Q5" s="20"/>
      <c r="R5" s="20"/>
      <c r="S5" s="20" t="s">
        <v>1806</v>
      </c>
      <c r="T5" s="20"/>
      <c r="U5" s="20" t="s">
        <v>1807</v>
      </c>
      <c r="V5" s="20"/>
      <c r="W5" s="20"/>
      <c r="X5" s="20"/>
      <c r="Y5" s="20"/>
      <c r="Z5" s="20"/>
      <c r="AA5" s="20"/>
      <c r="AB5" s="20"/>
      <c r="AC5" s="20"/>
      <c r="AD5" s="20"/>
      <c r="AE5" s="20"/>
      <c r="AF5" s="20"/>
      <c r="AG5" s="20"/>
      <c r="AH5" s="20"/>
      <c r="AI5" s="20"/>
      <c r="AJ5" s="20"/>
      <c r="AK5" s="20"/>
      <c r="AL5" s="20"/>
      <c r="AM5" s="20"/>
      <c r="AN5" s="20"/>
      <c r="AO5" s="20"/>
      <c r="AP5" s="20"/>
      <c r="AQ5" s="20"/>
      <c r="AR5" s="20"/>
      <c r="AS5" s="20" t="s">
        <v>1808</v>
      </c>
      <c r="AT5" s="20"/>
      <c r="AU5" s="20"/>
      <c r="AV5" s="20" t="s">
        <v>1809</v>
      </c>
      <c r="AW5" s="20"/>
      <c r="AX5" s="20"/>
      <c r="AY5" s="20"/>
      <c r="AZ5" s="20"/>
      <c r="BA5" s="20"/>
      <c r="BB5" s="20"/>
      <c r="BC5" s="20"/>
      <c r="BD5" s="20" t="s">
        <v>1810</v>
      </c>
      <c r="BE5" s="20"/>
      <c r="BF5" s="20"/>
      <c r="BG5" s="20"/>
      <c r="BH5" s="20"/>
      <c r="BI5" s="20"/>
      <c r="BJ5" s="20"/>
      <c r="BK5" s="429" t="s">
        <v>1811</v>
      </c>
      <c r="BL5" s="429"/>
      <c r="BM5" s="352"/>
      <c r="BN5" s="352"/>
      <c r="BO5" s="352"/>
      <c r="BP5" s="352"/>
      <c r="BQ5" s="352"/>
      <c r="BR5" s="352"/>
      <c r="BS5" s="352"/>
      <c r="BT5" s="352"/>
      <c r="BU5" s="352"/>
      <c r="BV5" s="352"/>
      <c r="BW5" s="352"/>
      <c r="BX5" s="2"/>
      <c r="BY5" s="2"/>
      <c r="BZ5" s="20" t="s">
        <v>1812</v>
      </c>
      <c r="CA5" s="20"/>
      <c r="CB5" s="20"/>
    </row>
    <row r="6" spans="1:80">
      <c r="B6" s="421"/>
      <c r="C6" s="20"/>
      <c r="D6" s="423" t="s">
        <v>1813</v>
      </c>
      <c r="E6" s="423" t="s">
        <v>1814</v>
      </c>
      <c r="F6" s="423" t="s">
        <v>1815</v>
      </c>
      <c r="G6" s="423" t="s">
        <v>1816</v>
      </c>
      <c r="H6" s="423" t="s">
        <v>1817</v>
      </c>
      <c r="I6" s="423" t="s">
        <v>1818</v>
      </c>
      <c r="J6" s="423" t="s">
        <v>1819</v>
      </c>
      <c r="K6" s="423" t="s">
        <v>1820</v>
      </c>
      <c r="L6" s="423" t="s">
        <v>1821</v>
      </c>
      <c r="M6" s="423" t="s">
        <v>1822</v>
      </c>
      <c r="N6" s="423" t="s">
        <v>1823</v>
      </c>
      <c r="O6" s="423" t="s">
        <v>1824</v>
      </c>
      <c r="P6" s="423" t="s">
        <v>1825</v>
      </c>
      <c r="Q6" s="423" t="s">
        <v>1826</v>
      </c>
      <c r="R6" s="423" t="s">
        <v>1827</v>
      </c>
      <c r="S6" s="423" t="s">
        <v>1828</v>
      </c>
      <c r="T6" s="423" t="s">
        <v>1829</v>
      </c>
      <c r="U6" s="423" t="s">
        <v>1830</v>
      </c>
      <c r="V6" s="423" t="s">
        <v>1831</v>
      </c>
      <c r="W6" s="423" t="s">
        <v>1832</v>
      </c>
      <c r="X6" s="423" t="s">
        <v>1833</v>
      </c>
      <c r="Y6" s="423" t="s">
        <v>1834</v>
      </c>
      <c r="Z6" s="423" t="s">
        <v>1835</v>
      </c>
      <c r="AA6" s="423" t="s">
        <v>1836</v>
      </c>
      <c r="AB6" s="423" t="s">
        <v>1837</v>
      </c>
      <c r="AC6" s="423" t="s">
        <v>1838</v>
      </c>
      <c r="AD6" s="423" t="s">
        <v>1839</v>
      </c>
      <c r="AE6" s="423" t="s">
        <v>1840</v>
      </c>
      <c r="AF6" s="423" t="s">
        <v>1841</v>
      </c>
      <c r="AG6" s="423" t="s">
        <v>1842</v>
      </c>
      <c r="AH6" s="423" t="s">
        <v>1843</v>
      </c>
      <c r="AI6" s="423" t="s">
        <v>1844</v>
      </c>
      <c r="AJ6" s="423" t="s">
        <v>1845</v>
      </c>
      <c r="AK6" s="423" t="s">
        <v>1846</v>
      </c>
      <c r="AL6" s="423" t="s">
        <v>1847</v>
      </c>
      <c r="AM6" s="423" t="s">
        <v>1848</v>
      </c>
      <c r="AN6" s="423" t="s">
        <v>1849</v>
      </c>
      <c r="AO6" s="423" t="s">
        <v>1825</v>
      </c>
      <c r="AP6" s="423" t="s">
        <v>1850</v>
      </c>
      <c r="AQ6" s="423" t="s">
        <v>1851</v>
      </c>
      <c r="AR6" s="423" t="s">
        <v>1852</v>
      </c>
      <c r="AS6" s="423" t="s">
        <v>1853</v>
      </c>
      <c r="AT6" s="423" t="s">
        <v>1854</v>
      </c>
      <c r="AU6" s="423" t="s">
        <v>1855</v>
      </c>
      <c r="AV6" s="423" t="s">
        <v>1856</v>
      </c>
      <c r="AW6" s="423" t="s">
        <v>1857</v>
      </c>
      <c r="AX6" s="423" t="s">
        <v>1858</v>
      </c>
      <c r="AY6" s="423" t="s">
        <v>1859</v>
      </c>
      <c r="AZ6" s="423" t="s">
        <v>1860</v>
      </c>
      <c r="BA6" s="423" t="s">
        <v>1861</v>
      </c>
      <c r="BB6" s="423" t="s">
        <v>1862</v>
      </c>
      <c r="BC6" s="423" t="s">
        <v>1863</v>
      </c>
      <c r="BD6" s="423" t="s">
        <v>1864</v>
      </c>
      <c r="BE6" s="423" t="s">
        <v>1865</v>
      </c>
      <c r="BF6" s="423" t="s">
        <v>1866</v>
      </c>
      <c r="BG6" s="423" t="s">
        <v>1867</v>
      </c>
      <c r="BH6" s="423" t="s">
        <v>1868</v>
      </c>
      <c r="BI6" s="423" t="s">
        <v>1869</v>
      </c>
      <c r="BJ6" s="423"/>
      <c r="BK6" s="430" t="s">
        <v>1870</v>
      </c>
      <c r="BL6" s="430" t="s">
        <v>1871</v>
      </c>
      <c r="BM6" s="434" t="s">
        <v>1872</v>
      </c>
      <c r="BN6" s="434" t="s">
        <v>1873</v>
      </c>
      <c r="BO6" s="434" t="s">
        <v>1874</v>
      </c>
      <c r="BP6" s="434" t="s">
        <v>1875</v>
      </c>
      <c r="BQ6" s="434" t="s">
        <v>1876</v>
      </c>
      <c r="BR6" s="434" t="s">
        <v>1877</v>
      </c>
      <c r="BS6" s="434" t="s">
        <v>1878</v>
      </c>
      <c r="BT6" s="434" t="s">
        <v>1879</v>
      </c>
      <c r="BU6" s="434" t="s">
        <v>1880</v>
      </c>
      <c r="BV6" s="434" t="s">
        <v>1881</v>
      </c>
      <c r="BW6" s="434" t="s">
        <v>1882</v>
      </c>
      <c r="BX6" s="430" t="s">
        <v>1883</v>
      </c>
      <c r="BY6" s="430" t="s">
        <v>658</v>
      </c>
      <c r="BZ6" s="20" t="s">
        <v>1884</v>
      </c>
      <c r="CA6" s="20" t="s">
        <v>1885</v>
      </c>
      <c r="CB6" s="20"/>
    </row>
    <row r="7" spans="1:80" ht="10.8" thickBot="1">
      <c r="B7" s="416" t="s">
        <v>177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429"/>
      <c r="BL7" s="429"/>
      <c r="BM7" s="429"/>
      <c r="BN7" s="429"/>
      <c r="BO7" s="429"/>
      <c r="BP7" s="429"/>
      <c r="BQ7" s="429"/>
      <c r="BR7" s="429"/>
      <c r="BS7" s="429"/>
      <c r="BT7" s="429"/>
      <c r="BU7" s="429"/>
      <c r="BV7" s="429"/>
      <c r="BW7" s="429"/>
      <c r="BX7" s="441"/>
      <c r="BY7" s="441"/>
      <c r="BZ7" s="20"/>
      <c r="CA7" s="20"/>
      <c r="CB7" s="20"/>
    </row>
    <row r="8" spans="1:80" ht="10.8" thickTop="1">
      <c r="B8" s="7" t="s">
        <v>178</v>
      </c>
      <c r="C8" s="5"/>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352"/>
      <c r="BL8" s="352"/>
      <c r="CB8" s="20"/>
    </row>
    <row r="9" spans="1:80">
      <c r="A9" s="422">
        <v>1000</v>
      </c>
      <c r="B9" s="5" t="s">
        <v>179</v>
      </c>
      <c r="C9" s="5"/>
      <c r="D9" s="424">
        <v>1868430.28</v>
      </c>
      <c r="E9" s="424">
        <v>5092929.4400000004</v>
      </c>
      <c r="F9" s="424">
        <v>11052060.810000001</v>
      </c>
      <c r="G9" s="424">
        <v>1884476.18</v>
      </c>
      <c r="H9" s="424">
        <v>1777746.13</v>
      </c>
      <c r="I9" s="424">
        <v>2462173.11</v>
      </c>
      <c r="J9" s="424">
        <v>2547689.52</v>
      </c>
      <c r="K9" s="424">
        <v>7755441.8799999999</v>
      </c>
      <c r="L9" s="424">
        <v>27059972.149999999</v>
      </c>
      <c r="M9" s="424">
        <v>641255.13</v>
      </c>
      <c r="N9" s="424">
        <v>6147456.6900000004</v>
      </c>
      <c r="O9" s="424">
        <v>3237871.44</v>
      </c>
      <c r="P9" s="424">
        <v>65838376.950000003</v>
      </c>
      <c r="Q9" s="424">
        <v>5133414.58</v>
      </c>
      <c r="R9" s="424">
        <v>11141791.029999999</v>
      </c>
      <c r="S9" s="424">
        <v>3208136.19</v>
      </c>
      <c r="T9" s="424">
        <v>7875597.0700000003</v>
      </c>
      <c r="U9" s="424">
        <v>12729675.619999999</v>
      </c>
      <c r="V9" s="424">
        <v>3216391.86</v>
      </c>
      <c r="W9" s="424">
        <v>9479706.6899999995</v>
      </c>
      <c r="X9" s="424">
        <v>27573672.100000001</v>
      </c>
      <c r="Y9" s="424">
        <v>8135769.5499999998</v>
      </c>
      <c r="Z9" s="424">
        <v>17710429.989999998</v>
      </c>
      <c r="AA9" s="424">
        <v>34443169.579999998</v>
      </c>
      <c r="AB9" s="424">
        <v>1455474.07</v>
      </c>
      <c r="AC9" s="424">
        <v>6255819.5800000001</v>
      </c>
      <c r="AD9" s="424">
        <v>3259698.29</v>
      </c>
      <c r="AE9" s="424">
        <v>2287696.5</v>
      </c>
      <c r="AF9" s="424">
        <v>9798172.3100000005</v>
      </c>
      <c r="AG9" s="424">
        <v>3586853.27</v>
      </c>
      <c r="AH9" s="424">
        <v>693089.01</v>
      </c>
      <c r="AI9" s="424">
        <v>848811</v>
      </c>
      <c r="AJ9" s="424">
        <v>704863.01</v>
      </c>
      <c r="AK9" s="424">
        <v>8535693.7300000004</v>
      </c>
      <c r="AL9" s="424">
        <v>782058.11</v>
      </c>
      <c r="AM9" s="424">
        <v>3087960.06</v>
      </c>
      <c r="AN9" s="424">
        <v>877051.86</v>
      </c>
      <c r="AO9" s="424">
        <v>1226170.48</v>
      </c>
      <c r="AP9" s="424">
        <v>11674520.300000001</v>
      </c>
      <c r="AQ9" s="424">
        <v>5059532.34</v>
      </c>
      <c r="AR9" s="424">
        <v>5981946.2699999996</v>
      </c>
      <c r="AS9" s="424">
        <v>673352.72</v>
      </c>
      <c r="AT9" s="424">
        <v>994256.39</v>
      </c>
      <c r="AU9" s="424">
        <v>1647046.39</v>
      </c>
      <c r="AV9" s="424">
        <v>8290803.2400000002</v>
      </c>
      <c r="AW9" s="424">
        <v>3130558.48</v>
      </c>
      <c r="AX9" s="424">
        <v>4520925.2300000004</v>
      </c>
      <c r="AY9" s="424">
        <v>3452752.63</v>
      </c>
      <c r="AZ9" s="424">
        <v>7491021.3899999997</v>
      </c>
      <c r="BA9" s="424">
        <v>2439068.65</v>
      </c>
      <c r="BB9" s="424">
        <v>6764776.2999999998</v>
      </c>
      <c r="BC9" s="424">
        <v>1980938.02</v>
      </c>
      <c r="BD9" s="424">
        <v>11321858.810000001</v>
      </c>
      <c r="BE9" s="424">
        <v>32034024.149999999</v>
      </c>
      <c r="BF9" s="424">
        <v>2326103.73</v>
      </c>
      <c r="BG9" s="424">
        <v>7280186.9000000004</v>
      </c>
      <c r="BH9" s="424">
        <v>1914281.74</v>
      </c>
      <c r="BI9" s="424">
        <v>4818797.5</v>
      </c>
      <c r="BJ9" s="424"/>
      <c r="BK9" s="352">
        <v>445209796.43000001</v>
      </c>
      <c r="BL9" s="352"/>
      <c r="BX9" s="431">
        <f>SUM(BM9:BT9)</f>
        <v>0</v>
      </c>
      <c r="BY9" s="431">
        <f>BK9+BX9</f>
        <v>445209796.43000001</v>
      </c>
      <c r="BZ9" s="917">
        <v>445209796.43000001</v>
      </c>
      <c r="CA9" s="26">
        <f>BY9-BZ9</f>
        <v>0</v>
      </c>
      <c r="CB9" s="20"/>
    </row>
    <row r="10" spans="1:80">
      <c r="A10" s="422">
        <v>1020</v>
      </c>
      <c r="B10" s="6" t="s">
        <v>1886</v>
      </c>
      <c r="C10" s="6"/>
      <c r="D10" s="424">
        <v>5005564.17</v>
      </c>
      <c r="E10" s="424">
        <v>14962916.689999999</v>
      </c>
      <c r="F10" s="424">
        <v>6189570.1799999997</v>
      </c>
      <c r="G10" s="424">
        <v>1110725.3500000001</v>
      </c>
      <c r="H10" s="424">
        <v>119007.37</v>
      </c>
      <c r="I10" s="424">
        <v>2830259.71</v>
      </c>
      <c r="J10" s="424">
        <v>816563.66</v>
      </c>
      <c r="K10" s="424">
        <v>4139455.49</v>
      </c>
      <c r="L10" s="424">
        <v>7456392.0199999996</v>
      </c>
      <c r="M10" s="424">
        <v>799276.82</v>
      </c>
      <c r="N10" s="424">
        <v>140710.68</v>
      </c>
      <c r="O10" s="424">
        <v>833964.31</v>
      </c>
      <c r="P10" s="424">
        <v>3610319.26</v>
      </c>
      <c r="Q10" s="424">
        <v>1728461.39</v>
      </c>
      <c r="R10" s="424">
        <v>760337.76</v>
      </c>
      <c r="S10" s="424">
        <v>596878.35</v>
      </c>
      <c r="T10" s="424">
        <v>3647975.17</v>
      </c>
      <c r="U10" s="424">
        <v>1269848.68</v>
      </c>
      <c r="V10" s="424">
        <v>890745.49</v>
      </c>
      <c r="W10" s="424">
        <v>443053.38</v>
      </c>
      <c r="X10" s="424">
        <v>9970730.0500000007</v>
      </c>
      <c r="Y10" s="424">
        <v>2920508.84</v>
      </c>
      <c r="Z10" s="424">
        <v>405838.44</v>
      </c>
      <c r="AA10" s="424">
        <v>5681184.7800000003</v>
      </c>
      <c r="AB10" s="424">
        <v>582442.69999999995</v>
      </c>
      <c r="AC10" s="424">
        <v>1329986.44</v>
      </c>
      <c r="AD10" s="424">
        <v>1628344.48</v>
      </c>
      <c r="AE10" s="424">
        <v>923399.41</v>
      </c>
      <c r="AF10" s="424">
        <v>1752277.06</v>
      </c>
      <c r="AG10" s="424">
        <v>1204527.8</v>
      </c>
      <c r="AH10" s="424">
        <v>121850.11</v>
      </c>
      <c r="AI10" s="424">
        <v>690399.35</v>
      </c>
      <c r="AJ10" s="424">
        <v>1123112.33</v>
      </c>
      <c r="AK10" s="424">
        <v>3251345.07</v>
      </c>
      <c r="AL10" s="424">
        <v>304857.65999999997</v>
      </c>
      <c r="AM10" s="424">
        <v>1389266.64</v>
      </c>
      <c r="AN10" s="424">
        <v>185261.75</v>
      </c>
      <c r="AO10" s="424">
        <v>536903.69999999995</v>
      </c>
      <c r="AP10" s="424">
        <v>1569396.55</v>
      </c>
      <c r="AQ10" s="424">
        <v>1321255.69</v>
      </c>
      <c r="AR10" s="424">
        <v>3474359.94</v>
      </c>
      <c r="AS10" s="424">
        <v>764692</v>
      </c>
      <c r="AT10" s="424">
        <v>1452773.94</v>
      </c>
      <c r="AU10" s="424">
        <v>1027356.16</v>
      </c>
      <c r="AV10" s="424">
        <v>2886515.03</v>
      </c>
      <c r="AW10" s="424">
        <v>967798.89</v>
      </c>
      <c r="AX10" s="424">
        <v>4797742.12</v>
      </c>
      <c r="AY10" s="424">
        <v>1296234.97</v>
      </c>
      <c r="AZ10" s="424">
        <v>1497886.96</v>
      </c>
      <c r="BA10" s="424">
        <v>2606033.16</v>
      </c>
      <c r="BB10" s="424">
        <v>1395173.67</v>
      </c>
      <c r="BC10" s="424">
        <v>1808947.15</v>
      </c>
      <c r="BD10" s="424">
        <v>662753.31999999995</v>
      </c>
      <c r="BE10" s="424">
        <v>5139465.2300000004</v>
      </c>
      <c r="BF10" s="424">
        <v>603652.86</v>
      </c>
      <c r="BG10" s="424">
        <v>1275294.03</v>
      </c>
      <c r="BH10" s="424">
        <v>1185815</v>
      </c>
      <c r="BI10" s="424">
        <v>583447.71</v>
      </c>
      <c r="BJ10" s="424"/>
      <c r="BK10" s="352">
        <v>127670856.92</v>
      </c>
      <c r="BL10" s="352"/>
      <c r="BX10" s="431">
        <f t="shared" ref="BX10:BX20" si="0">SUM(BM10:BT10)</f>
        <v>0</v>
      </c>
      <c r="BY10" s="431">
        <f t="shared" ref="BY10:BY20" si="1">BK10+BX10</f>
        <v>127670856.92</v>
      </c>
      <c r="BZ10" s="917">
        <v>127670856.92</v>
      </c>
      <c r="CA10" s="26">
        <f t="shared" ref="CA10:CA24" si="2">BY10-BZ10</f>
        <v>0</v>
      </c>
      <c r="CB10" s="20"/>
    </row>
    <row r="11" spans="1:80">
      <c r="A11" s="422">
        <v>1050</v>
      </c>
      <c r="B11" s="5" t="s">
        <v>182</v>
      </c>
      <c r="C11" s="420"/>
      <c r="D11" s="424">
        <v>0</v>
      </c>
      <c r="E11" s="424">
        <v>0</v>
      </c>
      <c r="F11" s="424">
        <v>0</v>
      </c>
      <c r="G11" s="424">
        <v>189380.08</v>
      </c>
      <c r="H11" s="424">
        <v>0</v>
      </c>
      <c r="I11" s="424">
        <v>0</v>
      </c>
      <c r="J11" s="424">
        <v>0</v>
      </c>
      <c r="K11" s="424">
        <v>4749770</v>
      </c>
      <c r="L11" s="424">
        <v>0</v>
      </c>
      <c r="M11" s="424">
        <v>188475.68</v>
      </c>
      <c r="N11" s="424">
        <v>0</v>
      </c>
      <c r="O11" s="424">
        <v>0</v>
      </c>
      <c r="P11" s="424">
        <v>0</v>
      </c>
      <c r="Q11" s="424">
        <v>0</v>
      </c>
      <c r="R11" s="424">
        <v>0</v>
      </c>
      <c r="S11" s="424">
        <v>0</v>
      </c>
      <c r="T11" s="424">
        <v>0</v>
      </c>
      <c r="U11" s="424">
        <v>0</v>
      </c>
      <c r="V11" s="424">
        <v>11827.77</v>
      </c>
      <c r="W11" s="424">
        <v>0</v>
      </c>
      <c r="X11" s="424">
        <v>0</v>
      </c>
      <c r="Y11" s="424">
        <v>0</v>
      </c>
      <c r="Z11" s="424">
        <v>2911379.8</v>
      </c>
      <c r="AA11" s="424">
        <v>0</v>
      </c>
      <c r="AB11" s="424">
        <v>0</v>
      </c>
      <c r="AC11" s="424">
        <v>2193198.04</v>
      </c>
      <c r="AD11" s="424">
        <v>0</v>
      </c>
      <c r="AE11" s="424">
        <v>0</v>
      </c>
      <c r="AF11" s="424">
        <v>0</v>
      </c>
      <c r="AG11" s="424">
        <v>0</v>
      </c>
      <c r="AH11" s="424">
        <v>0</v>
      </c>
      <c r="AI11" s="424">
        <v>0</v>
      </c>
      <c r="AJ11" s="424">
        <v>126760.16</v>
      </c>
      <c r="AK11" s="424">
        <v>0</v>
      </c>
      <c r="AL11" s="424">
        <v>0</v>
      </c>
      <c r="AM11" s="424">
        <v>12370.23</v>
      </c>
      <c r="AN11" s="424">
        <v>0</v>
      </c>
      <c r="AO11" s="424">
        <v>0</v>
      </c>
      <c r="AP11" s="424">
        <v>0</v>
      </c>
      <c r="AQ11" s="424">
        <v>0</v>
      </c>
      <c r="AR11" s="424">
        <v>0</v>
      </c>
      <c r="AS11" s="424">
        <v>0</v>
      </c>
      <c r="AT11" s="424">
        <v>0</v>
      </c>
      <c r="AU11" s="424">
        <v>0</v>
      </c>
      <c r="AV11" s="424">
        <v>0</v>
      </c>
      <c r="AW11" s="424">
        <v>115415.92</v>
      </c>
      <c r="AX11" s="424">
        <v>0</v>
      </c>
      <c r="AY11" s="424">
        <v>0</v>
      </c>
      <c r="AZ11" s="424">
        <v>0</v>
      </c>
      <c r="BA11" s="424">
        <v>0</v>
      </c>
      <c r="BB11" s="424">
        <v>0</v>
      </c>
      <c r="BC11" s="424">
        <v>0</v>
      </c>
      <c r="BD11" s="424">
        <v>0</v>
      </c>
      <c r="BE11" s="424">
        <v>0</v>
      </c>
      <c r="BF11" s="424">
        <v>0</v>
      </c>
      <c r="BG11" s="424">
        <v>0</v>
      </c>
      <c r="BH11" s="424">
        <v>0</v>
      </c>
      <c r="BI11" s="424">
        <v>0</v>
      </c>
      <c r="BJ11" s="424"/>
      <c r="BK11" s="352">
        <v>10498577.68</v>
      </c>
      <c r="BL11" s="352"/>
      <c r="BX11" s="431">
        <f t="shared" si="0"/>
        <v>0</v>
      </c>
      <c r="BY11" s="431">
        <f t="shared" si="1"/>
        <v>10498577.68</v>
      </c>
      <c r="BZ11" s="917">
        <v>10498577.68</v>
      </c>
      <c r="CA11" s="26">
        <f t="shared" si="2"/>
        <v>0</v>
      </c>
      <c r="CB11" s="20"/>
    </row>
    <row r="12" spans="1:80">
      <c r="A12" s="422">
        <v>1070</v>
      </c>
      <c r="B12" s="5" t="s">
        <v>183</v>
      </c>
      <c r="C12" s="419"/>
      <c r="D12" s="424">
        <v>0</v>
      </c>
      <c r="E12" s="424">
        <v>0</v>
      </c>
      <c r="F12" s="424">
        <v>0</v>
      </c>
      <c r="G12" s="424">
        <v>113077.86</v>
      </c>
      <c r="H12" s="424">
        <v>0</v>
      </c>
      <c r="I12" s="424">
        <v>0</v>
      </c>
      <c r="J12" s="424">
        <v>0</v>
      </c>
      <c r="K12" s="424">
        <v>0</v>
      </c>
      <c r="L12" s="424">
        <v>0</v>
      </c>
      <c r="M12" s="424">
        <v>480006.54</v>
      </c>
      <c r="N12" s="424">
        <v>0</v>
      </c>
      <c r="O12" s="424">
        <v>0</v>
      </c>
      <c r="P12" s="424">
        <v>0</v>
      </c>
      <c r="Q12" s="424">
        <v>10500000</v>
      </c>
      <c r="R12" s="424">
        <v>0</v>
      </c>
      <c r="S12" s="424">
        <v>0</v>
      </c>
      <c r="T12" s="424">
        <v>0</v>
      </c>
      <c r="U12" s="424">
        <v>0</v>
      </c>
      <c r="V12" s="424">
        <v>0</v>
      </c>
      <c r="W12" s="424">
        <v>0</v>
      </c>
      <c r="X12" s="424">
        <v>0</v>
      </c>
      <c r="Y12" s="424">
        <v>0</v>
      </c>
      <c r="Z12" s="424">
        <v>0</v>
      </c>
      <c r="AA12" s="424">
        <v>0</v>
      </c>
      <c r="AB12" s="424">
        <v>0</v>
      </c>
      <c r="AC12" s="424">
        <v>1120238.32</v>
      </c>
      <c r="AD12" s="424">
        <v>3000</v>
      </c>
      <c r="AE12" s="424">
        <v>0</v>
      </c>
      <c r="AF12" s="424">
        <v>0</v>
      </c>
      <c r="AG12" s="424">
        <v>0</v>
      </c>
      <c r="AH12" s="424">
        <v>0</v>
      </c>
      <c r="AI12" s="424">
        <v>0</v>
      </c>
      <c r="AJ12" s="424">
        <v>48947.48</v>
      </c>
      <c r="AK12" s="424">
        <v>0</v>
      </c>
      <c r="AL12" s="424">
        <v>0</v>
      </c>
      <c r="AM12" s="424">
        <v>0</v>
      </c>
      <c r="AN12" s="424">
        <v>0</v>
      </c>
      <c r="AO12" s="424">
        <v>0</v>
      </c>
      <c r="AP12" s="424">
        <v>0</v>
      </c>
      <c r="AQ12" s="424">
        <v>0</v>
      </c>
      <c r="AR12" s="424">
        <v>0</v>
      </c>
      <c r="AS12" s="424">
        <v>0</v>
      </c>
      <c r="AT12" s="424">
        <v>0</v>
      </c>
      <c r="AU12" s="424">
        <v>0</v>
      </c>
      <c r="AV12" s="424">
        <v>0</v>
      </c>
      <c r="AW12" s="424">
        <v>0</v>
      </c>
      <c r="AX12" s="424">
        <v>0</v>
      </c>
      <c r="AY12" s="424">
        <v>0</v>
      </c>
      <c r="AZ12" s="424">
        <v>0</v>
      </c>
      <c r="BA12" s="424">
        <v>0</v>
      </c>
      <c r="BB12" s="424">
        <v>0</v>
      </c>
      <c r="BC12" s="424">
        <v>0</v>
      </c>
      <c r="BD12" s="424">
        <v>0</v>
      </c>
      <c r="BE12" s="424">
        <v>0</v>
      </c>
      <c r="BF12" s="424">
        <v>0</v>
      </c>
      <c r="BG12" s="424">
        <v>0</v>
      </c>
      <c r="BH12" s="424">
        <v>0</v>
      </c>
      <c r="BI12" s="424">
        <v>0</v>
      </c>
      <c r="BJ12" s="424"/>
      <c r="BK12" s="352">
        <v>12265270.199999999</v>
      </c>
      <c r="BL12" s="352"/>
      <c r="BX12" s="431">
        <f t="shared" si="0"/>
        <v>0</v>
      </c>
      <c r="BY12" s="431">
        <f t="shared" si="1"/>
        <v>12265270.199999999</v>
      </c>
      <c r="BZ12" s="917">
        <v>12265270.199999999</v>
      </c>
      <c r="CA12" s="26">
        <f t="shared" si="2"/>
        <v>0</v>
      </c>
      <c r="CB12" s="20"/>
    </row>
    <row r="13" spans="1:80">
      <c r="A13" s="422"/>
      <c r="B13" s="5" t="s">
        <v>1887</v>
      </c>
      <c r="C13" s="419"/>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352"/>
      <c r="BL13" s="352"/>
      <c r="BM13" s="352">
        <v>11827974.99</v>
      </c>
      <c r="BX13" s="431">
        <f t="shared" ref="BX13" si="3">SUM(BM13:BT13)</f>
        <v>11827974.99</v>
      </c>
      <c r="BY13" s="431">
        <f t="shared" ref="BY13" si="4">BK13+BX13</f>
        <v>11827974.99</v>
      </c>
      <c r="BZ13" s="917">
        <v>11827974.99</v>
      </c>
      <c r="CA13" s="26">
        <f t="shared" si="2"/>
        <v>0</v>
      </c>
      <c r="CB13" s="20"/>
    </row>
    <row r="14" spans="1:80">
      <c r="A14" s="422">
        <v>1110</v>
      </c>
      <c r="B14" s="5" t="s">
        <v>451</v>
      </c>
      <c r="C14" s="419"/>
      <c r="D14" s="424">
        <v>1175742.1399999999</v>
      </c>
      <c r="E14" s="424">
        <v>401301</v>
      </c>
      <c r="F14" s="424">
        <v>741158.15</v>
      </c>
      <c r="G14" s="424">
        <v>903040.73</v>
      </c>
      <c r="H14" s="424">
        <v>340699.9</v>
      </c>
      <c r="I14" s="424">
        <v>332271.67</v>
      </c>
      <c r="J14" s="424">
        <v>499221.1</v>
      </c>
      <c r="K14" s="424">
        <v>1242472.1000000001</v>
      </c>
      <c r="L14" s="424">
        <v>563842.36</v>
      </c>
      <c r="M14" s="424">
        <v>659708.06999999995</v>
      </c>
      <c r="N14" s="424">
        <v>707734.12</v>
      </c>
      <c r="O14" s="424">
        <v>572790.07999999996</v>
      </c>
      <c r="P14" s="424">
        <v>4280055.8</v>
      </c>
      <c r="Q14" s="424">
        <v>163361.47</v>
      </c>
      <c r="R14" s="424">
        <v>1216621.3600000001</v>
      </c>
      <c r="S14" s="424">
        <v>342064.01</v>
      </c>
      <c r="T14" s="424">
        <v>865658.21</v>
      </c>
      <c r="U14" s="424">
        <v>164898.46</v>
      </c>
      <c r="V14" s="424">
        <v>8030880.5999999996</v>
      </c>
      <c r="W14" s="424">
        <v>192375.81</v>
      </c>
      <c r="X14" s="424">
        <v>5372390.5700000003</v>
      </c>
      <c r="Y14" s="424">
        <v>698891.33</v>
      </c>
      <c r="Z14" s="424">
        <v>3261122.92</v>
      </c>
      <c r="AA14" s="424">
        <v>1458365.23</v>
      </c>
      <c r="AB14" s="424">
        <v>298794.75</v>
      </c>
      <c r="AC14" s="424">
        <v>441597.53</v>
      </c>
      <c r="AD14" s="424">
        <v>431906.88</v>
      </c>
      <c r="AE14" s="424">
        <v>587922.87</v>
      </c>
      <c r="AF14" s="424">
        <v>2985409.83</v>
      </c>
      <c r="AG14" s="424">
        <v>1786182.6</v>
      </c>
      <c r="AH14" s="424">
        <v>113542.28</v>
      </c>
      <c r="AI14" s="424">
        <v>362303.23</v>
      </c>
      <c r="AJ14" s="424">
        <v>90189.66</v>
      </c>
      <c r="AK14" s="424">
        <v>307768.12</v>
      </c>
      <c r="AL14" s="424">
        <v>177728.73</v>
      </c>
      <c r="AM14" s="424">
        <v>381304.16</v>
      </c>
      <c r="AN14" s="424">
        <v>168454.38</v>
      </c>
      <c r="AO14" s="424">
        <v>285574.93</v>
      </c>
      <c r="AP14" s="424">
        <v>1260537.02</v>
      </c>
      <c r="AQ14" s="424">
        <v>328898.61</v>
      </c>
      <c r="AR14" s="424">
        <v>139100.12</v>
      </c>
      <c r="AS14" s="424">
        <v>681342.68</v>
      </c>
      <c r="AT14" s="424">
        <v>872098.48</v>
      </c>
      <c r="AU14" s="424">
        <v>270281.99</v>
      </c>
      <c r="AV14" s="424">
        <v>1368771.64</v>
      </c>
      <c r="AW14" s="424">
        <v>37391.019999999997</v>
      </c>
      <c r="AX14" s="424">
        <v>2488238.7999999998</v>
      </c>
      <c r="AY14" s="424">
        <v>728590.18</v>
      </c>
      <c r="AZ14" s="424">
        <v>945756.21</v>
      </c>
      <c r="BA14" s="424">
        <v>541339.13</v>
      </c>
      <c r="BB14" s="424">
        <v>218286.6</v>
      </c>
      <c r="BC14" s="424">
        <v>205843.05</v>
      </c>
      <c r="BD14" s="424">
        <v>576697.11</v>
      </c>
      <c r="BE14" s="424">
        <v>15097120.26</v>
      </c>
      <c r="BF14" s="424">
        <v>995907.45</v>
      </c>
      <c r="BG14" s="424">
        <v>156133.34</v>
      </c>
      <c r="BH14" s="424">
        <v>316924.59000000003</v>
      </c>
      <c r="BI14" s="424">
        <v>1658720.85</v>
      </c>
      <c r="BJ14" s="424"/>
      <c r="BK14" s="352">
        <v>71493326.269999996</v>
      </c>
      <c r="BL14" s="352"/>
      <c r="BN14" s="352">
        <v>18781.5</v>
      </c>
      <c r="BO14" s="352">
        <v>939275.51</v>
      </c>
      <c r="BP14" s="352">
        <v>1368027.22</v>
      </c>
      <c r="BQ14" s="352">
        <v>-560</v>
      </c>
      <c r="BX14" s="431">
        <f t="shared" si="0"/>
        <v>2325524.23</v>
      </c>
      <c r="BY14" s="431">
        <f t="shared" si="1"/>
        <v>73818850.5</v>
      </c>
      <c r="BZ14" s="917">
        <v>73818850.5</v>
      </c>
      <c r="CA14" s="26">
        <f t="shared" si="2"/>
        <v>0</v>
      </c>
      <c r="CB14" s="20"/>
    </row>
    <row r="15" spans="1:80">
      <c r="A15" s="422">
        <v>1200</v>
      </c>
      <c r="B15" s="5" t="s">
        <v>185</v>
      </c>
      <c r="C15" s="419"/>
      <c r="D15" s="424">
        <v>0</v>
      </c>
      <c r="E15" s="424">
        <v>0</v>
      </c>
      <c r="F15" s="424">
        <v>0</v>
      </c>
      <c r="G15" s="424">
        <v>0</v>
      </c>
      <c r="H15" s="424">
        <v>0</v>
      </c>
      <c r="I15" s="424">
        <v>0</v>
      </c>
      <c r="J15" s="424">
        <v>0</v>
      </c>
      <c r="K15" s="424">
        <v>0</v>
      </c>
      <c r="L15" s="424">
        <v>0</v>
      </c>
      <c r="M15" s="424">
        <v>0</v>
      </c>
      <c r="N15" s="424">
        <v>0</v>
      </c>
      <c r="O15" s="424">
        <v>0</v>
      </c>
      <c r="P15" s="424">
        <v>0</v>
      </c>
      <c r="Q15" s="424">
        <v>0</v>
      </c>
      <c r="R15" s="424">
        <v>0</v>
      </c>
      <c r="S15" s="424">
        <v>0</v>
      </c>
      <c r="T15" s="424">
        <v>0</v>
      </c>
      <c r="U15" s="424">
        <v>0</v>
      </c>
      <c r="V15" s="424">
        <v>0</v>
      </c>
      <c r="W15" s="424">
        <v>0</v>
      </c>
      <c r="X15" s="424">
        <v>0</v>
      </c>
      <c r="Y15" s="424">
        <v>0</v>
      </c>
      <c r="Z15" s="424">
        <v>0</v>
      </c>
      <c r="AA15" s="424">
        <v>0</v>
      </c>
      <c r="AB15" s="424">
        <v>0</v>
      </c>
      <c r="AC15" s="424">
        <v>0</v>
      </c>
      <c r="AD15" s="424">
        <v>0</v>
      </c>
      <c r="AE15" s="424">
        <v>0</v>
      </c>
      <c r="AF15" s="424">
        <v>0</v>
      </c>
      <c r="AG15" s="424">
        <v>0</v>
      </c>
      <c r="AH15" s="424">
        <v>0</v>
      </c>
      <c r="AI15" s="424">
        <v>0</v>
      </c>
      <c r="AJ15" s="424">
        <v>0</v>
      </c>
      <c r="AK15" s="424">
        <v>0</v>
      </c>
      <c r="AL15" s="424">
        <v>0</v>
      </c>
      <c r="AM15" s="424">
        <v>0</v>
      </c>
      <c r="AN15" s="424">
        <v>0</v>
      </c>
      <c r="AO15" s="424">
        <v>0</v>
      </c>
      <c r="AP15" s="424">
        <v>0</v>
      </c>
      <c r="AQ15" s="424">
        <v>0</v>
      </c>
      <c r="AR15" s="424">
        <v>0</v>
      </c>
      <c r="AS15" s="424">
        <v>0</v>
      </c>
      <c r="AT15" s="424">
        <v>0</v>
      </c>
      <c r="AU15" s="424">
        <v>0</v>
      </c>
      <c r="AV15" s="424">
        <v>0</v>
      </c>
      <c r="AW15" s="424">
        <v>0</v>
      </c>
      <c r="AX15" s="424">
        <v>0</v>
      </c>
      <c r="AY15" s="424">
        <v>0</v>
      </c>
      <c r="AZ15" s="424">
        <v>0</v>
      </c>
      <c r="BA15" s="424">
        <v>0</v>
      </c>
      <c r="BB15" s="424">
        <v>0</v>
      </c>
      <c r="BC15" s="424">
        <v>0</v>
      </c>
      <c r="BD15" s="424">
        <v>0</v>
      </c>
      <c r="BE15" s="424">
        <v>0</v>
      </c>
      <c r="BF15" s="424">
        <v>0</v>
      </c>
      <c r="BG15" s="424">
        <v>0</v>
      </c>
      <c r="BH15" s="424">
        <v>0</v>
      </c>
      <c r="BI15" s="424">
        <v>0</v>
      </c>
      <c r="BJ15" s="424"/>
      <c r="BK15" s="352">
        <v>0</v>
      </c>
      <c r="BL15" s="352"/>
      <c r="BX15" s="431">
        <f t="shared" si="0"/>
        <v>0</v>
      </c>
      <c r="BY15" s="431">
        <f t="shared" si="1"/>
        <v>0</v>
      </c>
      <c r="BZ15" s="917">
        <v>0</v>
      </c>
      <c r="CA15" s="26">
        <f t="shared" si="2"/>
        <v>0</v>
      </c>
      <c r="CB15" s="20"/>
    </row>
    <row r="16" spans="1:80">
      <c r="A16" s="422">
        <v>1190</v>
      </c>
      <c r="B16" s="5" t="s">
        <v>452</v>
      </c>
      <c r="C16" s="5"/>
      <c r="D16" s="424">
        <v>0</v>
      </c>
      <c r="E16" s="424">
        <v>0</v>
      </c>
      <c r="F16" s="424">
        <v>0</v>
      </c>
      <c r="G16" s="424">
        <v>0</v>
      </c>
      <c r="H16" s="424">
        <v>0</v>
      </c>
      <c r="I16" s="424">
        <v>1000000</v>
      </c>
      <c r="J16" s="424">
        <v>0</v>
      </c>
      <c r="K16" s="424">
        <v>0</v>
      </c>
      <c r="L16" s="424">
        <v>0</v>
      </c>
      <c r="M16" s="424">
        <v>0</v>
      </c>
      <c r="N16" s="424">
        <v>0</v>
      </c>
      <c r="O16" s="424">
        <v>0</v>
      </c>
      <c r="P16" s="424">
        <v>0</v>
      </c>
      <c r="Q16" s="424">
        <v>502177.78</v>
      </c>
      <c r="R16" s="424">
        <v>0</v>
      </c>
      <c r="S16" s="424">
        <v>0</v>
      </c>
      <c r="T16" s="424">
        <v>0</v>
      </c>
      <c r="U16" s="424">
        <v>0</v>
      </c>
      <c r="V16" s="424">
        <v>60423.19</v>
      </c>
      <c r="W16" s="424">
        <v>0</v>
      </c>
      <c r="X16" s="424">
        <v>0</v>
      </c>
      <c r="Y16" s="424">
        <v>27226.25</v>
      </c>
      <c r="Z16" s="424">
        <v>0</v>
      </c>
      <c r="AA16" s="424">
        <v>0</v>
      </c>
      <c r="AB16" s="424">
        <v>0</v>
      </c>
      <c r="AC16" s="424">
        <v>0</v>
      </c>
      <c r="AD16" s="424">
        <v>0</v>
      </c>
      <c r="AE16" s="424">
        <v>0</v>
      </c>
      <c r="AF16" s="424">
        <v>0</v>
      </c>
      <c r="AG16" s="424">
        <v>0</v>
      </c>
      <c r="AH16" s="424">
        <v>0</v>
      </c>
      <c r="AI16" s="424">
        <v>0</v>
      </c>
      <c r="AJ16" s="424">
        <v>0</v>
      </c>
      <c r="AK16" s="424">
        <v>0</v>
      </c>
      <c r="AL16" s="424">
        <v>0</v>
      </c>
      <c r="AM16" s="424">
        <v>0</v>
      </c>
      <c r="AN16" s="424">
        <v>0</v>
      </c>
      <c r="AO16" s="424">
        <v>0</v>
      </c>
      <c r="AP16" s="424">
        <v>0</v>
      </c>
      <c r="AQ16" s="424">
        <v>0</v>
      </c>
      <c r="AR16" s="424">
        <v>0</v>
      </c>
      <c r="AS16" s="424">
        <v>778200</v>
      </c>
      <c r="AT16" s="424">
        <v>0</v>
      </c>
      <c r="AU16" s="424">
        <v>0</v>
      </c>
      <c r="AV16" s="424">
        <v>0</v>
      </c>
      <c r="AW16" s="424">
        <v>0</v>
      </c>
      <c r="AX16" s="424">
        <v>0</v>
      </c>
      <c r="AY16" s="424">
        <v>0</v>
      </c>
      <c r="AZ16" s="424">
        <v>0</v>
      </c>
      <c r="BA16" s="424">
        <v>0</v>
      </c>
      <c r="BB16" s="424">
        <v>0</v>
      </c>
      <c r="BC16" s="424">
        <v>0</v>
      </c>
      <c r="BD16" s="424">
        <v>0</v>
      </c>
      <c r="BE16" s="424">
        <v>0</v>
      </c>
      <c r="BF16" s="424">
        <v>0</v>
      </c>
      <c r="BG16" s="424">
        <v>0</v>
      </c>
      <c r="BH16" s="424">
        <v>0</v>
      </c>
      <c r="BI16" s="424">
        <v>0</v>
      </c>
      <c r="BJ16" s="424"/>
      <c r="BK16" s="352">
        <v>2368027.2200000002</v>
      </c>
      <c r="BL16" s="352"/>
      <c r="BM16" s="352"/>
      <c r="BN16" s="352" t="s">
        <v>146</v>
      </c>
      <c r="BO16" s="352"/>
      <c r="BP16" s="352">
        <v>-1368027.22</v>
      </c>
      <c r="BQ16" s="352">
        <v>560</v>
      </c>
      <c r="BR16" s="352"/>
      <c r="BS16" s="352"/>
      <c r="BT16" s="352"/>
      <c r="BU16" s="352"/>
      <c r="BV16" s="352"/>
      <c r="BW16" s="352"/>
      <c r="BX16" s="431">
        <f t="shared" si="0"/>
        <v>-1367467.22</v>
      </c>
      <c r="BY16" s="431">
        <f>BK16+BX16</f>
        <v>1000560</v>
      </c>
      <c r="BZ16" s="917">
        <v>1000560</v>
      </c>
      <c r="CA16" s="26">
        <f t="shared" si="2"/>
        <v>0</v>
      </c>
      <c r="CB16" s="20"/>
    </row>
    <row r="17" spans="1:87">
      <c r="A17" s="422">
        <v>1195</v>
      </c>
      <c r="B17" s="5" t="s">
        <v>1658</v>
      </c>
      <c r="C17" s="5"/>
      <c r="D17" s="424">
        <v>0</v>
      </c>
      <c r="E17" s="424">
        <v>0</v>
      </c>
      <c r="F17" s="424">
        <v>0</v>
      </c>
      <c r="G17" s="424">
        <v>0</v>
      </c>
      <c r="H17" s="424">
        <v>0</v>
      </c>
      <c r="I17" s="424">
        <v>0</v>
      </c>
      <c r="J17" s="424">
        <v>0</v>
      </c>
      <c r="K17" s="424">
        <v>0</v>
      </c>
      <c r="L17" s="424">
        <v>54582.45</v>
      </c>
      <c r="M17" s="424">
        <v>0</v>
      </c>
      <c r="N17" s="424">
        <v>0</v>
      </c>
      <c r="O17" s="424">
        <v>8669</v>
      </c>
      <c r="P17" s="424">
        <v>151333</v>
      </c>
      <c r="Q17" s="424">
        <v>0</v>
      </c>
      <c r="R17" s="424">
        <v>0</v>
      </c>
      <c r="S17" s="424">
        <v>0</v>
      </c>
      <c r="T17" s="424">
        <v>0</v>
      </c>
      <c r="U17" s="424">
        <v>800</v>
      </c>
      <c r="V17" s="424">
        <v>59356.61</v>
      </c>
      <c r="W17" s="424">
        <v>0</v>
      </c>
      <c r="X17" s="424">
        <v>0</v>
      </c>
      <c r="Y17" s="424">
        <v>0</v>
      </c>
      <c r="Z17" s="424">
        <v>0</v>
      </c>
      <c r="AA17" s="424">
        <v>221937</v>
      </c>
      <c r="AB17" s="424">
        <v>0</v>
      </c>
      <c r="AC17" s="424">
        <v>0</v>
      </c>
      <c r="AD17" s="424">
        <v>23200</v>
      </c>
      <c r="AE17" s="424">
        <v>0</v>
      </c>
      <c r="AF17" s="424">
        <v>0</v>
      </c>
      <c r="AG17" s="424">
        <v>0</v>
      </c>
      <c r="AH17" s="424">
        <v>0</v>
      </c>
      <c r="AI17" s="424">
        <v>0</v>
      </c>
      <c r="AJ17" s="424">
        <v>0</v>
      </c>
      <c r="AK17" s="424">
        <v>0</v>
      </c>
      <c r="AL17" s="424">
        <v>0</v>
      </c>
      <c r="AM17" s="424">
        <v>0</v>
      </c>
      <c r="AN17" s="424">
        <v>0</v>
      </c>
      <c r="AO17" s="424">
        <v>0</v>
      </c>
      <c r="AP17" s="424">
        <v>0</v>
      </c>
      <c r="AQ17" s="424">
        <v>6421.79</v>
      </c>
      <c r="AR17" s="424">
        <v>0</v>
      </c>
      <c r="AS17" s="424">
        <v>0</v>
      </c>
      <c r="AT17" s="424">
        <v>0</v>
      </c>
      <c r="AU17" s="424">
        <v>0</v>
      </c>
      <c r="AV17" s="424">
        <v>0</v>
      </c>
      <c r="AW17" s="424">
        <v>0</v>
      </c>
      <c r="AX17" s="424">
        <v>0</v>
      </c>
      <c r="AY17" s="424">
        <v>0</v>
      </c>
      <c r="AZ17" s="424">
        <v>0</v>
      </c>
      <c r="BA17" s="424">
        <v>0</v>
      </c>
      <c r="BB17" s="424">
        <v>24909.41</v>
      </c>
      <c r="BC17" s="424">
        <v>0</v>
      </c>
      <c r="BD17" s="424">
        <v>0</v>
      </c>
      <c r="BE17" s="424">
        <v>0</v>
      </c>
      <c r="BF17" s="424">
        <v>0</v>
      </c>
      <c r="BG17" s="424">
        <v>0</v>
      </c>
      <c r="BH17" s="424">
        <v>226608.5</v>
      </c>
      <c r="BI17" s="424">
        <v>0</v>
      </c>
      <c r="BJ17" s="424"/>
      <c r="BK17" s="352">
        <v>777817.76</v>
      </c>
      <c r="BL17" s="352"/>
      <c r="BS17" s="352">
        <v>-777817.76</v>
      </c>
      <c r="BX17" s="431">
        <f t="shared" si="0"/>
        <v>-777817.76</v>
      </c>
      <c r="BY17" s="431">
        <f t="shared" si="1"/>
        <v>0</v>
      </c>
      <c r="BZ17" s="917">
        <v>0</v>
      </c>
      <c r="CA17" s="26">
        <f t="shared" si="2"/>
        <v>0</v>
      </c>
      <c r="CB17" s="20"/>
    </row>
    <row r="18" spans="1:87">
      <c r="A18" s="422">
        <v>1220</v>
      </c>
      <c r="B18" s="5" t="s">
        <v>188</v>
      </c>
      <c r="C18" s="5"/>
      <c r="D18" s="424">
        <v>343662.79</v>
      </c>
      <c r="E18" s="424">
        <v>80035.3</v>
      </c>
      <c r="F18" s="424">
        <v>721360.35</v>
      </c>
      <c r="G18" s="424">
        <v>0</v>
      </c>
      <c r="H18" s="424">
        <v>393764.59</v>
      </c>
      <c r="I18" s="424">
        <v>82904.72</v>
      </c>
      <c r="J18" s="424">
        <v>53420.6</v>
      </c>
      <c r="K18" s="424">
        <v>618595.49</v>
      </c>
      <c r="L18" s="424">
        <v>915299.96</v>
      </c>
      <c r="M18" s="424">
        <v>14879.47</v>
      </c>
      <c r="N18" s="424">
        <v>310586.71000000002</v>
      </c>
      <c r="O18" s="424">
        <v>424071.73</v>
      </c>
      <c r="P18" s="424">
        <v>82632.73</v>
      </c>
      <c r="Q18" s="424">
        <v>119036.73</v>
      </c>
      <c r="R18" s="424">
        <v>360556.63</v>
      </c>
      <c r="S18" s="424">
        <v>40611.360000000001</v>
      </c>
      <c r="T18" s="424">
        <v>204434.35</v>
      </c>
      <c r="U18" s="424">
        <v>131681.59</v>
      </c>
      <c r="V18" s="424">
        <v>16660.310000000001</v>
      </c>
      <c r="W18" s="424">
        <v>478349.9</v>
      </c>
      <c r="X18" s="424">
        <v>1160512.22</v>
      </c>
      <c r="Y18" s="424">
        <v>382312.35</v>
      </c>
      <c r="Z18" s="424">
        <v>321569.45</v>
      </c>
      <c r="AA18" s="424">
        <v>1106214.57</v>
      </c>
      <c r="AB18" s="424">
        <v>50938.2</v>
      </c>
      <c r="AC18" s="424">
        <v>29658.3</v>
      </c>
      <c r="AD18" s="424">
        <v>313908.18</v>
      </c>
      <c r="AE18" s="424">
        <v>15234.51</v>
      </c>
      <c r="AF18" s="424">
        <v>87984.11</v>
      </c>
      <c r="AG18" s="424">
        <v>146316.10999999999</v>
      </c>
      <c r="AH18" s="424">
        <v>130887.79</v>
      </c>
      <c r="AI18" s="424">
        <v>88701.21</v>
      </c>
      <c r="AJ18" s="424">
        <v>149511.54</v>
      </c>
      <c r="AK18" s="424">
        <v>263487.11</v>
      </c>
      <c r="AL18" s="424">
        <v>73701.350000000006</v>
      </c>
      <c r="AM18" s="424">
        <v>306912.93</v>
      </c>
      <c r="AN18" s="424">
        <v>185908.75</v>
      </c>
      <c r="AO18" s="424">
        <v>77539.53</v>
      </c>
      <c r="AP18" s="424">
        <v>900948.28</v>
      </c>
      <c r="AQ18" s="424">
        <v>271723.53000000003</v>
      </c>
      <c r="AR18" s="424">
        <v>60358.74</v>
      </c>
      <c r="AS18" s="424">
        <v>0</v>
      </c>
      <c r="AT18" s="424">
        <v>34570.6</v>
      </c>
      <c r="AU18" s="424">
        <v>265222.98</v>
      </c>
      <c r="AV18" s="424">
        <v>111149.91</v>
      </c>
      <c r="AW18" s="424">
        <v>292860.71999999997</v>
      </c>
      <c r="AX18" s="424">
        <v>124346.79</v>
      </c>
      <c r="AY18" s="424">
        <v>498276.45</v>
      </c>
      <c r="AZ18" s="424">
        <v>120665.84</v>
      </c>
      <c r="BA18" s="424">
        <v>43925.57</v>
      </c>
      <c r="BB18" s="424">
        <v>125649.78</v>
      </c>
      <c r="BC18" s="424">
        <v>70689.8</v>
      </c>
      <c r="BD18" s="424">
        <v>32001.94</v>
      </c>
      <c r="BE18" s="424">
        <v>43125.51</v>
      </c>
      <c r="BF18" s="424">
        <v>280875.39</v>
      </c>
      <c r="BG18" s="424">
        <v>281089.64</v>
      </c>
      <c r="BH18" s="424">
        <v>671451.7</v>
      </c>
      <c r="BI18" s="424">
        <v>525663.32999999996</v>
      </c>
      <c r="BJ18" s="424"/>
      <c r="BK18" s="352">
        <v>15038440.02</v>
      </c>
      <c r="BL18" s="352"/>
      <c r="BT18" s="352" t="s">
        <v>146</v>
      </c>
      <c r="BU18" s="352"/>
      <c r="BV18" s="352"/>
      <c r="BW18" s="352"/>
      <c r="BX18" s="431">
        <f t="shared" si="0"/>
        <v>0</v>
      </c>
      <c r="BY18" s="431">
        <f t="shared" si="1"/>
        <v>15038440.02</v>
      </c>
      <c r="BZ18" s="917">
        <v>15038440.02</v>
      </c>
      <c r="CA18" s="26">
        <f t="shared" si="2"/>
        <v>0</v>
      </c>
      <c r="CB18" s="20"/>
    </row>
    <row r="19" spans="1:87">
      <c r="A19" s="422">
        <v>1230</v>
      </c>
      <c r="B19" s="5" t="s">
        <v>1888</v>
      </c>
      <c r="C19" s="5"/>
      <c r="D19" s="424">
        <v>0</v>
      </c>
      <c r="E19" s="424">
        <v>147364.29999999999</v>
      </c>
      <c r="F19" s="424">
        <v>954681.46</v>
      </c>
      <c r="G19" s="424">
        <v>5000</v>
      </c>
      <c r="H19" s="424">
        <v>0</v>
      </c>
      <c r="I19" s="424">
        <v>559551.92000000004</v>
      </c>
      <c r="J19" s="424">
        <v>0</v>
      </c>
      <c r="K19" s="424">
        <v>0</v>
      </c>
      <c r="L19" s="424">
        <v>623255.38</v>
      </c>
      <c r="M19" s="424">
        <v>69198.75</v>
      </c>
      <c r="N19" s="424">
        <v>0</v>
      </c>
      <c r="O19" s="424">
        <v>5500</v>
      </c>
      <c r="P19" s="424">
        <v>763923.05</v>
      </c>
      <c r="Q19" s="424">
        <v>0</v>
      </c>
      <c r="R19" s="424">
        <v>796877.62</v>
      </c>
      <c r="S19" s="424">
        <v>419442.67</v>
      </c>
      <c r="T19" s="424">
        <v>392264.11</v>
      </c>
      <c r="U19" s="424">
        <v>0</v>
      </c>
      <c r="V19" s="424">
        <v>119074.44</v>
      </c>
      <c r="W19" s="424">
        <v>58253.56</v>
      </c>
      <c r="X19" s="424">
        <v>1207820.3999999999</v>
      </c>
      <c r="Y19" s="424">
        <v>0</v>
      </c>
      <c r="Z19" s="424">
        <v>576457.68999999994</v>
      </c>
      <c r="AA19" s="424">
        <v>3469750.11</v>
      </c>
      <c r="AB19" s="424">
        <v>67898.22</v>
      </c>
      <c r="AC19" s="424">
        <v>0</v>
      </c>
      <c r="AD19" s="424">
        <v>7271.68</v>
      </c>
      <c r="AE19" s="424">
        <v>65743.259999999995</v>
      </c>
      <c r="AF19" s="424">
        <v>0</v>
      </c>
      <c r="AG19" s="424">
        <v>69679.100000000006</v>
      </c>
      <c r="AH19" s="424">
        <v>38839.019999999997</v>
      </c>
      <c r="AI19" s="424">
        <v>314076.24</v>
      </c>
      <c r="AJ19" s="424">
        <v>0</v>
      </c>
      <c r="AK19" s="424">
        <v>1181165.3</v>
      </c>
      <c r="AL19" s="424">
        <v>0</v>
      </c>
      <c r="AM19" s="424">
        <v>0</v>
      </c>
      <c r="AN19" s="424">
        <v>202607.25</v>
      </c>
      <c r="AO19" s="424">
        <v>119565.85</v>
      </c>
      <c r="AP19" s="424">
        <v>0</v>
      </c>
      <c r="AQ19" s="424">
        <v>0</v>
      </c>
      <c r="AR19" s="424">
        <v>115181.82</v>
      </c>
      <c r="AS19" s="424">
        <v>60457.56</v>
      </c>
      <c r="AT19" s="424">
        <v>120595.74</v>
      </c>
      <c r="AU19" s="424">
        <v>0</v>
      </c>
      <c r="AV19" s="424">
        <v>540821.81000000006</v>
      </c>
      <c r="AW19" s="424">
        <v>0</v>
      </c>
      <c r="AX19" s="424">
        <v>0</v>
      </c>
      <c r="AY19" s="424">
        <v>438825.01</v>
      </c>
      <c r="AZ19" s="424">
        <v>53509.38</v>
      </c>
      <c r="BA19" s="424">
        <v>0</v>
      </c>
      <c r="BB19" s="424">
        <v>0</v>
      </c>
      <c r="BC19" s="424">
        <v>7625.32</v>
      </c>
      <c r="BD19" s="424">
        <v>146135.76</v>
      </c>
      <c r="BE19" s="424">
        <v>0</v>
      </c>
      <c r="BF19" s="424">
        <v>0</v>
      </c>
      <c r="BG19" s="424">
        <v>0</v>
      </c>
      <c r="BH19" s="424">
        <v>0</v>
      </c>
      <c r="BI19" s="424">
        <v>38.4</v>
      </c>
      <c r="BJ19" s="424"/>
      <c r="BK19" s="352">
        <v>13718452.18</v>
      </c>
      <c r="BL19" s="352"/>
      <c r="BT19" s="352" t="s">
        <v>146</v>
      </c>
      <c r="BU19" s="352"/>
      <c r="BV19" s="352"/>
      <c r="BW19" s="352"/>
      <c r="BX19" s="431">
        <f t="shared" si="0"/>
        <v>0</v>
      </c>
      <c r="BY19" s="431">
        <f t="shared" si="1"/>
        <v>13718452.18</v>
      </c>
      <c r="BZ19" s="917">
        <v>13718452.18</v>
      </c>
      <c r="CA19" s="26">
        <f t="shared" si="2"/>
        <v>0</v>
      </c>
      <c r="CB19" s="20"/>
    </row>
    <row r="20" spans="1:87">
      <c r="A20" s="422">
        <v>1210</v>
      </c>
      <c r="B20" s="5" t="s">
        <v>454</v>
      </c>
      <c r="C20" s="5"/>
      <c r="D20" s="424">
        <v>0</v>
      </c>
      <c r="E20" s="424">
        <v>0</v>
      </c>
      <c r="F20" s="424">
        <v>0</v>
      </c>
      <c r="G20" s="424">
        <v>0</v>
      </c>
      <c r="H20" s="424">
        <v>0</v>
      </c>
      <c r="I20" s="424">
        <v>468.46</v>
      </c>
      <c r="J20" s="424">
        <v>400</v>
      </c>
      <c r="K20" s="424">
        <v>0</v>
      </c>
      <c r="L20" s="424">
        <v>0</v>
      </c>
      <c r="M20" s="424">
        <v>92901.36</v>
      </c>
      <c r="N20" s="424">
        <v>0</v>
      </c>
      <c r="O20" s="424">
        <v>0</v>
      </c>
      <c r="P20" s="424">
        <v>0</v>
      </c>
      <c r="Q20" s="424">
        <v>0</v>
      </c>
      <c r="R20" s="424">
        <v>0</v>
      </c>
      <c r="S20" s="424">
        <v>0</v>
      </c>
      <c r="T20" s="424">
        <v>0</v>
      </c>
      <c r="U20" s="424">
        <v>0</v>
      </c>
      <c r="V20" s="424">
        <v>0</v>
      </c>
      <c r="W20" s="424">
        <v>0</v>
      </c>
      <c r="X20" s="424">
        <v>1051.3399999999999</v>
      </c>
      <c r="Y20" s="424">
        <v>101337.14</v>
      </c>
      <c r="Z20" s="424">
        <v>0</v>
      </c>
      <c r="AA20" s="424">
        <v>500</v>
      </c>
      <c r="AB20" s="424">
        <v>279.39999999999998</v>
      </c>
      <c r="AC20" s="424">
        <v>0</v>
      </c>
      <c r="AD20" s="424">
        <v>0</v>
      </c>
      <c r="AE20" s="424">
        <v>0</v>
      </c>
      <c r="AF20" s="424">
        <v>10674.5</v>
      </c>
      <c r="AG20" s="424">
        <v>0</v>
      </c>
      <c r="AH20" s="424">
        <v>0</v>
      </c>
      <c r="AI20" s="424">
        <v>0</v>
      </c>
      <c r="AJ20" s="424">
        <v>0</v>
      </c>
      <c r="AK20" s="424">
        <v>0</v>
      </c>
      <c r="AL20" s="424">
        <v>0</v>
      </c>
      <c r="AM20" s="424">
        <v>0</v>
      </c>
      <c r="AN20" s="424">
        <v>0</v>
      </c>
      <c r="AO20" s="424">
        <v>0</v>
      </c>
      <c r="AP20" s="424">
        <v>0</v>
      </c>
      <c r="AQ20" s="424">
        <v>0</v>
      </c>
      <c r="AR20" s="424">
        <v>0</v>
      </c>
      <c r="AS20" s="424">
        <v>0</v>
      </c>
      <c r="AT20" s="424">
        <v>0</v>
      </c>
      <c r="AU20" s="424">
        <v>0</v>
      </c>
      <c r="AV20" s="424">
        <v>0</v>
      </c>
      <c r="AW20" s="424">
        <v>274.75</v>
      </c>
      <c r="AX20" s="424">
        <v>8223.01</v>
      </c>
      <c r="AY20" s="424">
        <v>0</v>
      </c>
      <c r="AZ20" s="424">
        <v>0</v>
      </c>
      <c r="BA20" s="424">
        <v>0</v>
      </c>
      <c r="BB20" s="424">
        <v>0</v>
      </c>
      <c r="BC20" s="424">
        <v>0</v>
      </c>
      <c r="BD20" s="424">
        <v>0</v>
      </c>
      <c r="BE20" s="424">
        <v>0</v>
      </c>
      <c r="BF20" s="424">
        <v>0</v>
      </c>
      <c r="BG20" s="424">
        <v>0</v>
      </c>
      <c r="BH20" s="424">
        <v>0</v>
      </c>
      <c r="BI20" s="424">
        <v>13620.9</v>
      </c>
      <c r="BJ20" s="424"/>
      <c r="BK20" s="352">
        <v>229730.86</v>
      </c>
      <c r="BL20" s="352"/>
      <c r="BX20" s="431">
        <f t="shared" si="0"/>
        <v>0</v>
      </c>
      <c r="BY20" s="431">
        <f t="shared" si="1"/>
        <v>229730.86</v>
      </c>
      <c r="BZ20" s="917">
        <v>229730.86</v>
      </c>
      <c r="CA20" s="26">
        <f t="shared" si="2"/>
        <v>0</v>
      </c>
      <c r="CB20" s="20"/>
    </row>
    <row r="21" spans="1:87">
      <c r="A21" s="422">
        <v>1211</v>
      </c>
      <c r="B21" s="5" t="s">
        <v>191</v>
      </c>
      <c r="C21" s="5"/>
      <c r="D21" s="424">
        <v>0</v>
      </c>
      <c r="E21" s="424">
        <v>0</v>
      </c>
      <c r="F21" s="424">
        <v>234887.09</v>
      </c>
      <c r="G21" s="424">
        <v>0</v>
      </c>
      <c r="H21" s="424">
        <v>0</v>
      </c>
      <c r="I21" s="424">
        <v>0</v>
      </c>
      <c r="J21" s="424">
        <v>0</v>
      </c>
      <c r="K21" s="424">
        <v>0</v>
      </c>
      <c r="L21" s="424">
        <v>0</v>
      </c>
      <c r="M21" s="424">
        <v>0</v>
      </c>
      <c r="N21" s="424">
        <v>0</v>
      </c>
      <c r="O21" s="424">
        <v>0</v>
      </c>
      <c r="P21" s="424">
        <v>180965.64</v>
      </c>
      <c r="Q21" s="424">
        <v>0</v>
      </c>
      <c r="R21" s="424">
        <v>0</v>
      </c>
      <c r="S21" s="424">
        <v>0</v>
      </c>
      <c r="T21" s="424">
        <v>0</v>
      </c>
      <c r="U21" s="424">
        <v>0</v>
      </c>
      <c r="V21" s="424">
        <v>0</v>
      </c>
      <c r="W21" s="424">
        <v>0</v>
      </c>
      <c r="X21" s="424">
        <v>89844</v>
      </c>
      <c r="Y21" s="424">
        <v>0</v>
      </c>
      <c r="Z21" s="424">
        <v>0</v>
      </c>
      <c r="AA21" s="424">
        <v>0</v>
      </c>
      <c r="AB21" s="424">
        <v>0</v>
      </c>
      <c r="AC21" s="424">
        <v>0</v>
      </c>
      <c r="AD21" s="424">
        <v>0</v>
      </c>
      <c r="AE21" s="424">
        <v>0</v>
      </c>
      <c r="AF21" s="424">
        <v>0</v>
      </c>
      <c r="AG21" s="424">
        <v>0</v>
      </c>
      <c r="AH21" s="424">
        <v>0</v>
      </c>
      <c r="AI21" s="424">
        <v>0</v>
      </c>
      <c r="AJ21" s="424">
        <v>0</v>
      </c>
      <c r="AK21" s="424">
        <v>0</v>
      </c>
      <c r="AL21" s="424">
        <v>0</v>
      </c>
      <c r="AM21" s="424">
        <v>0</v>
      </c>
      <c r="AN21" s="424">
        <v>0</v>
      </c>
      <c r="AO21" s="424">
        <v>0</v>
      </c>
      <c r="AP21" s="424">
        <v>0</v>
      </c>
      <c r="AQ21" s="424">
        <v>0</v>
      </c>
      <c r="AR21" s="424">
        <v>0</v>
      </c>
      <c r="AS21" s="424">
        <v>0</v>
      </c>
      <c r="AT21" s="424">
        <v>0</v>
      </c>
      <c r="AU21" s="424">
        <v>0</v>
      </c>
      <c r="AV21" s="424">
        <v>0</v>
      </c>
      <c r="AW21" s="424">
        <v>0</v>
      </c>
      <c r="AX21" s="424">
        <v>0</v>
      </c>
      <c r="AY21" s="424">
        <v>0</v>
      </c>
      <c r="AZ21" s="424">
        <v>0</v>
      </c>
      <c r="BA21" s="424">
        <v>0</v>
      </c>
      <c r="BB21" s="424">
        <v>0</v>
      </c>
      <c r="BC21" s="424">
        <v>0</v>
      </c>
      <c r="BD21" s="424">
        <v>0</v>
      </c>
      <c r="BE21" s="424">
        <v>0</v>
      </c>
      <c r="BF21" s="424">
        <v>0</v>
      </c>
      <c r="BG21" s="424">
        <v>0</v>
      </c>
      <c r="BH21" s="424">
        <v>0</v>
      </c>
      <c r="BI21" s="424">
        <v>0</v>
      </c>
      <c r="BJ21" s="424"/>
      <c r="BK21" s="352">
        <v>505696.73</v>
      </c>
      <c r="BL21" s="352"/>
      <c r="BX21" s="431">
        <f t="shared" ref="BX21:BX23" si="5">SUM(BM21:BT21)</f>
        <v>0</v>
      </c>
      <c r="BY21" s="431">
        <f t="shared" ref="BY21:BY23" si="6">BK21+BX21</f>
        <v>505696.73</v>
      </c>
      <c r="BZ21" s="917">
        <v>505696.73</v>
      </c>
      <c r="CA21" s="26">
        <f t="shared" si="2"/>
        <v>0</v>
      </c>
      <c r="CB21" s="20"/>
    </row>
    <row r="22" spans="1:87">
      <c r="A22" s="422">
        <v>1234</v>
      </c>
      <c r="B22" s="5" t="s">
        <v>1889</v>
      </c>
      <c r="C22" s="5"/>
      <c r="D22" s="424">
        <v>0</v>
      </c>
      <c r="E22" s="424">
        <v>0</v>
      </c>
      <c r="F22" s="424">
        <v>0</v>
      </c>
      <c r="G22" s="424">
        <v>0</v>
      </c>
      <c r="H22" s="424">
        <v>0</v>
      </c>
      <c r="I22" s="424">
        <v>0</v>
      </c>
      <c r="J22" s="424">
        <v>0</v>
      </c>
      <c r="K22" s="424">
        <v>0</v>
      </c>
      <c r="L22" s="424">
        <v>0</v>
      </c>
      <c r="M22" s="424">
        <v>0</v>
      </c>
      <c r="N22" s="424">
        <v>0</v>
      </c>
      <c r="O22" s="424">
        <v>0</v>
      </c>
      <c r="P22" s="424">
        <v>0</v>
      </c>
      <c r="Q22" s="424">
        <v>0</v>
      </c>
      <c r="R22" s="424">
        <v>0</v>
      </c>
      <c r="S22" s="424">
        <v>0</v>
      </c>
      <c r="T22" s="424">
        <v>0</v>
      </c>
      <c r="U22" s="424">
        <v>0</v>
      </c>
      <c r="V22" s="424">
        <v>0</v>
      </c>
      <c r="W22" s="424">
        <v>0</v>
      </c>
      <c r="X22" s="424">
        <v>0</v>
      </c>
      <c r="Y22" s="424">
        <v>0</v>
      </c>
      <c r="Z22" s="424">
        <v>0</v>
      </c>
      <c r="AA22" s="424">
        <v>0</v>
      </c>
      <c r="AB22" s="424">
        <v>0</v>
      </c>
      <c r="AC22" s="424">
        <v>0</v>
      </c>
      <c r="AD22" s="424">
        <v>0</v>
      </c>
      <c r="AE22" s="424">
        <v>0</v>
      </c>
      <c r="AF22" s="424">
        <v>0</v>
      </c>
      <c r="AG22" s="424">
        <v>0</v>
      </c>
      <c r="AH22" s="424">
        <v>0</v>
      </c>
      <c r="AI22" s="424">
        <v>0</v>
      </c>
      <c r="AJ22" s="424">
        <v>0</v>
      </c>
      <c r="AK22" s="424">
        <v>0</v>
      </c>
      <c r="AL22" s="424">
        <v>0</v>
      </c>
      <c r="AM22" s="424">
        <v>0</v>
      </c>
      <c r="AN22" s="424">
        <v>0</v>
      </c>
      <c r="AO22" s="424">
        <v>0</v>
      </c>
      <c r="AP22" s="424">
        <v>0</v>
      </c>
      <c r="AQ22" s="424">
        <v>0</v>
      </c>
      <c r="AR22" s="424">
        <v>0</v>
      </c>
      <c r="AS22" s="424">
        <v>0</v>
      </c>
      <c r="AT22" s="424">
        <v>0</v>
      </c>
      <c r="AU22" s="424">
        <v>0</v>
      </c>
      <c r="AV22" s="424">
        <v>0</v>
      </c>
      <c r="AW22" s="424">
        <v>0</v>
      </c>
      <c r="AX22" s="424">
        <v>0</v>
      </c>
      <c r="AY22" s="424">
        <v>0</v>
      </c>
      <c r="AZ22" s="424">
        <v>0</v>
      </c>
      <c r="BA22" s="424">
        <v>0</v>
      </c>
      <c r="BB22" s="424">
        <v>0</v>
      </c>
      <c r="BC22" s="424">
        <v>0</v>
      </c>
      <c r="BD22" s="424">
        <v>0</v>
      </c>
      <c r="BE22" s="424">
        <v>0</v>
      </c>
      <c r="BF22" s="424">
        <v>0</v>
      </c>
      <c r="BG22" s="424">
        <v>0</v>
      </c>
      <c r="BH22" s="424">
        <v>0</v>
      </c>
      <c r="BI22" s="424">
        <v>0</v>
      </c>
      <c r="BJ22" s="424"/>
      <c r="BK22" s="352">
        <v>0</v>
      </c>
      <c r="BL22" s="352"/>
      <c r="BX22" s="431">
        <f t="shared" si="5"/>
        <v>0</v>
      </c>
      <c r="BY22" s="431">
        <f t="shared" si="6"/>
        <v>0</v>
      </c>
      <c r="BZ22" s="917">
        <v>0</v>
      </c>
      <c r="CA22" s="26">
        <f t="shared" si="2"/>
        <v>0</v>
      </c>
      <c r="CB22" s="20"/>
    </row>
    <row r="23" spans="1:87">
      <c r="A23" s="422">
        <v>1233</v>
      </c>
      <c r="B23" s="5" t="s">
        <v>195</v>
      </c>
      <c r="C23" s="5"/>
      <c r="D23" s="424">
        <v>0</v>
      </c>
      <c r="E23" s="424">
        <v>0</v>
      </c>
      <c r="F23" s="424">
        <v>0</v>
      </c>
      <c r="G23" s="424">
        <v>0</v>
      </c>
      <c r="H23" s="424">
        <v>0</v>
      </c>
      <c r="I23" s="424">
        <v>0</v>
      </c>
      <c r="J23" s="424">
        <v>0</v>
      </c>
      <c r="K23" s="424">
        <v>0</v>
      </c>
      <c r="L23" s="424">
        <v>0</v>
      </c>
      <c r="M23" s="424">
        <v>0</v>
      </c>
      <c r="N23" s="424">
        <v>0</v>
      </c>
      <c r="O23" s="424">
        <v>0</v>
      </c>
      <c r="P23" s="424">
        <v>0</v>
      </c>
      <c r="Q23" s="424">
        <v>0</v>
      </c>
      <c r="R23" s="424">
        <v>0</v>
      </c>
      <c r="S23" s="424">
        <v>0</v>
      </c>
      <c r="T23" s="424">
        <v>0</v>
      </c>
      <c r="U23" s="424">
        <v>0</v>
      </c>
      <c r="V23" s="424">
        <v>0</v>
      </c>
      <c r="W23" s="424">
        <v>0</v>
      </c>
      <c r="X23" s="424">
        <v>0</v>
      </c>
      <c r="Y23" s="424">
        <v>0</v>
      </c>
      <c r="Z23" s="424">
        <v>0</v>
      </c>
      <c r="AA23" s="424">
        <v>0</v>
      </c>
      <c r="AB23" s="424">
        <v>0</v>
      </c>
      <c r="AC23" s="424">
        <v>0</v>
      </c>
      <c r="AD23" s="424">
        <v>0</v>
      </c>
      <c r="AE23" s="424">
        <v>0</v>
      </c>
      <c r="AF23" s="424">
        <v>0</v>
      </c>
      <c r="AG23" s="424">
        <v>0</v>
      </c>
      <c r="AH23" s="424">
        <v>0</v>
      </c>
      <c r="AI23" s="424">
        <v>0</v>
      </c>
      <c r="AJ23" s="424">
        <v>0</v>
      </c>
      <c r="AK23" s="424">
        <v>0</v>
      </c>
      <c r="AL23" s="424">
        <v>0</v>
      </c>
      <c r="AM23" s="424">
        <v>0</v>
      </c>
      <c r="AN23" s="424">
        <v>0</v>
      </c>
      <c r="AO23" s="424">
        <v>0</v>
      </c>
      <c r="AP23" s="424">
        <v>0</v>
      </c>
      <c r="AQ23" s="424">
        <v>0</v>
      </c>
      <c r="AR23" s="424">
        <v>0</v>
      </c>
      <c r="AS23" s="424">
        <v>0</v>
      </c>
      <c r="AT23" s="424">
        <v>0</v>
      </c>
      <c r="AU23" s="424">
        <v>0</v>
      </c>
      <c r="AV23" s="424">
        <v>0</v>
      </c>
      <c r="AW23" s="424">
        <v>0</v>
      </c>
      <c r="AX23" s="424">
        <v>0</v>
      </c>
      <c r="AY23" s="424">
        <v>0</v>
      </c>
      <c r="AZ23" s="424">
        <v>0</v>
      </c>
      <c r="BA23" s="424">
        <v>0</v>
      </c>
      <c r="BB23" s="424">
        <v>0</v>
      </c>
      <c r="BC23" s="424">
        <v>0</v>
      </c>
      <c r="BD23" s="424">
        <v>0</v>
      </c>
      <c r="BE23" s="424">
        <v>0</v>
      </c>
      <c r="BF23" s="424">
        <v>0</v>
      </c>
      <c r="BG23" s="424">
        <v>0</v>
      </c>
      <c r="BH23" s="424">
        <v>0</v>
      </c>
      <c r="BI23" s="424">
        <v>0</v>
      </c>
      <c r="BJ23" s="424"/>
      <c r="BK23" s="352">
        <v>0</v>
      </c>
      <c r="BL23" s="352"/>
      <c r="BX23" s="431">
        <f t="shared" si="5"/>
        <v>0</v>
      </c>
      <c r="BY23" s="431">
        <f t="shared" si="6"/>
        <v>0</v>
      </c>
      <c r="BZ23" s="917">
        <v>0</v>
      </c>
      <c r="CA23" s="26">
        <f t="shared" si="2"/>
        <v>0</v>
      </c>
      <c r="CB23" s="20"/>
    </row>
    <row r="24" spans="1:87">
      <c r="A24" s="422"/>
      <c r="B24" s="5" t="s">
        <v>196</v>
      </c>
      <c r="C24" s="5"/>
      <c r="D24" s="428">
        <v>8393399.3800000008</v>
      </c>
      <c r="E24" s="428">
        <v>20684546.73</v>
      </c>
      <c r="F24" s="428">
        <v>19893718.039999999</v>
      </c>
      <c r="G24" s="428">
        <v>4205700.2</v>
      </c>
      <c r="H24" s="428">
        <v>2631217.9900000002</v>
      </c>
      <c r="I24" s="428">
        <v>7267629.5899999999</v>
      </c>
      <c r="J24" s="428">
        <v>3917294.88</v>
      </c>
      <c r="K24" s="428">
        <v>18505734.960000001</v>
      </c>
      <c r="L24" s="428">
        <v>36673344.32</v>
      </c>
      <c r="M24" s="428">
        <v>2945701.82</v>
      </c>
      <c r="N24" s="428">
        <v>7306488.2000000002</v>
      </c>
      <c r="O24" s="428">
        <v>5082866.5599999996</v>
      </c>
      <c r="P24" s="428">
        <v>74907606.430000007</v>
      </c>
      <c r="Q24" s="428">
        <v>18146451.949999999</v>
      </c>
      <c r="R24" s="428">
        <v>14276184.4</v>
      </c>
      <c r="S24" s="428">
        <v>4607132.58</v>
      </c>
      <c r="T24" s="428">
        <v>12985928.91</v>
      </c>
      <c r="U24" s="428">
        <v>14296904.35</v>
      </c>
      <c r="V24" s="428">
        <v>12405360.27</v>
      </c>
      <c r="W24" s="428">
        <v>10651739.34</v>
      </c>
      <c r="X24" s="428">
        <v>45376020.68</v>
      </c>
      <c r="Y24" s="428">
        <v>12266045.460000001</v>
      </c>
      <c r="Z24" s="428">
        <v>25186798.289999999</v>
      </c>
      <c r="AA24" s="428">
        <v>46381121.270000003</v>
      </c>
      <c r="AB24" s="428">
        <v>2455827.34</v>
      </c>
      <c r="AC24" s="428">
        <v>11370498.210000001</v>
      </c>
      <c r="AD24" s="428">
        <v>5667329.5099999998</v>
      </c>
      <c r="AE24" s="428">
        <v>3879996.55</v>
      </c>
      <c r="AF24" s="428">
        <v>14634517.810000001</v>
      </c>
      <c r="AG24" s="428">
        <v>6793558.8799999999</v>
      </c>
      <c r="AH24" s="428">
        <v>1098208.21</v>
      </c>
      <c r="AI24" s="428">
        <v>2304291.0299999998</v>
      </c>
      <c r="AJ24" s="428">
        <v>2243384.1800000002</v>
      </c>
      <c r="AK24" s="428">
        <v>13539459.33</v>
      </c>
      <c r="AL24" s="428">
        <v>1338345.8500000001</v>
      </c>
      <c r="AM24" s="428">
        <v>5177814.0199999996</v>
      </c>
      <c r="AN24" s="428">
        <v>1619283.99</v>
      </c>
      <c r="AO24" s="428">
        <v>2245754.4900000002</v>
      </c>
      <c r="AP24" s="428">
        <v>15405402.15</v>
      </c>
      <c r="AQ24" s="428">
        <v>6987831.96</v>
      </c>
      <c r="AR24" s="428">
        <v>9770946.8900000006</v>
      </c>
      <c r="AS24" s="428">
        <v>2958044.96</v>
      </c>
      <c r="AT24" s="428">
        <v>3474295.15</v>
      </c>
      <c r="AU24" s="428">
        <v>3209907.52</v>
      </c>
      <c r="AV24" s="428">
        <v>13198061.630000001</v>
      </c>
      <c r="AW24" s="428">
        <v>4544299.78</v>
      </c>
      <c r="AX24" s="428">
        <v>11939475.949999999</v>
      </c>
      <c r="AY24" s="428">
        <v>6414679.2400000002</v>
      </c>
      <c r="AZ24" s="428">
        <v>10108839.779999999</v>
      </c>
      <c r="BA24" s="428">
        <v>5630366.5099999998</v>
      </c>
      <c r="BB24" s="428">
        <v>8528795.7599999998</v>
      </c>
      <c r="BC24" s="428">
        <v>4074043.34</v>
      </c>
      <c r="BD24" s="428">
        <v>12739446.939999999</v>
      </c>
      <c r="BE24" s="428">
        <v>52313735.149999999</v>
      </c>
      <c r="BF24" s="428">
        <v>4206539.43</v>
      </c>
      <c r="BG24" s="428">
        <v>8992703.9100000001</v>
      </c>
      <c r="BH24" s="428">
        <v>4315081.53</v>
      </c>
      <c r="BI24" s="428">
        <v>7600288.6900000004</v>
      </c>
      <c r="BJ24" s="424"/>
      <c r="BK24" s="428">
        <v>699775992.26999998</v>
      </c>
      <c r="BL24" s="428"/>
      <c r="BM24" s="428">
        <f t="shared" ref="BM24:BX24" si="7">SUM(BM9:BM20)</f>
        <v>11827974.99</v>
      </c>
      <c r="BN24" s="428">
        <f t="shared" si="7"/>
        <v>18781.5</v>
      </c>
      <c r="BO24" s="428">
        <f t="shared" si="7"/>
        <v>939275.51</v>
      </c>
      <c r="BP24" s="428">
        <f t="shared" si="7"/>
        <v>0</v>
      </c>
      <c r="BQ24" s="428">
        <f t="shared" si="7"/>
        <v>0</v>
      </c>
      <c r="BR24" s="428">
        <f t="shared" si="7"/>
        <v>0</v>
      </c>
      <c r="BS24" s="428">
        <f t="shared" si="7"/>
        <v>-777817.76</v>
      </c>
      <c r="BT24" s="428">
        <f t="shared" si="7"/>
        <v>0</v>
      </c>
      <c r="BU24" s="428"/>
      <c r="BV24" s="428"/>
      <c r="BW24" s="428"/>
      <c r="BX24" s="428">
        <f t="shared" si="7"/>
        <v>12008214.24</v>
      </c>
      <c r="BY24" s="428">
        <f>SUM(BY9:BY23)</f>
        <v>711784206.50999999</v>
      </c>
      <c r="BZ24" s="918">
        <f>SUM(BZ9:BZ23)</f>
        <v>711784206.50999999</v>
      </c>
      <c r="CA24" s="26">
        <f t="shared" si="2"/>
        <v>0</v>
      </c>
      <c r="CB24" s="20"/>
    </row>
    <row r="25" spans="1:87">
      <c r="A25" s="422"/>
      <c r="B25" s="5"/>
      <c r="C25" s="5"/>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352"/>
      <c r="BL25" s="352"/>
      <c r="BX25" s="431"/>
      <c r="BY25" s="431"/>
      <c r="CB25" s="20"/>
    </row>
    <row r="26" spans="1:87">
      <c r="A26" s="422"/>
      <c r="B26" s="7" t="s">
        <v>197</v>
      </c>
      <c r="C26" s="418"/>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352"/>
      <c r="BL26" s="352"/>
      <c r="BX26" s="431"/>
      <c r="BY26" s="431"/>
      <c r="CB26" s="20"/>
    </row>
    <row r="27" spans="1:87">
      <c r="A27" s="422">
        <v>1270</v>
      </c>
      <c r="B27" s="6" t="s">
        <v>1886</v>
      </c>
      <c r="C27" s="418"/>
      <c r="D27" s="424">
        <v>0</v>
      </c>
      <c r="E27" s="424">
        <v>21565.119999999999</v>
      </c>
      <c r="F27" s="424">
        <v>0</v>
      </c>
      <c r="G27" s="424">
        <v>1310561.3400000001</v>
      </c>
      <c r="H27" s="424">
        <v>10449.799999999999</v>
      </c>
      <c r="I27" s="424">
        <v>1849161.21</v>
      </c>
      <c r="J27" s="424">
        <v>15066545.550000001</v>
      </c>
      <c r="K27" s="424">
        <v>558568</v>
      </c>
      <c r="L27" s="424">
        <v>120529.06</v>
      </c>
      <c r="M27" s="424">
        <v>1384655.81</v>
      </c>
      <c r="N27" s="424">
        <v>1441806.28</v>
      </c>
      <c r="O27" s="424">
        <v>117798.9</v>
      </c>
      <c r="P27" s="424">
        <v>0</v>
      </c>
      <c r="Q27" s="424">
        <v>16996.23</v>
      </c>
      <c r="R27" s="424">
        <v>9558222.2899999991</v>
      </c>
      <c r="S27" s="424">
        <v>1199435.3600000001</v>
      </c>
      <c r="T27" s="424">
        <v>2244384.0299999998</v>
      </c>
      <c r="U27" s="424">
        <v>17453244.640000001</v>
      </c>
      <c r="V27" s="424">
        <v>0</v>
      </c>
      <c r="W27" s="424">
        <v>0</v>
      </c>
      <c r="X27" s="424">
        <v>23661970.870000001</v>
      </c>
      <c r="Y27" s="424">
        <v>5599008.0199999996</v>
      </c>
      <c r="Z27" s="424">
        <v>842881.32</v>
      </c>
      <c r="AA27" s="424">
        <v>4950984.79</v>
      </c>
      <c r="AB27" s="424">
        <v>45384.78</v>
      </c>
      <c r="AC27" s="424">
        <v>1097226.06</v>
      </c>
      <c r="AD27" s="424">
        <v>272981.18</v>
      </c>
      <c r="AE27" s="424">
        <v>9785023.2799999993</v>
      </c>
      <c r="AF27" s="424">
        <v>5730238.5899999999</v>
      </c>
      <c r="AG27" s="424">
        <v>11469606.949999999</v>
      </c>
      <c r="AH27" s="424">
        <v>328077.06</v>
      </c>
      <c r="AI27" s="424">
        <v>136964.93</v>
      </c>
      <c r="AJ27" s="424">
        <v>496358.77</v>
      </c>
      <c r="AK27" s="424">
        <v>7355366.9400000004</v>
      </c>
      <c r="AL27" s="424">
        <v>56609.16</v>
      </c>
      <c r="AM27" s="424">
        <v>353885.21</v>
      </c>
      <c r="AN27" s="424">
        <v>177948.36</v>
      </c>
      <c r="AO27" s="424">
        <v>0</v>
      </c>
      <c r="AP27" s="424">
        <v>369830.25</v>
      </c>
      <c r="AQ27" s="424">
        <v>890524.98</v>
      </c>
      <c r="AR27" s="424">
        <v>0</v>
      </c>
      <c r="AS27" s="424">
        <v>0</v>
      </c>
      <c r="AT27" s="424">
        <v>13071484.529999999</v>
      </c>
      <c r="AU27" s="424">
        <v>4981264.75</v>
      </c>
      <c r="AV27" s="424">
        <v>1712802.4</v>
      </c>
      <c r="AW27" s="424">
        <v>0</v>
      </c>
      <c r="AX27" s="424">
        <v>155426.78</v>
      </c>
      <c r="AY27" s="424">
        <v>14054901.48</v>
      </c>
      <c r="AZ27" s="424">
        <v>2891261.41</v>
      </c>
      <c r="BA27" s="424">
        <v>0</v>
      </c>
      <c r="BB27" s="424">
        <v>0</v>
      </c>
      <c r="BC27" s="424">
        <v>18000</v>
      </c>
      <c r="BD27" s="424">
        <v>0</v>
      </c>
      <c r="BE27" s="424">
        <v>0</v>
      </c>
      <c r="BF27" s="424">
        <v>317295.75</v>
      </c>
      <c r="BG27" s="424">
        <v>9608482.3100000005</v>
      </c>
      <c r="BH27" s="424">
        <v>363028.75</v>
      </c>
      <c r="BI27" s="424">
        <v>978461.33</v>
      </c>
      <c r="BJ27" s="424"/>
      <c r="BK27" s="352">
        <v>174127204.61000001</v>
      </c>
      <c r="BL27" s="352"/>
      <c r="BM27" s="352"/>
      <c r="BN27" s="352" t="s">
        <v>146</v>
      </c>
      <c r="BO27" s="352" t="s">
        <v>146</v>
      </c>
      <c r="BP27" s="352"/>
      <c r="BQ27" s="352"/>
      <c r="BR27" s="352"/>
      <c r="BS27" s="352"/>
      <c r="BT27" s="352"/>
      <c r="BU27" s="352"/>
      <c r="BV27" s="352"/>
      <c r="BW27" s="352"/>
      <c r="BX27" s="431">
        <f t="shared" ref="BX27:BX38" si="8">SUM(BM27:BT27)</f>
        <v>0</v>
      </c>
      <c r="BY27" s="431">
        <f>BK27+BX27</f>
        <v>174127204.61000001</v>
      </c>
      <c r="BZ27" s="917">
        <v>174127204.61000001</v>
      </c>
      <c r="CA27" s="26">
        <f t="shared" ref="CA27:CA40" si="9">BY27-BZ27</f>
        <v>0</v>
      </c>
      <c r="CB27" s="20"/>
    </row>
    <row r="28" spans="1:87">
      <c r="A28" s="422">
        <v>1340</v>
      </c>
      <c r="B28" s="5" t="s">
        <v>451</v>
      </c>
      <c r="C28" s="418"/>
      <c r="D28" s="424">
        <v>0</v>
      </c>
      <c r="E28" s="424">
        <v>0</v>
      </c>
      <c r="F28" s="424">
        <v>78501.17</v>
      </c>
      <c r="G28" s="424">
        <v>0</v>
      </c>
      <c r="H28" s="424">
        <v>0</v>
      </c>
      <c r="I28" s="424">
        <v>0</v>
      </c>
      <c r="J28" s="424">
        <v>0</v>
      </c>
      <c r="K28" s="424">
        <v>0</v>
      </c>
      <c r="L28" s="424">
        <v>419343.19</v>
      </c>
      <c r="M28" s="424">
        <v>0</v>
      </c>
      <c r="N28" s="424">
        <v>0</v>
      </c>
      <c r="O28" s="424">
        <v>351900.73</v>
      </c>
      <c r="P28" s="424">
        <v>0</v>
      </c>
      <c r="Q28" s="424">
        <v>0</v>
      </c>
      <c r="R28" s="424">
        <v>0</v>
      </c>
      <c r="S28" s="424">
        <v>0</v>
      </c>
      <c r="T28" s="424">
        <v>0</v>
      </c>
      <c r="U28" s="424">
        <v>0</v>
      </c>
      <c r="V28" s="424">
        <v>0</v>
      </c>
      <c r="W28" s="424">
        <v>0</v>
      </c>
      <c r="X28" s="424">
        <v>0</v>
      </c>
      <c r="Y28" s="424">
        <v>63749.58</v>
      </c>
      <c r="Z28" s="424">
        <v>1366392.73</v>
      </c>
      <c r="AA28" s="424">
        <v>0</v>
      </c>
      <c r="AB28" s="424">
        <v>0</v>
      </c>
      <c r="AC28" s="424">
        <v>0</v>
      </c>
      <c r="AD28" s="424">
        <v>0</v>
      </c>
      <c r="AE28" s="424">
        <v>77308.039999999994</v>
      </c>
      <c r="AF28" s="424">
        <v>0</v>
      </c>
      <c r="AG28" s="424">
        <v>0</v>
      </c>
      <c r="AH28" s="424">
        <v>0</v>
      </c>
      <c r="AI28" s="424">
        <v>0</v>
      </c>
      <c r="AJ28" s="424">
        <v>0</v>
      </c>
      <c r="AK28" s="424">
        <v>0</v>
      </c>
      <c r="AL28" s="424">
        <v>38908.800000000003</v>
      </c>
      <c r="AM28" s="424">
        <v>0</v>
      </c>
      <c r="AN28" s="424">
        <v>266860.53000000003</v>
      </c>
      <c r="AO28" s="424">
        <v>0</v>
      </c>
      <c r="AP28" s="424">
        <v>0</v>
      </c>
      <c r="AQ28" s="424">
        <v>16249.59</v>
      </c>
      <c r="AR28" s="424">
        <v>0</v>
      </c>
      <c r="AS28" s="424">
        <v>0</v>
      </c>
      <c r="AT28" s="424">
        <v>0</v>
      </c>
      <c r="AU28" s="424">
        <v>0</v>
      </c>
      <c r="AV28" s="424">
        <v>0</v>
      </c>
      <c r="AW28" s="424">
        <v>0</v>
      </c>
      <c r="AX28" s="424">
        <v>0</v>
      </c>
      <c r="AY28" s="424">
        <v>0</v>
      </c>
      <c r="AZ28" s="424">
        <v>0</v>
      </c>
      <c r="BA28" s="424">
        <v>0</v>
      </c>
      <c r="BB28" s="424">
        <v>0</v>
      </c>
      <c r="BC28" s="424">
        <v>0</v>
      </c>
      <c r="BD28" s="424">
        <v>0</v>
      </c>
      <c r="BE28" s="424">
        <v>5881.51</v>
      </c>
      <c r="BF28" s="424">
        <v>500000</v>
      </c>
      <c r="BG28" s="424">
        <v>0</v>
      </c>
      <c r="BH28" s="424">
        <v>0</v>
      </c>
      <c r="BI28" s="424">
        <v>0</v>
      </c>
      <c r="BJ28" s="424"/>
      <c r="BK28" s="352">
        <v>3185095.87</v>
      </c>
      <c r="BL28" s="352"/>
      <c r="BM28" s="352"/>
      <c r="BN28" s="352"/>
      <c r="BO28" s="352"/>
      <c r="BP28" s="352"/>
      <c r="BQ28" s="352"/>
      <c r="BR28" s="352"/>
      <c r="BS28" s="352"/>
      <c r="BT28" s="352"/>
      <c r="BU28" s="352"/>
      <c r="BV28" s="352"/>
      <c r="BW28" s="352"/>
      <c r="BX28" s="431">
        <f t="shared" si="8"/>
        <v>0</v>
      </c>
      <c r="BY28" s="431">
        <f t="shared" ref="BY28:BY39" si="10">BK28+BX28</f>
        <v>3185095.87</v>
      </c>
      <c r="BZ28" s="917">
        <v>3185095.87</v>
      </c>
      <c r="CA28" s="26">
        <f t="shared" si="9"/>
        <v>0</v>
      </c>
      <c r="CB28" s="20"/>
      <c r="CC28" s="1"/>
      <c r="CD28" s="1"/>
      <c r="CE28" s="1"/>
      <c r="CF28" s="1"/>
      <c r="CG28" s="1"/>
      <c r="CH28" s="1"/>
      <c r="CI28" s="1"/>
    </row>
    <row r="29" spans="1:87">
      <c r="A29" s="422">
        <v>1390</v>
      </c>
      <c r="B29" s="5" t="s">
        <v>198</v>
      </c>
      <c r="C29" s="5"/>
      <c r="D29" s="424">
        <v>0</v>
      </c>
      <c r="E29" s="424">
        <v>1500000</v>
      </c>
      <c r="F29" s="424">
        <v>948000</v>
      </c>
      <c r="G29" s="424">
        <v>18881.5</v>
      </c>
      <c r="H29" s="424">
        <v>0</v>
      </c>
      <c r="I29" s="424">
        <v>0</v>
      </c>
      <c r="J29" s="424">
        <v>24684</v>
      </c>
      <c r="K29" s="424">
        <v>0</v>
      </c>
      <c r="L29" s="424">
        <v>0</v>
      </c>
      <c r="M29" s="424">
        <v>0</v>
      </c>
      <c r="N29" s="424">
        <v>0</v>
      </c>
      <c r="O29" s="424">
        <v>0</v>
      </c>
      <c r="P29" s="424">
        <v>0</v>
      </c>
      <c r="Q29" s="424">
        <v>2900045.18</v>
      </c>
      <c r="R29" s="424">
        <v>14350</v>
      </c>
      <c r="S29" s="424">
        <v>0</v>
      </c>
      <c r="T29" s="424">
        <v>2660</v>
      </c>
      <c r="U29" s="424">
        <v>0</v>
      </c>
      <c r="V29" s="424">
        <v>0</v>
      </c>
      <c r="W29" s="424">
        <v>549558.13</v>
      </c>
      <c r="X29" s="424">
        <v>10712</v>
      </c>
      <c r="Y29" s="424">
        <v>0</v>
      </c>
      <c r="Z29" s="424">
        <v>26003.919999999998</v>
      </c>
      <c r="AA29" s="424">
        <v>1191981.56</v>
      </c>
      <c r="AB29" s="424">
        <v>0</v>
      </c>
      <c r="AC29" s="424">
        <v>12650</v>
      </c>
      <c r="AD29" s="424">
        <v>9107.19</v>
      </c>
      <c r="AE29" s="424">
        <v>0</v>
      </c>
      <c r="AF29" s="424">
        <v>0</v>
      </c>
      <c r="AG29" s="424">
        <v>0</v>
      </c>
      <c r="AH29" s="424">
        <v>0</v>
      </c>
      <c r="AI29" s="424">
        <v>0</v>
      </c>
      <c r="AJ29" s="424">
        <v>16100</v>
      </c>
      <c r="AK29" s="424">
        <v>0</v>
      </c>
      <c r="AL29" s="424">
        <v>0</v>
      </c>
      <c r="AM29" s="424">
        <v>1800000</v>
      </c>
      <c r="AN29" s="424">
        <v>0</v>
      </c>
      <c r="AO29" s="424">
        <v>1209308.1399999999</v>
      </c>
      <c r="AP29" s="424">
        <v>0</v>
      </c>
      <c r="AQ29" s="424">
        <v>0</v>
      </c>
      <c r="AR29" s="424">
        <v>0</v>
      </c>
      <c r="AS29" s="424">
        <v>0</v>
      </c>
      <c r="AT29" s="424">
        <v>41969.05</v>
      </c>
      <c r="AU29" s="424">
        <v>0</v>
      </c>
      <c r="AV29" s="424">
        <v>88992.99</v>
      </c>
      <c r="AW29" s="424">
        <v>0</v>
      </c>
      <c r="AX29" s="424">
        <v>5000</v>
      </c>
      <c r="AY29" s="424">
        <v>0.89</v>
      </c>
      <c r="AZ29" s="424">
        <v>912.21</v>
      </c>
      <c r="BA29" s="424">
        <v>0</v>
      </c>
      <c r="BB29" s="424">
        <v>0</v>
      </c>
      <c r="BC29" s="424">
        <v>0</v>
      </c>
      <c r="BD29" s="424">
        <v>0</v>
      </c>
      <c r="BE29" s="424">
        <v>0</v>
      </c>
      <c r="BF29" s="424">
        <v>2287340</v>
      </c>
      <c r="BG29" s="424">
        <v>602500</v>
      </c>
      <c r="BH29" s="424">
        <v>5392</v>
      </c>
      <c r="BI29" s="424">
        <v>0</v>
      </c>
      <c r="BJ29" s="426"/>
      <c r="BK29" s="352">
        <v>13266148.76</v>
      </c>
      <c r="BL29" s="352"/>
      <c r="BM29" s="426"/>
      <c r="BN29" s="352">
        <v>-18781.5</v>
      </c>
      <c r="BO29" s="426"/>
      <c r="BP29" s="426" t="s">
        <v>146</v>
      </c>
      <c r="BQ29" s="426" t="s">
        <v>146</v>
      </c>
      <c r="BR29" s="426"/>
      <c r="BS29" s="426"/>
      <c r="BT29" s="426"/>
      <c r="BU29" s="426"/>
      <c r="BV29" s="426"/>
      <c r="BW29" s="426"/>
      <c r="BX29" s="431">
        <f t="shared" si="8"/>
        <v>-18781.5</v>
      </c>
      <c r="BY29" s="431">
        <f>BK29+BX29</f>
        <v>13247367.26</v>
      </c>
      <c r="BZ29" s="917">
        <v>13247367.26</v>
      </c>
      <c r="CA29" s="26">
        <f t="shared" si="9"/>
        <v>0</v>
      </c>
      <c r="CB29" s="20"/>
      <c r="CC29" s="1"/>
      <c r="CD29" s="1"/>
      <c r="CE29" s="1"/>
      <c r="CF29" s="1"/>
      <c r="CG29" s="1"/>
      <c r="CH29" s="1"/>
      <c r="CI29" s="1"/>
    </row>
    <row r="30" spans="1:87">
      <c r="A30" s="422">
        <v>1395</v>
      </c>
      <c r="B30" s="5" t="s">
        <v>1660</v>
      </c>
      <c r="C30" s="5"/>
      <c r="D30" s="424">
        <v>0</v>
      </c>
      <c r="E30" s="424">
        <v>0</v>
      </c>
      <c r="F30" s="424">
        <v>0</v>
      </c>
      <c r="G30" s="424">
        <v>0</v>
      </c>
      <c r="H30" s="424">
        <v>0</v>
      </c>
      <c r="I30" s="424">
        <v>0</v>
      </c>
      <c r="J30" s="424">
        <v>0</v>
      </c>
      <c r="K30" s="424">
        <v>0</v>
      </c>
      <c r="L30" s="424">
        <v>0</v>
      </c>
      <c r="M30" s="424">
        <v>0</v>
      </c>
      <c r="N30" s="424">
        <v>0</v>
      </c>
      <c r="O30" s="424">
        <v>0</v>
      </c>
      <c r="P30" s="424">
        <v>0</v>
      </c>
      <c r="Q30" s="424">
        <v>0</v>
      </c>
      <c r="R30" s="424">
        <v>0</v>
      </c>
      <c r="S30" s="424">
        <v>0</v>
      </c>
      <c r="T30" s="424">
        <v>0</v>
      </c>
      <c r="U30" s="424">
        <v>1000000</v>
      </c>
      <c r="V30" s="424">
        <v>0</v>
      </c>
      <c r="W30" s="424">
        <v>0</v>
      </c>
      <c r="X30" s="424">
        <v>939275.51</v>
      </c>
      <c r="Y30" s="424">
        <v>0</v>
      </c>
      <c r="Z30" s="424">
        <v>0</v>
      </c>
      <c r="AA30" s="424">
        <v>0</v>
      </c>
      <c r="AB30" s="424">
        <v>0</v>
      </c>
      <c r="AC30" s="424">
        <v>0</v>
      </c>
      <c r="AD30" s="424">
        <v>0</v>
      </c>
      <c r="AE30" s="424">
        <v>0</v>
      </c>
      <c r="AF30" s="424">
        <v>0</v>
      </c>
      <c r="AG30" s="424">
        <v>0</v>
      </c>
      <c r="AH30" s="424">
        <v>0</v>
      </c>
      <c r="AI30" s="424">
        <v>0</v>
      </c>
      <c r="AJ30" s="424">
        <v>0</v>
      </c>
      <c r="AK30" s="424">
        <v>0</v>
      </c>
      <c r="AL30" s="424">
        <v>0</v>
      </c>
      <c r="AM30" s="424">
        <v>0</v>
      </c>
      <c r="AN30" s="424">
        <v>0</v>
      </c>
      <c r="AO30" s="424">
        <v>0</v>
      </c>
      <c r="AP30" s="424">
        <v>0</v>
      </c>
      <c r="AQ30" s="424">
        <v>0</v>
      </c>
      <c r="AR30" s="424">
        <v>0</v>
      </c>
      <c r="AS30" s="424">
        <v>0</v>
      </c>
      <c r="AT30" s="424">
        <v>0</v>
      </c>
      <c r="AU30" s="424">
        <v>0</v>
      </c>
      <c r="AV30" s="424">
        <v>0</v>
      </c>
      <c r="AW30" s="424">
        <v>0</v>
      </c>
      <c r="AX30" s="424">
        <v>0</v>
      </c>
      <c r="AY30" s="424">
        <v>0</v>
      </c>
      <c r="AZ30" s="424">
        <v>0</v>
      </c>
      <c r="BA30" s="424">
        <v>0</v>
      </c>
      <c r="BB30" s="424">
        <v>0</v>
      </c>
      <c r="BC30" s="424">
        <v>0</v>
      </c>
      <c r="BD30" s="424">
        <v>0</v>
      </c>
      <c r="BE30" s="424">
        <v>0</v>
      </c>
      <c r="BF30" s="424">
        <v>0</v>
      </c>
      <c r="BG30" s="424">
        <v>1104375</v>
      </c>
      <c r="BH30" s="424">
        <v>0</v>
      </c>
      <c r="BI30" s="424">
        <v>0</v>
      </c>
      <c r="BJ30" s="426"/>
      <c r="BK30" s="352">
        <v>3043650.51</v>
      </c>
      <c r="BL30" s="352"/>
      <c r="BM30" s="426"/>
      <c r="BN30" s="426"/>
      <c r="BO30" s="352">
        <v>-939275.51</v>
      </c>
      <c r="BP30" s="426"/>
      <c r="BQ30" s="426" t="s">
        <v>146</v>
      </c>
      <c r="BR30" s="426"/>
      <c r="BS30" s="426"/>
      <c r="BT30" s="426"/>
      <c r="BU30" s="426"/>
      <c r="BV30" s="426"/>
      <c r="BW30" s="426"/>
      <c r="BX30" s="431">
        <f t="shared" si="8"/>
        <v>-939275.51</v>
      </c>
      <c r="BY30" s="431">
        <f t="shared" si="10"/>
        <v>2104375</v>
      </c>
      <c r="BZ30" s="917">
        <v>2104375</v>
      </c>
      <c r="CA30" s="26">
        <f t="shared" si="9"/>
        <v>0</v>
      </c>
      <c r="CB30" s="20"/>
      <c r="CC30" s="1"/>
      <c r="CD30" s="1"/>
      <c r="CE30" s="1"/>
      <c r="CF30" s="1"/>
      <c r="CG30" s="1"/>
      <c r="CH30" s="1"/>
      <c r="CI30" s="1"/>
    </row>
    <row r="31" spans="1:87">
      <c r="A31" s="422">
        <v>1410</v>
      </c>
      <c r="B31" s="5" t="s">
        <v>200</v>
      </c>
      <c r="C31" s="5"/>
      <c r="D31" s="424">
        <v>0</v>
      </c>
      <c r="E31" s="424">
        <v>0</v>
      </c>
      <c r="F31" s="424">
        <v>0</v>
      </c>
      <c r="G31" s="424">
        <v>2970528.61</v>
      </c>
      <c r="H31" s="424">
        <v>0</v>
      </c>
      <c r="I31" s="424">
        <v>0</v>
      </c>
      <c r="J31" s="424">
        <v>0</v>
      </c>
      <c r="K31" s="424">
        <v>0</v>
      </c>
      <c r="L31" s="424">
        <v>0</v>
      </c>
      <c r="M31" s="424">
        <v>0</v>
      </c>
      <c r="N31" s="424">
        <v>0</v>
      </c>
      <c r="O31" s="424">
        <v>0</v>
      </c>
      <c r="P31" s="424">
        <v>0</v>
      </c>
      <c r="Q31" s="424">
        <v>0</v>
      </c>
      <c r="R31" s="424">
        <v>5159161</v>
      </c>
      <c r="S31" s="424">
        <v>0</v>
      </c>
      <c r="T31" s="424">
        <v>2650457.7999999998</v>
      </c>
      <c r="U31" s="424">
        <v>0</v>
      </c>
      <c r="V31" s="424">
        <v>0</v>
      </c>
      <c r="W31" s="424">
        <v>0</v>
      </c>
      <c r="X31" s="424">
        <v>0</v>
      </c>
      <c r="Y31" s="424">
        <v>0</v>
      </c>
      <c r="Z31" s="424">
        <v>6205528.7000000002</v>
      </c>
      <c r="AA31" s="424">
        <v>0</v>
      </c>
      <c r="AB31" s="424">
        <v>1731810.06</v>
      </c>
      <c r="AC31" s="424">
        <v>9998846.5999999996</v>
      </c>
      <c r="AD31" s="424">
        <v>14897633.32</v>
      </c>
      <c r="AE31" s="424">
        <v>0</v>
      </c>
      <c r="AF31" s="424">
        <v>0</v>
      </c>
      <c r="AG31" s="424">
        <v>0</v>
      </c>
      <c r="AH31" s="424">
        <v>0</v>
      </c>
      <c r="AI31" s="424">
        <v>0</v>
      </c>
      <c r="AJ31" s="424">
        <v>351743.47</v>
      </c>
      <c r="AK31" s="424">
        <v>5377083.5499999998</v>
      </c>
      <c r="AL31" s="424">
        <v>0</v>
      </c>
      <c r="AM31" s="424">
        <v>10623.82</v>
      </c>
      <c r="AN31" s="424">
        <v>497976.85</v>
      </c>
      <c r="AO31" s="424">
        <v>0</v>
      </c>
      <c r="AP31" s="424">
        <v>0</v>
      </c>
      <c r="AQ31" s="424">
        <v>0</v>
      </c>
      <c r="AR31" s="424">
        <v>0</v>
      </c>
      <c r="AS31" s="424">
        <v>0</v>
      </c>
      <c r="AT31" s="424">
        <v>0</v>
      </c>
      <c r="AU31" s="424">
        <v>0</v>
      </c>
      <c r="AV31" s="424">
        <v>156060.53</v>
      </c>
      <c r="AW31" s="424">
        <v>0</v>
      </c>
      <c r="AX31" s="424">
        <v>39541471.229999997</v>
      </c>
      <c r="AY31" s="424">
        <v>455759.19</v>
      </c>
      <c r="AZ31" s="424">
        <v>0</v>
      </c>
      <c r="BA31" s="424">
        <v>0</v>
      </c>
      <c r="BB31" s="424">
        <v>0</v>
      </c>
      <c r="BC31" s="424">
        <v>0</v>
      </c>
      <c r="BD31" s="424">
        <v>0</v>
      </c>
      <c r="BE31" s="424">
        <v>0</v>
      </c>
      <c r="BF31" s="424">
        <v>0</v>
      </c>
      <c r="BG31" s="424">
        <v>788899.69</v>
      </c>
      <c r="BH31" s="424">
        <v>5138705.82</v>
      </c>
      <c r="BI31" s="424">
        <v>0</v>
      </c>
      <c r="BJ31" s="426"/>
      <c r="BK31" s="352">
        <v>95932290.239999995</v>
      </c>
      <c r="BL31" s="352"/>
      <c r="BM31" s="426"/>
      <c r="BN31" s="426"/>
      <c r="BO31" s="426"/>
      <c r="BP31" s="426"/>
      <c r="BQ31" s="426"/>
      <c r="BR31" s="426"/>
      <c r="BS31" s="426"/>
      <c r="BT31" s="426"/>
      <c r="BU31" s="426"/>
      <c r="BV31" s="426"/>
      <c r="BW31" s="426"/>
      <c r="BX31" s="431">
        <f t="shared" si="8"/>
        <v>0</v>
      </c>
      <c r="BY31" s="431">
        <f t="shared" si="10"/>
        <v>95932290.239999995</v>
      </c>
      <c r="BZ31" s="917">
        <v>95932290.239999995</v>
      </c>
      <c r="CA31" s="26">
        <f t="shared" si="9"/>
        <v>0</v>
      </c>
      <c r="CB31" s="20"/>
      <c r="CC31" s="1"/>
      <c r="CD31" s="1"/>
      <c r="CE31" s="1"/>
      <c r="CF31" s="1"/>
      <c r="CG31" s="1"/>
      <c r="CH31" s="1"/>
      <c r="CI31" s="1"/>
    </row>
    <row r="32" spans="1:87">
      <c r="A32" s="422">
        <v>1300</v>
      </c>
      <c r="B32" s="5" t="s">
        <v>201</v>
      </c>
      <c r="C32" s="5"/>
      <c r="D32" s="424">
        <v>0</v>
      </c>
      <c r="E32" s="424">
        <v>0</v>
      </c>
      <c r="F32" s="424">
        <v>0</v>
      </c>
      <c r="G32" s="424">
        <v>0</v>
      </c>
      <c r="H32" s="424">
        <v>0</v>
      </c>
      <c r="I32" s="424">
        <v>0</v>
      </c>
      <c r="J32" s="424">
        <v>0</v>
      </c>
      <c r="K32" s="424">
        <v>11750230</v>
      </c>
      <c r="L32" s="424">
        <v>0</v>
      </c>
      <c r="M32" s="424">
        <v>0</v>
      </c>
      <c r="N32" s="424">
        <v>0</v>
      </c>
      <c r="O32" s="424">
        <v>0</v>
      </c>
      <c r="P32" s="424">
        <v>0</v>
      </c>
      <c r="Q32" s="424">
        <v>0</v>
      </c>
      <c r="R32" s="424">
        <v>1955452</v>
      </c>
      <c r="S32" s="424">
        <v>0</v>
      </c>
      <c r="T32" s="424">
        <v>0</v>
      </c>
      <c r="U32" s="424">
        <v>0</v>
      </c>
      <c r="V32" s="424">
        <v>0</v>
      </c>
      <c r="W32" s="424">
        <v>0</v>
      </c>
      <c r="X32" s="424">
        <v>0</v>
      </c>
      <c r="Y32" s="424">
        <v>0</v>
      </c>
      <c r="Z32" s="424">
        <v>45315.02</v>
      </c>
      <c r="AA32" s="424">
        <v>0</v>
      </c>
      <c r="AB32" s="424">
        <v>0</v>
      </c>
      <c r="AC32" s="424">
        <v>0</v>
      </c>
      <c r="AD32" s="424">
        <v>0</v>
      </c>
      <c r="AE32" s="424">
        <v>0</v>
      </c>
      <c r="AF32" s="424">
        <v>0</v>
      </c>
      <c r="AG32" s="424">
        <v>0</v>
      </c>
      <c r="AH32" s="424">
        <v>0</v>
      </c>
      <c r="AI32" s="424">
        <v>0</v>
      </c>
      <c r="AJ32" s="424">
        <v>0</v>
      </c>
      <c r="AK32" s="424">
        <v>16043669.039999999</v>
      </c>
      <c r="AL32" s="424">
        <v>0</v>
      </c>
      <c r="AM32" s="424">
        <v>0</v>
      </c>
      <c r="AN32" s="424">
        <v>0</v>
      </c>
      <c r="AO32" s="424">
        <v>0</v>
      </c>
      <c r="AP32" s="424">
        <v>0</v>
      </c>
      <c r="AQ32" s="424">
        <v>0</v>
      </c>
      <c r="AR32" s="424">
        <v>0</v>
      </c>
      <c r="AS32" s="424">
        <v>0</v>
      </c>
      <c r="AT32" s="424">
        <v>0</v>
      </c>
      <c r="AU32" s="424">
        <v>0</v>
      </c>
      <c r="AV32" s="424">
        <v>522020.38</v>
      </c>
      <c r="AW32" s="424">
        <v>95000</v>
      </c>
      <c r="AX32" s="424">
        <v>2128717.6</v>
      </c>
      <c r="AY32" s="424">
        <v>0</v>
      </c>
      <c r="AZ32" s="424">
        <v>0</v>
      </c>
      <c r="BA32" s="424">
        <v>0</v>
      </c>
      <c r="BB32" s="424">
        <v>0</v>
      </c>
      <c r="BC32" s="424">
        <v>0</v>
      </c>
      <c r="BD32" s="424">
        <v>4439009.55</v>
      </c>
      <c r="BE32" s="424">
        <v>0</v>
      </c>
      <c r="BF32" s="424">
        <v>0</v>
      </c>
      <c r="BG32" s="424">
        <v>0</v>
      </c>
      <c r="BH32" s="424">
        <v>150239.91</v>
      </c>
      <c r="BI32" s="424">
        <v>0</v>
      </c>
      <c r="BJ32" s="426"/>
      <c r="BK32" s="352">
        <v>37129653.5</v>
      </c>
      <c r="BL32" s="352"/>
      <c r="BM32" s="426"/>
      <c r="BN32" s="426"/>
      <c r="BO32" s="426"/>
      <c r="BP32" s="426"/>
      <c r="BQ32" s="426"/>
      <c r="BR32" s="426"/>
      <c r="BS32" s="426"/>
      <c r="BT32" s="426"/>
      <c r="BU32" s="426"/>
      <c r="BV32" s="426"/>
      <c r="BW32" s="426"/>
      <c r="BX32" s="431">
        <f t="shared" si="8"/>
        <v>0</v>
      </c>
      <c r="BY32" s="431">
        <f t="shared" si="10"/>
        <v>37129653.5</v>
      </c>
      <c r="BZ32" s="917">
        <v>37129653.5</v>
      </c>
      <c r="CA32" s="26">
        <f t="shared" si="9"/>
        <v>0</v>
      </c>
      <c r="CB32" s="20"/>
      <c r="CC32" s="1"/>
      <c r="CD32" s="1"/>
      <c r="CE32" s="1"/>
      <c r="CF32" s="1"/>
      <c r="CG32" s="1"/>
      <c r="CH32" s="1"/>
      <c r="CI32" s="1"/>
    </row>
    <row r="33" spans="1:87">
      <c r="A33" s="422">
        <v>1400</v>
      </c>
      <c r="B33" s="5" t="s">
        <v>454</v>
      </c>
      <c r="C33" s="5"/>
      <c r="D33" s="424">
        <v>0</v>
      </c>
      <c r="E33" s="424">
        <v>0</v>
      </c>
      <c r="F33" s="424">
        <v>0</v>
      </c>
      <c r="G33" s="424">
        <v>0</v>
      </c>
      <c r="H33" s="424">
        <v>0</v>
      </c>
      <c r="I33" s="424">
        <v>0</v>
      </c>
      <c r="J33" s="424">
        <v>0</v>
      </c>
      <c r="K33" s="424">
        <v>0</v>
      </c>
      <c r="L33" s="424">
        <v>0</v>
      </c>
      <c r="M33" s="424">
        <v>0</v>
      </c>
      <c r="N33" s="424">
        <v>0</v>
      </c>
      <c r="O33" s="424">
        <v>0</v>
      </c>
      <c r="P33" s="424">
        <v>0</v>
      </c>
      <c r="Q33" s="424">
        <v>0</v>
      </c>
      <c r="R33" s="424">
        <v>0</v>
      </c>
      <c r="S33" s="424">
        <v>0</v>
      </c>
      <c r="T33" s="424">
        <v>0</v>
      </c>
      <c r="U33" s="424">
        <v>0</v>
      </c>
      <c r="V33" s="424">
        <v>0</v>
      </c>
      <c r="W33" s="424">
        <v>0</v>
      </c>
      <c r="X33" s="424">
        <v>0</v>
      </c>
      <c r="Y33" s="424">
        <v>0</v>
      </c>
      <c r="Z33" s="424">
        <v>0</v>
      </c>
      <c r="AA33" s="424">
        <v>0</v>
      </c>
      <c r="AB33" s="424">
        <v>0</v>
      </c>
      <c r="AC33" s="424">
        <v>0</v>
      </c>
      <c r="AD33" s="424">
        <v>0</v>
      </c>
      <c r="AE33" s="424">
        <v>0</v>
      </c>
      <c r="AF33" s="424">
        <v>0</v>
      </c>
      <c r="AG33" s="424">
        <v>0</v>
      </c>
      <c r="AH33" s="424">
        <v>0</v>
      </c>
      <c r="AI33" s="424">
        <v>0</v>
      </c>
      <c r="AJ33" s="424">
        <v>0</v>
      </c>
      <c r="AK33" s="424">
        <v>0</v>
      </c>
      <c r="AL33" s="424">
        <v>0</v>
      </c>
      <c r="AM33" s="424">
        <v>0</v>
      </c>
      <c r="AN33" s="424">
        <v>0</v>
      </c>
      <c r="AO33" s="424">
        <v>0</v>
      </c>
      <c r="AP33" s="424">
        <v>0</v>
      </c>
      <c r="AQ33" s="424">
        <v>0</v>
      </c>
      <c r="AR33" s="424">
        <v>0</v>
      </c>
      <c r="AS33" s="424">
        <v>0</v>
      </c>
      <c r="AT33" s="424">
        <v>0</v>
      </c>
      <c r="AU33" s="424">
        <v>0</v>
      </c>
      <c r="AV33" s="424">
        <v>0</v>
      </c>
      <c r="AW33" s="424">
        <v>0</v>
      </c>
      <c r="AX33" s="424">
        <v>0</v>
      </c>
      <c r="AY33" s="424">
        <v>-911.17</v>
      </c>
      <c r="AZ33" s="424">
        <v>0</v>
      </c>
      <c r="BA33" s="424">
        <v>0</v>
      </c>
      <c r="BB33" s="424">
        <v>0</v>
      </c>
      <c r="BC33" s="424">
        <v>0</v>
      </c>
      <c r="BD33" s="424">
        <v>0</v>
      </c>
      <c r="BE33" s="424">
        <v>0</v>
      </c>
      <c r="BF33" s="424">
        <v>0</v>
      </c>
      <c r="BG33" s="424">
        <v>0</v>
      </c>
      <c r="BH33" s="424">
        <v>0</v>
      </c>
      <c r="BI33" s="424">
        <v>0</v>
      </c>
      <c r="BJ33" s="426"/>
      <c r="BK33" s="352">
        <v>-911.17</v>
      </c>
      <c r="BL33" s="352"/>
      <c r="BM33" s="426"/>
      <c r="BN33" s="426"/>
      <c r="BO33" s="426"/>
      <c r="BP33" s="426"/>
      <c r="BQ33" s="426"/>
      <c r="BR33" s="426"/>
      <c r="BS33" s="426"/>
      <c r="BT33" s="426"/>
      <c r="BU33" s="426"/>
      <c r="BV33" s="426"/>
      <c r="BW33" s="426"/>
      <c r="BX33" s="431">
        <f t="shared" si="8"/>
        <v>0</v>
      </c>
      <c r="BY33" s="431">
        <f t="shared" si="10"/>
        <v>-911.17</v>
      </c>
      <c r="BZ33" s="917">
        <v>-911.17</v>
      </c>
      <c r="CA33" s="26">
        <f t="shared" si="9"/>
        <v>0</v>
      </c>
      <c r="CB33" s="20"/>
      <c r="CC33" s="1"/>
      <c r="CD33" s="1"/>
      <c r="CE33" s="1"/>
      <c r="CF33" s="1"/>
      <c r="CG33" s="1"/>
      <c r="CH33" s="1"/>
      <c r="CI33" s="1"/>
    </row>
    <row r="34" spans="1:87">
      <c r="A34" s="422">
        <v>1405</v>
      </c>
      <c r="B34" s="5" t="s">
        <v>191</v>
      </c>
      <c r="C34" s="5"/>
      <c r="D34" s="424">
        <v>0</v>
      </c>
      <c r="E34" s="424">
        <v>0</v>
      </c>
      <c r="F34" s="424">
        <v>466533.12</v>
      </c>
      <c r="G34" s="424">
        <v>0</v>
      </c>
      <c r="H34" s="424">
        <v>0</v>
      </c>
      <c r="I34" s="424">
        <v>0</v>
      </c>
      <c r="J34" s="424">
        <v>0</v>
      </c>
      <c r="K34" s="424">
        <v>0</v>
      </c>
      <c r="L34" s="424">
        <v>0</v>
      </c>
      <c r="M34" s="424">
        <v>0</v>
      </c>
      <c r="N34" s="424">
        <v>0</v>
      </c>
      <c r="O34" s="424">
        <v>0</v>
      </c>
      <c r="P34" s="424">
        <v>1029246.32</v>
      </c>
      <c r="Q34" s="424">
        <v>0</v>
      </c>
      <c r="R34" s="424">
        <v>0</v>
      </c>
      <c r="S34" s="424">
        <v>0</v>
      </c>
      <c r="T34" s="424">
        <v>0</v>
      </c>
      <c r="U34" s="424">
        <v>0</v>
      </c>
      <c r="V34" s="424">
        <v>0</v>
      </c>
      <c r="W34" s="424">
        <v>0</v>
      </c>
      <c r="X34" s="424">
        <v>93525</v>
      </c>
      <c r="Y34" s="424">
        <v>0</v>
      </c>
      <c r="Z34" s="424">
        <v>0</v>
      </c>
      <c r="AA34" s="424">
        <v>0</v>
      </c>
      <c r="AB34" s="424">
        <v>0</v>
      </c>
      <c r="AC34" s="424">
        <v>0</v>
      </c>
      <c r="AD34" s="424">
        <v>0</v>
      </c>
      <c r="AE34" s="424">
        <v>0</v>
      </c>
      <c r="AF34" s="424">
        <v>0</v>
      </c>
      <c r="AG34" s="424">
        <v>0</v>
      </c>
      <c r="AH34" s="424">
        <v>0</v>
      </c>
      <c r="AI34" s="424">
        <v>0</v>
      </c>
      <c r="AJ34" s="424">
        <v>0</v>
      </c>
      <c r="AK34" s="424">
        <v>0</v>
      </c>
      <c r="AL34" s="424">
        <v>0</v>
      </c>
      <c r="AM34" s="424">
        <v>0</v>
      </c>
      <c r="AN34" s="424">
        <v>0</v>
      </c>
      <c r="AO34" s="424">
        <v>0</v>
      </c>
      <c r="AP34" s="424">
        <v>0</v>
      </c>
      <c r="AQ34" s="424">
        <v>0</v>
      </c>
      <c r="AR34" s="424">
        <v>0</v>
      </c>
      <c r="AS34" s="424">
        <v>0</v>
      </c>
      <c r="AT34" s="424">
        <v>0</v>
      </c>
      <c r="AU34" s="424">
        <v>0</v>
      </c>
      <c r="AV34" s="424">
        <v>0</v>
      </c>
      <c r="AW34" s="424">
        <v>0</v>
      </c>
      <c r="AX34" s="424">
        <v>0</v>
      </c>
      <c r="AY34" s="424">
        <v>0</v>
      </c>
      <c r="AZ34" s="424">
        <v>0</v>
      </c>
      <c r="BA34" s="424">
        <v>0</v>
      </c>
      <c r="BB34" s="424">
        <v>0</v>
      </c>
      <c r="BC34" s="424">
        <v>0</v>
      </c>
      <c r="BD34" s="424">
        <v>0</v>
      </c>
      <c r="BE34" s="424">
        <v>0</v>
      </c>
      <c r="BF34" s="424">
        <v>0</v>
      </c>
      <c r="BG34" s="424">
        <v>0</v>
      </c>
      <c r="BH34" s="424">
        <v>0</v>
      </c>
      <c r="BI34" s="424">
        <v>0</v>
      </c>
      <c r="BJ34" s="426"/>
      <c r="BK34" s="352">
        <v>1589304.44</v>
      </c>
      <c r="BL34" s="352"/>
      <c r="BM34" s="426"/>
      <c r="BN34" s="426"/>
      <c r="BO34" s="426"/>
      <c r="BP34" s="426"/>
      <c r="BQ34" s="426"/>
      <c r="BR34" s="426"/>
      <c r="BS34" s="426"/>
      <c r="BT34" s="426"/>
      <c r="BU34" s="426"/>
      <c r="BV34" s="426"/>
      <c r="BW34" s="426"/>
      <c r="BX34" s="431">
        <f t="shared" ref="BX34:BX35" si="11">SUM(BM34:BT34)</f>
        <v>0</v>
      </c>
      <c r="BY34" s="431">
        <f t="shared" ref="BY34:BY35" si="12">BK34+BX34</f>
        <v>1589304.44</v>
      </c>
      <c r="BZ34" s="917">
        <v>1589304.44</v>
      </c>
      <c r="CA34" s="26">
        <f t="shared" si="9"/>
        <v>0</v>
      </c>
      <c r="CB34" s="20"/>
      <c r="CC34" s="1"/>
      <c r="CD34" s="1"/>
      <c r="CE34" s="1"/>
      <c r="CF34" s="1"/>
      <c r="CG34" s="1"/>
      <c r="CH34" s="1"/>
      <c r="CI34" s="1"/>
    </row>
    <row r="35" spans="1:87">
      <c r="A35" s="422">
        <v>1434</v>
      </c>
      <c r="B35" s="5" t="s">
        <v>194</v>
      </c>
      <c r="C35" s="5"/>
      <c r="D35" s="424">
        <v>0</v>
      </c>
      <c r="E35" s="424">
        <v>0</v>
      </c>
      <c r="F35" s="424">
        <v>0</v>
      </c>
      <c r="G35" s="424">
        <v>0</v>
      </c>
      <c r="H35" s="424">
        <v>0</v>
      </c>
      <c r="I35" s="424">
        <v>0</v>
      </c>
      <c r="J35" s="424">
        <v>0</v>
      </c>
      <c r="K35" s="424">
        <v>0</v>
      </c>
      <c r="L35" s="424">
        <v>0</v>
      </c>
      <c r="M35" s="424">
        <v>0</v>
      </c>
      <c r="N35" s="424">
        <v>0</v>
      </c>
      <c r="O35" s="424">
        <v>0</v>
      </c>
      <c r="P35" s="424">
        <v>0</v>
      </c>
      <c r="Q35" s="424">
        <v>0</v>
      </c>
      <c r="R35" s="424">
        <v>0</v>
      </c>
      <c r="S35" s="424">
        <v>0</v>
      </c>
      <c r="T35" s="424">
        <v>0</v>
      </c>
      <c r="U35" s="424">
        <v>0</v>
      </c>
      <c r="V35" s="424">
        <v>0</v>
      </c>
      <c r="W35" s="424">
        <v>0</v>
      </c>
      <c r="X35" s="424">
        <v>0</v>
      </c>
      <c r="Y35" s="424">
        <v>0</v>
      </c>
      <c r="Z35" s="424">
        <v>0</v>
      </c>
      <c r="AA35" s="424">
        <v>0</v>
      </c>
      <c r="AB35" s="424">
        <v>0</v>
      </c>
      <c r="AC35" s="424">
        <v>0</v>
      </c>
      <c r="AD35" s="424">
        <v>0</v>
      </c>
      <c r="AE35" s="424">
        <v>0</v>
      </c>
      <c r="AF35" s="424">
        <v>0</v>
      </c>
      <c r="AG35" s="424">
        <v>0</v>
      </c>
      <c r="AH35" s="424">
        <v>0</v>
      </c>
      <c r="AI35" s="424">
        <v>0</v>
      </c>
      <c r="AJ35" s="424">
        <v>0</v>
      </c>
      <c r="AK35" s="424">
        <v>0</v>
      </c>
      <c r="AL35" s="424">
        <v>0</v>
      </c>
      <c r="AM35" s="424">
        <v>0</v>
      </c>
      <c r="AN35" s="424">
        <v>0</v>
      </c>
      <c r="AO35" s="424">
        <v>0</v>
      </c>
      <c r="AP35" s="424">
        <v>0</v>
      </c>
      <c r="AQ35" s="424">
        <v>0</v>
      </c>
      <c r="AR35" s="424">
        <v>0</v>
      </c>
      <c r="AS35" s="424">
        <v>0</v>
      </c>
      <c r="AT35" s="424">
        <v>0</v>
      </c>
      <c r="AU35" s="424">
        <v>0</v>
      </c>
      <c r="AV35" s="424">
        <v>0</v>
      </c>
      <c r="AW35" s="424">
        <v>0</v>
      </c>
      <c r="AX35" s="424">
        <v>0</v>
      </c>
      <c r="AY35" s="424">
        <v>0</v>
      </c>
      <c r="AZ35" s="424">
        <v>0</v>
      </c>
      <c r="BA35" s="424">
        <v>0</v>
      </c>
      <c r="BB35" s="424">
        <v>0</v>
      </c>
      <c r="BC35" s="424">
        <v>0</v>
      </c>
      <c r="BD35" s="424">
        <v>0</v>
      </c>
      <c r="BE35" s="424">
        <v>0</v>
      </c>
      <c r="BF35" s="424">
        <v>0</v>
      </c>
      <c r="BG35" s="424">
        <v>0</v>
      </c>
      <c r="BH35" s="424">
        <v>0</v>
      </c>
      <c r="BI35" s="424">
        <v>0</v>
      </c>
      <c r="BJ35" s="426"/>
      <c r="BK35" s="352">
        <v>0</v>
      </c>
      <c r="BL35" s="352"/>
      <c r="BM35" s="426"/>
      <c r="BN35" s="426"/>
      <c r="BO35" s="426"/>
      <c r="BP35" s="426"/>
      <c r="BQ35" s="426"/>
      <c r="BR35" s="426"/>
      <c r="BS35" s="426"/>
      <c r="BT35" s="426"/>
      <c r="BU35" s="426"/>
      <c r="BV35" s="426"/>
      <c r="BW35" s="426"/>
      <c r="BX35" s="431">
        <f t="shared" si="11"/>
        <v>0</v>
      </c>
      <c r="BY35" s="431">
        <f t="shared" si="12"/>
        <v>0</v>
      </c>
      <c r="BZ35" s="917">
        <v>0</v>
      </c>
      <c r="CA35" s="26">
        <f t="shared" si="9"/>
        <v>0</v>
      </c>
      <c r="CB35" s="20"/>
      <c r="CC35" s="1"/>
      <c r="CD35" s="1"/>
      <c r="CE35" s="1"/>
      <c r="CF35" s="1"/>
      <c r="CG35" s="1"/>
      <c r="CH35" s="1"/>
      <c r="CI35" s="1"/>
    </row>
    <row r="36" spans="1:87">
      <c r="A36" s="422">
        <v>1433</v>
      </c>
      <c r="B36" s="5" t="s">
        <v>195</v>
      </c>
      <c r="C36" s="5"/>
      <c r="D36" s="424">
        <v>11627</v>
      </c>
      <c r="E36" s="424">
        <v>10032</v>
      </c>
      <c r="F36" s="424">
        <v>21772</v>
      </c>
      <c r="G36" s="424">
        <v>6940</v>
      </c>
      <c r="H36" s="424">
        <v>4115</v>
      </c>
      <c r="I36" s="424">
        <v>9435</v>
      </c>
      <c r="J36" s="424">
        <v>6507</v>
      </c>
      <c r="K36" s="424">
        <v>12316</v>
      </c>
      <c r="L36" s="424">
        <v>27988</v>
      </c>
      <c r="M36" s="424">
        <v>6891</v>
      </c>
      <c r="N36" s="424">
        <v>16746</v>
      </c>
      <c r="O36" s="424">
        <v>21946</v>
      </c>
      <c r="P36" s="424">
        <v>64469</v>
      </c>
      <c r="Q36" s="424">
        <v>8556</v>
      </c>
      <c r="R36" s="424">
        <v>14320</v>
      </c>
      <c r="S36" s="424">
        <v>8007</v>
      </c>
      <c r="T36" s="424">
        <v>10563</v>
      </c>
      <c r="U36" s="424">
        <v>12484</v>
      </c>
      <c r="V36" s="424">
        <v>18029</v>
      </c>
      <c r="W36" s="424">
        <v>6233</v>
      </c>
      <c r="X36" s="424">
        <v>39956</v>
      </c>
      <c r="Y36" s="424">
        <v>27101</v>
      </c>
      <c r="Z36" s="424">
        <v>17559</v>
      </c>
      <c r="AA36" s="424">
        <v>31113</v>
      </c>
      <c r="AB36" s="424">
        <v>5802</v>
      </c>
      <c r="AC36" s="424">
        <v>7120</v>
      </c>
      <c r="AD36" s="424">
        <v>8350</v>
      </c>
      <c r="AE36" s="424">
        <v>5563</v>
      </c>
      <c r="AF36" s="424">
        <v>16920</v>
      </c>
      <c r="AG36" s="424">
        <v>13567</v>
      </c>
      <c r="AH36" s="424">
        <v>3582</v>
      </c>
      <c r="AI36" s="424">
        <v>4912</v>
      </c>
      <c r="AJ36" s="424">
        <v>3754</v>
      </c>
      <c r="AK36" s="424">
        <v>9565</v>
      </c>
      <c r="AL36" s="424">
        <v>4309</v>
      </c>
      <c r="AM36" s="424">
        <v>11163</v>
      </c>
      <c r="AN36" s="424">
        <v>3268</v>
      </c>
      <c r="AO36" s="424">
        <v>6031</v>
      </c>
      <c r="AP36" s="424">
        <v>26192</v>
      </c>
      <c r="AQ36" s="424">
        <v>10335</v>
      </c>
      <c r="AR36" s="424">
        <v>10722</v>
      </c>
      <c r="AS36" s="424">
        <v>2427</v>
      </c>
      <c r="AT36" s="424">
        <v>8500</v>
      </c>
      <c r="AU36" s="424">
        <v>6663</v>
      </c>
      <c r="AV36" s="424">
        <v>20298</v>
      </c>
      <c r="AW36" s="424">
        <v>6233</v>
      </c>
      <c r="AX36" s="424">
        <v>13613</v>
      </c>
      <c r="AY36" s="424">
        <v>7102</v>
      </c>
      <c r="AZ36" s="424">
        <v>8966</v>
      </c>
      <c r="BA36" s="424">
        <v>10099</v>
      </c>
      <c r="BB36" s="424">
        <v>10723</v>
      </c>
      <c r="BC36" s="424">
        <v>4954</v>
      </c>
      <c r="BD36" s="424">
        <v>10225</v>
      </c>
      <c r="BE36" s="424">
        <v>82122</v>
      </c>
      <c r="BF36" s="424">
        <v>13766</v>
      </c>
      <c r="BG36" s="424">
        <v>6770</v>
      </c>
      <c r="BH36" s="424">
        <v>12368</v>
      </c>
      <c r="BI36" s="424">
        <v>6436</v>
      </c>
      <c r="BJ36" s="426"/>
      <c r="BK36" s="352">
        <v>797125</v>
      </c>
      <c r="BL36" s="352"/>
      <c r="BM36" s="426"/>
      <c r="BN36" s="426"/>
      <c r="BO36" s="426"/>
      <c r="BP36" s="426"/>
      <c r="BQ36" s="426"/>
      <c r="BR36" s="426"/>
      <c r="BS36" s="426"/>
      <c r="BT36" s="426"/>
      <c r="BU36" s="426"/>
      <c r="BV36" s="426"/>
      <c r="BW36" s="426"/>
      <c r="BX36" s="431">
        <f t="shared" si="8"/>
        <v>0</v>
      </c>
      <c r="BY36" s="431">
        <f t="shared" si="10"/>
        <v>797125</v>
      </c>
      <c r="BZ36" s="917">
        <v>797125</v>
      </c>
      <c r="CA36" s="26">
        <f t="shared" si="9"/>
        <v>0</v>
      </c>
      <c r="CB36" s="20"/>
      <c r="CC36" s="1"/>
      <c r="CD36" s="1"/>
      <c r="CE36" s="1"/>
      <c r="CF36" s="1"/>
      <c r="CG36" s="1"/>
      <c r="CH36" s="1"/>
      <c r="CI36" s="1"/>
    </row>
    <row r="37" spans="1:87">
      <c r="A37" s="422">
        <v>1470</v>
      </c>
      <c r="B37" s="5" t="s">
        <v>202</v>
      </c>
      <c r="C37" s="5"/>
      <c r="D37" s="424">
        <v>20942769.91</v>
      </c>
      <c r="E37" s="424">
        <v>5291708.88</v>
      </c>
      <c r="F37" s="424">
        <v>16045325.189999999</v>
      </c>
      <c r="G37" s="424">
        <v>653942.42000000004</v>
      </c>
      <c r="H37" s="424">
        <v>78163.55</v>
      </c>
      <c r="I37" s="424">
        <v>2470694.4</v>
      </c>
      <c r="J37" s="424">
        <v>1036964.02</v>
      </c>
      <c r="K37" s="424">
        <v>7415216.9400000004</v>
      </c>
      <c r="L37" s="424">
        <v>17469877.739999998</v>
      </c>
      <c r="M37" s="424">
        <v>6336181.6299999999</v>
      </c>
      <c r="N37" s="424">
        <v>3297344.84</v>
      </c>
      <c r="O37" s="424">
        <v>4346871.3499999996</v>
      </c>
      <c r="P37" s="424">
        <v>35285638.560000002</v>
      </c>
      <c r="Q37" s="424">
        <v>12612232.25</v>
      </c>
      <c r="R37" s="424">
        <v>2205975.54</v>
      </c>
      <c r="S37" s="424">
        <v>1836007.36</v>
      </c>
      <c r="T37" s="424">
        <v>877435.75</v>
      </c>
      <c r="U37" s="424">
        <v>1113035.6599999999</v>
      </c>
      <c r="V37" s="424">
        <v>3246806.54</v>
      </c>
      <c r="W37" s="424">
        <v>2277924.4300000002</v>
      </c>
      <c r="X37" s="424">
        <v>26105682.77</v>
      </c>
      <c r="Y37" s="424">
        <v>8990418.6999999993</v>
      </c>
      <c r="Z37" s="424">
        <v>3173410.43</v>
      </c>
      <c r="AA37" s="424">
        <v>23305257.440000001</v>
      </c>
      <c r="AB37" s="424">
        <v>194800</v>
      </c>
      <c r="AC37" s="424">
        <v>11930043.6</v>
      </c>
      <c r="AD37" s="424">
        <v>1483454.24</v>
      </c>
      <c r="AE37" s="424">
        <v>242111.55</v>
      </c>
      <c r="AF37" s="424">
        <v>17443624.170000002</v>
      </c>
      <c r="AG37" s="424">
        <v>2296338.41</v>
      </c>
      <c r="AH37" s="424">
        <v>189480</v>
      </c>
      <c r="AI37" s="424">
        <v>5948317.1500000004</v>
      </c>
      <c r="AJ37" s="424">
        <v>439872.79</v>
      </c>
      <c r="AK37" s="424">
        <v>4486351.28</v>
      </c>
      <c r="AL37" s="424">
        <v>3474772.89</v>
      </c>
      <c r="AM37" s="424">
        <v>2062905.6</v>
      </c>
      <c r="AN37" s="424">
        <v>4943827.34</v>
      </c>
      <c r="AO37" s="424">
        <v>998920.77</v>
      </c>
      <c r="AP37" s="424">
        <v>14428274.17</v>
      </c>
      <c r="AQ37" s="424">
        <v>1293806.58</v>
      </c>
      <c r="AR37" s="424">
        <v>1422195.77</v>
      </c>
      <c r="AS37" s="424">
        <v>34805</v>
      </c>
      <c r="AT37" s="424">
        <v>1339053.07</v>
      </c>
      <c r="AU37" s="424">
        <v>2174842.29</v>
      </c>
      <c r="AV37" s="424">
        <v>8850329.8699999992</v>
      </c>
      <c r="AW37" s="424">
        <v>5435849.2699999996</v>
      </c>
      <c r="AX37" s="424">
        <v>14928738.59</v>
      </c>
      <c r="AY37" s="424">
        <v>981101.02</v>
      </c>
      <c r="AZ37" s="424">
        <v>23250105.34</v>
      </c>
      <c r="BA37" s="424">
        <v>961855.29</v>
      </c>
      <c r="BB37" s="424">
        <v>932655.27</v>
      </c>
      <c r="BC37" s="424">
        <v>554255.06999999995</v>
      </c>
      <c r="BD37" s="424">
        <v>963221.18</v>
      </c>
      <c r="BE37" s="424">
        <v>99415838.109999999</v>
      </c>
      <c r="BF37" s="424">
        <v>1665707.69</v>
      </c>
      <c r="BG37" s="424">
        <v>3517939.34</v>
      </c>
      <c r="BH37" s="424">
        <v>2667764.86</v>
      </c>
      <c r="BI37" s="424">
        <v>1466291.86</v>
      </c>
      <c r="BJ37" s="426"/>
      <c r="BK37" s="352">
        <v>448834335.73000002</v>
      </c>
      <c r="BL37" s="352"/>
      <c r="BM37" s="426"/>
      <c r="BN37" s="426"/>
      <c r="BO37" s="426"/>
      <c r="BP37" s="426"/>
      <c r="BQ37" s="426"/>
      <c r="BR37" s="426"/>
      <c r="BS37" s="426"/>
      <c r="BT37" s="426"/>
      <c r="BU37" s="426"/>
      <c r="BV37" s="426"/>
      <c r="BW37" s="426"/>
      <c r="BX37" s="431">
        <f t="shared" si="8"/>
        <v>0</v>
      </c>
      <c r="BY37" s="431">
        <f t="shared" si="10"/>
        <v>448834335.73000002</v>
      </c>
      <c r="BZ37" s="917">
        <v>448834335.73000002</v>
      </c>
      <c r="CA37" s="26">
        <f t="shared" si="9"/>
        <v>0</v>
      </c>
      <c r="CB37" s="20"/>
      <c r="CC37" s="1"/>
      <c r="CD37" s="1"/>
      <c r="CE37" s="1"/>
      <c r="CF37" s="1"/>
      <c r="CG37" s="1"/>
      <c r="CH37" s="1"/>
      <c r="CI37" s="1"/>
    </row>
    <row r="38" spans="1:87">
      <c r="A38" s="422">
        <v>1510</v>
      </c>
      <c r="B38" s="5" t="s">
        <v>457</v>
      </c>
      <c r="C38" s="5"/>
      <c r="D38" s="424">
        <v>47305098.560000002</v>
      </c>
      <c r="E38" s="424">
        <v>44861691.549999997</v>
      </c>
      <c r="F38" s="424">
        <v>132660372.5</v>
      </c>
      <c r="G38" s="424">
        <v>20401110.449999999</v>
      </c>
      <c r="H38" s="424">
        <v>14926644.5</v>
      </c>
      <c r="I38" s="424">
        <v>65238559.369999997</v>
      </c>
      <c r="J38" s="424">
        <v>40714991.729999997</v>
      </c>
      <c r="K38" s="424">
        <v>37008371.32</v>
      </c>
      <c r="L38" s="424">
        <v>221484687.66999999</v>
      </c>
      <c r="M38" s="424">
        <v>28333628.170000002</v>
      </c>
      <c r="N38" s="424">
        <v>75691761.680000007</v>
      </c>
      <c r="O38" s="424">
        <v>58123422.789999999</v>
      </c>
      <c r="P38" s="424">
        <v>579312084.87</v>
      </c>
      <c r="Q38" s="424">
        <v>24998792.739999998</v>
      </c>
      <c r="R38" s="424">
        <v>38894233.890000001</v>
      </c>
      <c r="S38" s="424">
        <v>29882491.34</v>
      </c>
      <c r="T38" s="424">
        <v>32523636.52</v>
      </c>
      <c r="U38" s="424">
        <v>40136839.619999997</v>
      </c>
      <c r="V38" s="424">
        <v>66845428.280000001</v>
      </c>
      <c r="W38" s="424">
        <v>34388158.039999999</v>
      </c>
      <c r="X38" s="424">
        <v>82823216</v>
      </c>
      <c r="Y38" s="424">
        <v>113750312.18000001</v>
      </c>
      <c r="Z38" s="424">
        <v>72650252.739999995</v>
      </c>
      <c r="AA38" s="424">
        <v>238839558.06</v>
      </c>
      <c r="AB38" s="424">
        <v>15876026.119999999</v>
      </c>
      <c r="AC38" s="424">
        <v>30728402.370000001</v>
      </c>
      <c r="AD38" s="424">
        <v>25785801.59</v>
      </c>
      <c r="AE38" s="424">
        <v>15199801.9</v>
      </c>
      <c r="AF38" s="424">
        <v>53310638.100000001</v>
      </c>
      <c r="AG38" s="424">
        <v>28172666.899999999</v>
      </c>
      <c r="AH38" s="424">
        <v>8508322.25</v>
      </c>
      <c r="AI38" s="424">
        <v>18160126.239999998</v>
      </c>
      <c r="AJ38" s="424">
        <v>10576578.74</v>
      </c>
      <c r="AK38" s="424">
        <v>34356008.609999999</v>
      </c>
      <c r="AL38" s="424">
        <v>10258356.619999999</v>
      </c>
      <c r="AM38" s="424">
        <v>30831113.469999999</v>
      </c>
      <c r="AN38" s="424">
        <v>6415115.25</v>
      </c>
      <c r="AO38" s="424">
        <v>13545631.640000001</v>
      </c>
      <c r="AP38" s="424">
        <v>90082439.689999998</v>
      </c>
      <c r="AQ38" s="424">
        <v>44631913.810000002</v>
      </c>
      <c r="AR38" s="424">
        <v>26230281.010000002</v>
      </c>
      <c r="AS38" s="424">
        <v>5428233.8099999996</v>
      </c>
      <c r="AT38" s="424">
        <v>27126667.030000001</v>
      </c>
      <c r="AU38" s="424">
        <v>24293035.469999999</v>
      </c>
      <c r="AV38" s="424">
        <v>105254472.36</v>
      </c>
      <c r="AW38" s="424">
        <v>16207796.92</v>
      </c>
      <c r="AX38" s="424">
        <v>49973521.189999998</v>
      </c>
      <c r="AY38" s="424">
        <v>23474244.510000002</v>
      </c>
      <c r="AZ38" s="424">
        <v>27770391.039999999</v>
      </c>
      <c r="BA38" s="424">
        <v>17428853.629999999</v>
      </c>
      <c r="BB38" s="424">
        <v>25984728.98</v>
      </c>
      <c r="BC38" s="424">
        <v>12108500.57</v>
      </c>
      <c r="BD38" s="424">
        <v>30154111.48</v>
      </c>
      <c r="BE38" s="424">
        <v>522201290.69999999</v>
      </c>
      <c r="BF38" s="424">
        <v>35945832.670000002</v>
      </c>
      <c r="BG38" s="424">
        <v>19853465.640000001</v>
      </c>
      <c r="BH38" s="424">
        <v>41268133.299999997</v>
      </c>
      <c r="BI38" s="424">
        <v>11485698.41</v>
      </c>
      <c r="BJ38" s="426"/>
      <c r="BK38" s="352">
        <v>3600423546.5900002</v>
      </c>
      <c r="BL38" s="352"/>
      <c r="BM38" s="426"/>
      <c r="BN38" s="426"/>
      <c r="BO38" s="426"/>
      <c r="BP38" s="426"/>
      <c r="BQ38" s="426"/>
      <c r="BR38" s="426"/>
      <c r="BS38" s="426"/>
      <c r="BT38" s="426"/>
      <c r="BU38" s="426"/>
      <c r="BV38" s="426"/>
      <c r="BW38" s="426"/>
      <c r="BX38" s="431">
        <f t="shared" si="8"/>
        <v>0</v>
      </c>
      <c r="BY38" s="555">
        <f t="shared" si="10"/>
        <v>3600423546.5900002</v>
      </c>
      <c r="BZ38" s="917">
        <v>3600423546.5900002</v>
      </c>
      <c r="CA38" s="26">
        <f t="shared" si="9"/>
        <v>0</v>
      </c>
      <c r="CB38" s="20"/>
      <c r="CC38" s="1"/>
      <c r="CD38" s="1"/>
      <c r="CE38" s="1"/>
      <c r="CF38" s="1"/>
      <c r="CG38" s="1"/>
      <c r="CH38" s="1"/>
      <c r="CI38" s="1"/>
    </row>
    <row r="39" spans="1:87">
      <c r="A39" s="547"/>
      <c r="B39" s="5" t="s">
        <v>204</v>
      </c>
      <c r="C39" s="5"/>
      <c r="D39" s="435">
        <v>68259495.469999999</v>
      </c>
      <c r="E39" s="435">
        <v>51684997.549999997</v>
      </c>
      <c r="F39" s="435">
        <v>150220503.97999999</v>
      </c>
      <c r="G39" s="435">
        <v>25361964.32</v>
      </c>
      <c r="H39" s="435">
        <v>15019372.85</v>
      </c>
      <c r="I39" s="435">
        <v>69567849.980000004</v>
      </c>
      <c r="J39" s="435">
        <v>56849692.299999997</v>
      </c>
      <c r="K39" s="435">
        <v>56744702.259999998</v>
      </c>
      <c r="L39" s="435">
        <v>239522425.66</v>
      </c>
      <c r="M39" s="435">
        <v>36061356.609999999</v>
      </c>
      <c r="N39" s="435">
        <v>80447658.799999997</v>
      </c>
      <c r="O39" s="435">
        <v>62961939.770000003</v>
      </c>
      <c r="P39" s="435">
        <v>615691438.75</v>
      </c>
      <c r="Q39" s="435">
        <v>40536622.399999999</v>
      </c>
      <c r="R39" s="435">
        <v>57801714.719999999</v>
      </c>
      <c r="S39" s="435">
        <v>32925941.059999999</v>
      </c>
      <c r="T39" s="435">
        <v>38309137.100000001</v>
      </c>
      <c r="U39" s="435">
        <v>59715603.920000002</v>
      </c>
      <c r="V39" s="435">
        <v>70110263.819999993</v>
      </c>
      <c r="W39" s="435">
        <v>37221873.600000001</v>
      </c>
      <c r="X39" s="435">
        <v>133674338.15000001</v>
      </c>
      <c r="Y39" s="435">
        <v>128430589.48</v>
      </c>
      <c r="Z39" s="435">
        <v>84327343.859999999</v>
      </c>
      <c r="AA39" s="435">
        <v>268318894.84999999</v>
      </c>
      <c r="AB39" s="435">
        <v>17853822.960000001</v>
      </c>
      <c r="AC39" s="435">
        <v>53774288.630000003</v>
      </c>
      <c r="AD39" s="435">
        <v>42457327.520000003</v>
      </c>
      <c r="AE39" s="435">
        <v>25309807.77</v>
      </c>
      <c r="AF39" s="435">
        <v>76501420.859999999</v>
      </c>
      <c r="AG39" s="435">
        <v>41952179.259999998</v>
      </c>
      <c r="AH39" s="435">
        <v>9029461.3100000005</v>
      </c>
      <c r="AI39" s="435">
        <v>24250320.32</v>
      </c>
      <c r="AJ39" s="435">
        <v>11884407.77</v>
      </c>
      <c r="AK39" s="435">
        <v>67628044.420000002</v>
      </c>
      <c r="AL39" s="435">
        <v>13832956.470000001</v>
      </c>
      <c r="AM39" s="435">
        <v>35069691.100000001</v>
      </c>
      <c r="AN39" s="435">
        <v>12304996.33</v>
      </c>
      <c r="AO39" s="435">
        <v>15759891.550000001</v>
      </c>
      <c r="AP39" s="435">
        <v>104906736.11</v>
      </c>
      <c r="AQ39" s="435">
        <v>46842829.960000001</v>
      </c>
      <c r="AR39" s="435">
        <v>27663198.780000001</v>
      </c>
      <c r="AS39" s="435">
        <v>5465465.8099999996</v>
      </c>
      <c r="AT39" s="435">
        <v>41587673.68</v>
      </c>
      <c r="AU39" s="435">
        <v>31455805.510000002</v>
      </c>
      <c r="AV39" s="435">
        <v>116604976.53</v>
      </c>
      <c r="AW39" s="435">
        <v>21744879.190000001</v>
      </c>
      <c r="AX39" s="435">
        <v>106746488.39</v>
      </c>
      <c r="AY39" s="435">
        <v>38972197.920000002</v>
      </c>
      <c r="AZ39" s="435">
        <v>53921636</v>
      </c>
      <c r="BA39" s="435">
        <v>18400807.920000002</v>
      </c>
      <c r="BB39" s="435">
        <v>26928107.25</v>
      </c>
      <c r="BC39" s="435">
        <v>12685709.640000001</v>
      </c>
      <c r="BD39" s="435">
        <v>35566567.210000001</v>
      </c>
      <c r="BE39" s="435">
        <v>621705132.32000005</v>
      </c>
      <c r="BF39" s="435">
        <v>40729942.109999999</v>
      </c>
      <c r="BG39" s="435">
        <v>35482431.979999997</v>
      </c>
      <c r="BH39" s="435">
        <v>49605632.640000001</v>
      </c>
      <c r="BI39" s="435">
        <v>13936887.6</v>
      </c>
      <c r="BJ39" s="426"/>
      <c r="BK39" s="435">
        <v>4378327444.0799999</v>
      </c>
      <c r="BL39" s="435"/>
      <c r="BM39" s="435">
        <f>SUM(BM27:BM38)</f>
        <v>0</v>
      </c>
      <c r="BN39" s="435">
        <f>SUM(BN27:BN38)</f>
        <v>-18781.5</v>
      </c>
      <c r="BO39" s="435">
        <f>SUM(BO27:BO38)</f>
        <v>-939275.51</v>
      </c>
      <c r="BP39" s="435">
        <f>SUM(BP27:BP38)</f>
        <v>0</v>
      </c>
      <c r="BQ39" s="435">
        <f>SUM(BQ27:BQ38)</f>
        <v>0</v>
      </c>
      <c r="BR39" s="435">
        <f t="shared" ref="BR39:BT39" si="13">SUM(BR27:BR38)</f>
        <v>0</v>
      </c>
      <c r="BS39" s="435">
        <f t="shared" si="13"/>
        <v>0</v>
      </c>
      <c r="BT39" s="435">
        <f t="shared" si="13"/>
        <v>0</v>
      </c>
      <c r="BU39" s="435"/>
      <c r="BV39" s="435"/>
      <c r="BW39" s="435"/>
      <c r="BX39" s="435">
        <f>SUM(BX28:BX38)</f>
        <v>-958057.01</v>
      </c>
      <c r="BY39" s="431">
        <f t="shared" si="10"/>
        <v>4377369387.0699997</v>
      </c>
      <c r="BZ39" s="919">
        <f>SUM(BZ27:BZ38)</f>
        <v>4377369387.0699997</v>
      </c>
      <c r="CA39" s="26">
        <f t="shared" si="9"/>
        <v>0</v>
      </c>
      <c r="CB39" s="20"/>
      <c r="CC39" s="1"/>
      <c r="CD39" s="1"/>
      <c r="CE39" s="1"/>
      <c r="CF39" s="1"/>
      <c r="CG39" s="1"/>
      <c r="CH39" s="1"/>
      <c r="CI39" s="1"/>
    </row>
    <row r="40" spans="1:87">
      <c r="A40" s="547"/>
      <c r="B40" s="5" t="s">
        <v>458</v>
      </c>
      <c r="C40" s="5"/>
      <c r="D40" s="435">
        <v>76652894.849999994</v>
      </c>
      <c r="E40" s="435">
        <v>72369544.280000001</v>
      </c>
      <c r="F40" s="435">
        <v>170114222.02000001</v>
      </c>
      <c r="G40" s="435">
        <v>29567664.52</v>
      </c>
      <c r="H40" s="435">
        <v>17650590.84</v>
      </c>
      <c r="I40" s="435">
        <v>76835479.569999993</v>
      </c>
      <c r="J40" s="435">
        <v>60766987.18</v>
      </c>
      <c r="K40" s="435">
        <v>75250437.219999999</v>
      </c>
      <c r="L40" s="435">
        <v>276195769.98000002</v>
      </c>
      <c r="M40" s="435">
        <v>39007058.43</v>
      </c>
      <c r="N40" s="435">
        <v>87754147</v>
      </c>
      <c r="O40" s="435">
        <v>68044806.329999998</v>
      </c>
      <c r="P40" s="435">
        <v>690599045.17999995</v>
      </c>
      <c r="Q40" s="435">
        <v>58683074.350000001</v>
      </c>
      <c r="R40" s="435">
        <v>72077899.120000005</v>
      </c>
      <c r="S40" s="435">
        <v>37533073.640000001</v>
      </c>
      <c r="T40" s="435">
        <v>51295066.009999998</v>
      </c>
      <c r="U40" s="435">
        <v>74012508.269999996</v>
      </c>
      <c r="V40" s="435">
        <v>82515624.090000004</v>
      </c>
      <c r="W40" s="435">
        <v>47873612.939999998</v>
      </c>
      <c r="X40" s="435">
        <v>179050358.83000001</v>
      </c>
      <c r="Y40" s="435">
        <v>140696634.94</v>
      </c>
      <c r="Z40" s="435">
        <v>109514142.15000001</v>
      </c>
      <c r="AA40" s="435">
        <v>314700016.12</v>
      </c>
      <c r="AB40" s="435">
        <v>20309650.300000001</v>
      </c>
      <c r="AC40" s="435">
        <v>65144786.840000004</v>
      </c>
      <c r="AD40" s="435">
        <v>48124657.030000001</v>
      </c>
      <c r="AE40" s="435">
        <v>29189804.32</v>
      </c>
      <c r="AF40" s="435">
        <v>91135938.670000002</v>
      </c>
      <c r="AG40" s="435">
        <v>48745738.140000001</v>
      </c>
      <c r="AH40" s="435">
        <v>10127669.52</v>
      </c>
      <c r="AI40" s="435">
        <v>26554611.350000001</v>
      </c>
      <c r="AJ40" s="435">
        <v>14127791.949999999</v>
      </c>
      <c r="AK40" s="435">
        <v>81167503.75</v>
      </c>
      <c r="AL40" s="435">
        <v>15171302.32</v>
      </c>
      <c r="AM40" s="435">
        <v>40247505.119999997</v>
      </c>
      <c r="AN40" s="435">
        <v>13924280.32</v>
      </c>
      <c r="AO40" s="435">
        <v>18005646.039999999</v>
      </c>
      <c r="AP40" s="435">
        <v>120312138.26000001</v>
      </c>
      <c r="AQ40" s="435">
        <v>53830661.920000002</v>
      </c>
      <c r="AR40" s="435">
        <v>37434145.670000002</v>
      </c>
      <c r="AS40" s="435">
        <v>8423510.7699999996</v>
      </c>
      <c r="AT40" s="435">
        <v>45061968.829999998</v>
      </c>
      <c r="AU40" s="435">
        <v>34665713.030000001</v>
      </c>
      <c r="AV40" s="435">
        <v>129803038.16</v>
      </c>
      <c r="AW40" s="435">
        <v>26289178.969999999</v>
      </c>
      <c r="AX40" s="435">
        <v>118685964.34</v>
      </c>
      <c r="AY40" s="435">
        <v>45386877.159999996</v>
      </c>
      <c r="AZ40" s="435">
        <v>64030475.780000001</v>
      </c>
      <c r="BA40" s="435">
        <v>24031174.43</v>
      </c>
      <c r="BB40" s="435">
        <v>35456903.009999998</v>
      </c>
      <c r="BC40" s="435">
        <v>16759752.98</v>
      </c>
      <c r="BD40" s="435">
        <v>48306014.149999999</v>
      </c>
      <c r="BE40" s="435">
        <v>674018867.47000003</v>
      </c>
      <c r="BF40" s="435">
        <v>44936481.539999999</v>
      </c>
      <c r="BG40" s="435">
        <v>44475135.890000001</v>
      </c>
      <c r="BH40" s="435">
        <v>53920714.170000002</v>
      </c>
      <c r="BI40" s="435">
        <v>21537176.289999999</v>
      </c>
      <c r="BJ40" s="426"/>
      <c r="BK40" s="435">
        <v>5078103436.3500004</v>
      </c>
      <c r="BL40" s="435"/>
      <c r="BM40" s="435">
        <f t="shared" ref="BM40:BZ40" si="14">BM24+BM39</f>
        <v>11827974.99</v>
      </c>
      <c r="BN40" s="435">
        <f t="shared" si="14"/>
        <v>0</v>
      </c>
      <c r="BO40" s="435">
        <f t="shared" si="14"/>
        <v>0</v>
      </c>
      <c r="BP40" s="435">
        <f t="shared" si="14"/>
        <v>0</v>
      </c>
      <c r="BQ40" s="435">
        <f t="shared" si="14"/>
        <v>0</v>
      </c>
      <c r="BR40" s="435">
        <f t="shared" ref="BR40:BT40" si="15">BR24+BR39</f>
        <v>0</v>
      </c>
      <c r="BS40" s="435">
        <f t="shared" si="15"/>
        <v>-777817.76</v>
      </c>
      <c r="BT40" s="435">
        <f t="shared" si="15"/>
        <v>0</v>
      </c>
      <c r="BU40" s="435"/>
      <c r="BV40" s="435"/>
      <c r="BW40" s="435"/>
      <c r="BX40" s="922">
        <f t="shared" si="14"/>
        <v>11050157.23</v>
      </c>
      <c r="BY40" s="922">
        <f t="shared" si="14"/>
        <v>5089153593.5799999</v>
      </c>
      <c r="BZ40" s="920">
        <f t="shared" si="14"/>
        <v>5089153593.5799999</v>
      </c>
      <c r="CA40" s="26">
        <f t="shared" si="9"/>
        <v>0</v>
      </c>
      <c r="CB40" s="20"/>
      <c r="CC40" s="1"/>
      <c r="CD40" s="1"/>
      <c r="CE40" s="1"/>
      <c r="CF40" s="1"/>
      <c r="CG40" s="1"/>
      <c r="CH40" s="1"/>
      <c r="CI40" s="1"/>
    </row>
    <row r="41" spans="1:87">
      <c r="A41" s="547"/>
      <c r="B41" s="5"/>
      <c r="C41" s="5"/>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1"/>
      <c r="CA41" s="1"/>
      <c r="CB41" s="20"/>
      <c r="CC41" s="1"/>
      <c r="CD41" s="1"/>
      <c r="CE41" s="1"/>
      <c r="CF41" s="1"/>
      <c r="CG41" s="1"/>
      <c r="CH41" s="1"/>
      <c r="CI41" s="1"/>
    </row>
    <row r="42" spans="1:87" ht="10.8" thickBot="1">
      <c r="B42" s="416" t="s">
        <v>206</v>
      </c>
      <c r="C42" s="5"/>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1"/>
      <c r="CA42" s="1"/>
      <c r="CB42" s="20"/>
      <c r="CC42" s="1"/>
      <c r="CD42" s="1"/>
      <c r="CE42" s="1"/>
      <c r="CF42" s="1"/>
      <c r="CG42" s="1"/>
      <c r="CH42" s="1"/>
      <c r="CI42" s="1"/>
    </row>
    <row r="43" spans="1:87" ht="10.8" thickTop="1">
      <c r="A43" s="422">
        <v>1242</v>
      </c>
      <c r="B43" s="5" t="s">
        <v>207</v>
      </c>
      <c r="C43" s="5"/>
      <c r="D43" s="426">
        <v>0</v>
      </c>
      <c r="E43" s="426">
        <v>0</v>
      </c>
      <c r="F43" s="426">
        <v>0</v>
      </c>
      <c r="G43" s="426">
        <v>0</v>
      </c>
      <c r="H43" s="426">
        <v>0</v>
      </c>
      <c r="I43" s="426">
        <v>0</v>
      </c>
      <c r="J43" s="426">
        <v>0</v>
      </c>
      <c r="K43" s="426">
        <v>0</v>
      </c>
      <c r="L43" s="426">
        <v>0</v>
      </c>
      <c r="M43" s="426">
        <v>0</v>
      </c>
      <c r="N43" s="426">
        <v>0</v>
      </c>
      <c r="O43" s="426">
        <v>0</v>
      </c>
      <c r="P43" s="426">
        <v>0</v>
      </c>
      <c r="Q43" s="426">
        <v>0</v>
      </c>
      <c r="R43" s="426">
        <v>0</v>
      </c>
      <c r="S43" s="426">
        <v>0</v>
      </c>
      <c r="T43" s="426">
        <v>0</v>
      </c>
      <c r="U43" s="426">
        <v>0</v>
      </c>
      <c r="V43" s="426">
        <v>0</v>
      </c>
      <c r="W43" s="426">
        <v>0</v>
      </c>
      <c r="X43" s="426">
        <v>0</v>
      </c>
      <c r="Y43" s="426">
        <v>0</v>
      </c>
      <c r="Z43" s="426">
        <v>0</v>
      </c>
      <c r="AA43" s="426">
        <v>0</v>
      </c>
      <c r="AB43" s="426">
        <v>0</v>
      </c>
      <c r="AC43" s="426">
        <v>0</v>
      </c>
      <c r="AD43" s="426">
        <v>0</v>
      </c>
      <c r="AE43" s="426">
        <v>0</v>
      </c>
      <c r="AF43" s="426">
        <v>0</v>
      </c>
      <c r="AG43" s="426">
        <v>0</v>
      </c>
      <c r="AH43" s="426">
        <v>0</v>
      </c>
      <c r="AI43" s="426">
        <v>0</v>
      </c>
      <c r="AJ43" s="426">
        <v>0</v>
      </c>
      <c r="AK43" s="426">
        <v>0</v>
      </c>
      <c r="AL43" s="426">
        <v>0</v>
      </c>
      <c r="AM43" s="426">
        <v>0</v>
      </c>
      <c r="AN43" s="426">
        <v>0</v>
      </c>
      <c r="AO43" s="426">
        <v>0</v>
      </c>
      <c r="AP43" s="426">
        <v>0</v>
      </c>
      <c r="AQ43" s="426">
        <v>0</v>
      </c>
      <c r="AR43" s="426">
        <v>0</v>
      </c>
      <c r="AS43" s="426">
        <v>0</v>
      </c>
      <c r="AT43" s="426">
        <v>0</v>
      </c>
      <c r="AU43" s="426">
        <v>0</v>
      </c>
      <c r="AV43" s="426">
        <v>0</v>
      </c>
      <c r="AW43" s="426">
        <v>0</v>
      </c>
      <c r="AX43" s="426">
        <v>0</v>
      </c>
      <c r="AY43" s="426">
        <v>0</v>
      </c>
      <c r="AZ43" s="426">
        <v>0</v>
      </c>
      <c r="BA43" s="426">
        <v>0</v>
      </c>
      <c r="BB43" s="426">
        <v>0</v>
      </c>
      <c r="BC43" s="426">
        <v>0</v>
      </c>
      <c r="BD43" s="426">
        <v>0</v>
      </c>
      <c r="BE43" s="426">
        <v>0</v>
      </c>
      <c r="BF43" s="426">
        <v>0</v>
      </c>
      <c r="BG43" s="426">
        <v>0</v>
      </c>
      <c r="BH43" s="426">
        <v>0</v>
      </c>
      <c r="BI43" s="426">
        <v>0</v>
      </c>
      <c r="BJ43" s="426"/>
      <c r="BK43" s="352">
        <v>0</v>
      </c>
      <c r="BL43" s="352"/>
      <c r="BM43" s="426"/>
      <c r="BN43" s="426"/>
      <c r="BO43" s="426"/>
      <c r="BP43" s="426"/>
      <c r="BQ43" s="426"/>
      <c r="BR43" s="426"/>
      <c r="BS43" s="426"/>
      <c r="BT43" s="426"/>
      <c r="BU43" s="426"/>
      <c r="BV43" s="426"/>
      <c r="BW43" s="426"/>
      <c r="BX43" s="431">
        <f t="shared" ref="BX43:BX46" si="16">SUM(BM43:BT43)</f>
        <v>0</v>
      </c>
      <c r="BY43" s="431">
        <f>BK43+BX43</f>
        <v>0</v>
      </c>
      <c r="BZ43" s="917">
        <v>0</v>
      </c>
      <c r="CA43" s="26">
        <f t="shared" ref="CA43:CA47" si="17">BY43-BZ43</f>
        <v>0</v>
      </c>
      <c r="CB43" s="20"/>
      <c r="CC43" s="1"/>
      <c r="CD43" s="1"/>
      <c r="CE43" s="1"/>
      <c r="CF43" s="1"/>
      <c r="CG43" s="1"/>
      <c r="CH43" s="1"/>
      <c r="CI43" s="1"/>
    </row>
    <row r="44" spans="1:87">
      <c r="A44" s="422">
        <v>1237</v>
      </c>
      <c r="B44" s="5" t="s">
        <v>208</v>
      </c>
      <c r="C44" s="5"/>
      <c r="D44" s="426">
        <v>4031638</v>
      </c>
      <c r="E44" s="426">
        <v>3588174</v>
      </c>
      <c r="F44" s="426">
        <v>7416068</v>
      </c>
      <c r="G44" s="426">
        <v>2353180</v>
      </c>
      <c r="H44" s="426">
        <v>1657115</v>
      </c>
      <c r="I44" s="426">
        <v>3413087</v>
      </c>
      <c r="J44" s="426">
        <v>2503694</v>
      </c>
      <c r="K44" s="426">
        <v>4783280</v>
      </c>
      <c r="L44" s="426">
        <v>9574864</v>
      </c>
      <c r="M44" s="426">
        <v>2638021.61</v>
      </c>
      <c r="N44" s="426">
        <v>6940922</v>
      </c>
      <c r="O44" s="426">
        <v>7736106</v>
      </c>
      <c r="P44" s="426">
        <v>20694308.079999998</v>
      </c>
      <c r="Q44" s="426">
        <v>3157172.01</v>
      </c>
      <c r="R44" s="426">
        <v>4933151</v>
      </c>
      <c r="S44" s="426">
        <v>3226782</v>
      </c>
      <c r="T44" s="426">
        <v>3761243</v>
      </c>
      <c r="U44" s="426">
        <v>4292766</v>
      </c>
      <c r="V44" s="426">
        <v>6790546</v>
      </c>
      <c r="W44" s="426">
        <v>2235743</v>
      </c>
      <c r="X44" s="426">
        <v>15923802.43</v>
      </c>
      <c r="Y44" s="426">
        <v>9672506</v>
      </c>
      <c r="Z44" s="426">
        <v>7106570</v>
      </c>
      <c r="AA44" s="426">
        <v>11193591</v>
      </c>
      <c r="AB44" s="426">
        <v>2215837</v>
      </c>
      <c r="AC44" s="426">
        <v>2325714</v>
      </c>
      <c r="AD44" s="426">
        <v>2832623</v>
      </c>
      <c r="AE44" s="426">
        <v>2076064</v>
      </c>
      <c r="AF44" s="426">
        <v>5328593</v>
      </c>
      <c r="AG44" s="426">
        <v>4196698</v>
      </c>
      <c r="AH44" s="426">
        <v>1402147</v>
      </c>
      <c r="AI44" s="426">
        <v>1701985</v>
      </c>
      <c r="AJ44" s="426">
        <v>1643522</v>
      </c>
      <c r="AK44" s="426">
        <v>3201208</v>
      </c>
      <c r="AL44" s="426">
        <v>1370725</v>
      </c>
      <c r="AM44" s="426">
        <v>3700387.74</v>
      </c>
      <c r="AN44" s="426">
        <v>1104794.8400000001</v>
      </c>
      <c r="AO44" s="426">
        <v>2399307.2400000002</v>
      </c>
      <c r="AP44" s="426">
        <v>8744478.8900000006</v>
      </c>
      <c r="AQ44" s="426">
        <v>3642496.06</v>
      </c>
      <c r="AR44" s="426">
        <v>3701299</v>
      </c>
      <c r="AS44" s="426">
        <v>895465</v>
      </c>
      <c r="AT44" s="426">
        <v>3100896</v>
      </c>
      <c r="AU44" s="426">
        <v>2463902</v>
      </c>
      <c r="AV44" s="426">
        <v>7020223</v>
      </c>
      <c r="AW44" s="426">
        <v>2175643</v>
      </c>
      <c r="AX44" s="426">
        <v>5469034</v>
      </c>
      <c r="AY44" s="426">
        <v>2538555.6800000002</v>
      </c>
      <c r="AZ44" s="426">
        <v>3051448</v>
      </c>
      <c r="BA44" s="426">
        <v>3147315.11</v>
      </c>
      <c r="BB44" s="426">
        <v>3742732</v>
      </c>
      <c r="BC44" s="426">
        <v>2033541</v>
      </c>
      <c r="BD44" s="426">
        <v>3450271</v>
      </c>
      <c r="BE44" s="426">
        <v>28218429</v>
      </c>
      <c r="BF44" s="426">
        <v>4671251</v>
      </c>
      <c r="BG44" s="426">
        <v>2570303</v>
      </c>
      <c r="BH44" s="426">
        <v>4304444</v>
      </c>
      <c r="BI44" s="426">
        <v>2189424</v>
      </c>
      <c r="BJ44" s="426"/>
      <c r="BK44" s="352">
        <v>282255086.69</v>
      </c>
      <c r="BL44" s="352"/>
      <c r="BM44" s="426"/>
      <c r="BN44" s="426"/>
      <c r="BO44" s="426"/>
      <c r="BP44" s="426"/>
      <c r="BQ44" s="426"/>
      <c r="BR44" s="426"/>
      <c r="BS44" s="426"/>
      <c r="BT44" s="426"/>
      <c r="BU44" s="426"/>
      <c r="BV44" s="426"/>
      <c r="BW44" s="426"/>
      <c r="BX44" s="431">
        <f t="shared" si="16"/>
        <v>0</v>
      </c>
      <c r="BY44" s="431">
        <f>BK44+BX44</f>
        <v>282255086.69</v>
      </c>
      <c r="BZ44" s="917">
        <v>282255086.69</v>
      </c>
      <c r="CA44" s="26">
        <f t="shared" si="17"/>
        <v>0</v>
      </c>
      <c r="CB44" s="20"/>
      <c r="CC44" s="1"/>
      <c r="CD44" s="1"/>
      <c r="CE44" s="1"/>
      <c r="CF44" s="1"/>
      <c r="CG44" s="1"/>
      <c r="CH44" s="1"/>
      <c r="CI44" s="1"/>
    </row>
    <row r="45" spans="1:87">
      <c r="A45" s="422">
        <v>1240</v>
      </c>
      <c r="B45" s="5" t="s">
        <v>209</v>
      </c>
      <c r="C45" s="5"/>
      <c r="D45" s="424">
        <v>3988050</v>
      </c>
      <c r="E45" s="424">
        <v>3258635</v>
      </c>
      <c r="F45" s="424">
        <v>6831727</v>
      </c>
      <c r="G45" s="424">
        <v>1980569</v>
      </c>
      <c r="H45" s="424">
        <v>1230381</v>
      </c>
      <c r="I45" s="424">
        <v>4178026</v>
      </c>
      <c r="J45" s="424">
        <v>2184415</v>
      </c>
      <c r="K45" s="424">
        <v>4430167</v>
      </c>
      <c r="L45" s="424">
        <v>6989940</v>
      </c>
      <c r="M45" s="424">
        <v>2347694</v>
      </c>
      <c r="N45" s="424">
        <v>4904343</v>
      </c>
      <c r="O45" s="424">
        <v>7694829</v>
      </c>
      <c r="P45" s="424">
        <v>17749883.309999999</v>
      </c>
      <c r="Q45" s="424">
        <v>2468857</v>
      </c>
      <c r="R45" s="424">
        <v>4713172</v>
      </c>
      <c r="S45" s="424">
        <v>3901987</v>
      </c>
      <c r="T45" s="424">
        <v>4257760</v>
      </c>
      <c r="U45" s="424">
        <v>3684803</v>
      </c>
      <c r="V45" s="424">
        <v>7757657</v>
      </c>
      <c r="W45" s="424">
        <v>1549264</v>
      </c>
      <c r="X45" s="424">
        <v>18419837.370000001</v>
      </c>
      <c r="Y45" s="424">
        <v>8573601</v>
      </c>
      <c r="Z45" s="424">
        <v>5249160</v>
      </c>
      <c r="AA45" s="424">
        <v>8502392</v>
      </c>
      <c r="AB45" s="424">
        <v>2464718</v>
      </c>
      <c r="AC45" s="424">
        <v>1724032</v>
      </c>
      <c r="AD45" s="424">
        <v>2018485</v>
      </c>
      <c r="AE45" s="424">
        <v>1970434</v>
      </c>
      <c r="AF45" s="424">
        <v>4306964</v>
      </c>
      <c r="AG45" s="424">
        <v>3489471</v>
      </c>
      <c r="AH45" s="424">
        <v>1515879</v>
      </c>
      <c r="AI45" s="424">
        <v>1564749</v>
      </c>
      <c r="AJ45" s="424">
        <v>1224200</v>
      </c>
      <c r="AK45" s="424">
        <v>2492833</v>
      </c>
      <c r="AL45" s="424">
        <v>1699810</v>
      </c>
      <c r="AM45" s="424">
        <v>3041536.22</v>
      </c>
      <c r="AN45" s="424">
        <v>1325049</v>
      </c>
      <c r="AO45" s="424">
        <v>1817664</v>
      </c>
      <c r="AP45" s="424">
        <v>7540643</v>
      </c>
      <c r="AQ45" s="424">
        <v>2609578</v>
      </c>
      <c r="AR45" s="424">
        <v>3181781</v>
      </c>
      <c r="AS45" s="424">
        <v>647350</v>
      </c>
      <c r="AT45" s="424">
        <v>3057940</v>
      </c>
      <c r="AU45" s="424">
        <v>1659883</v>
      </c>
      <c r="AV45" s="424">
        <v>6395450</v>
      </c>
      <c r="AW45" s="424">
        <v>1970148</v>
      </c>
      <c r="AX45" s="424">
        <v>4191155</v>
      </c>
      <c r="AY45" s="424">
        <v>1797190</v>
      </c>
      <c r="AZ45" s="424">
        <v>2480963</v>
      </c>
      <c r="BA45" s="424">
        <v>3108139.21</v>
      </c>
      <c r="BB45" s="424">
        <v>3777207</v>
      </c>
      <c r="BC45" s="424">
        <v>1918028</v>
      </c>
      <c r="BD45" s="424">
        <v>2857955</v>
      </c>
      <c r="BE45" s="424">
        <v>33096800</v>
      </c>
      <c r="BF45" s="424">
        <v>4793447</v>
      </c>
      <c r="BG45" s="424">
        <v>2091355</v>
      </c>
      <c r="BH45" s="424">
        <v>3337940</v>
      </c>
      <c r="BI45" s="424">
        <v>1860544</v>
      </c>
      <c r="BJ45" s="426"/>
      <c r="BK45" s="352">
        <v>259876470.11000001</v>
      </c>
      <c r="BL45" s="352"/>
      <c r="BM45" s="426"/>
      <c r="BN45" s="426"/>
      <c r="BO45" s="426"/>
      <c r="BP45" s="426"/>
      <c r="BQ45" s="426"/>
      <c r="BR45" s="426"/>
      <c r="BS45" s="426"/>
      <c r="BT45" s="426"/>
      <c r="BU45" s="426"/>
      <c r="BV45" s="426"/>
      <c r="BW45" s="426"/>
      <c r="BX45" s="431">
        <f t="shared" si="16"/>
        <v>0</v>
      </c>
      <c r="BY45" s="431">
        <f>BK45+BX45</f>
        <v>259876470.11000001</v>
      </c>
      <c r="BZ45" s="917">
        <v>259876470.11000001</v>
      </c>
      <c r="CA45" s="26">
        <f t="shared" si="17"/>
        <v>0</v>
      </c>
      <c r="CB45" s="20"/>
      <c r="CC45" s="1"/>
      <c r="CD45" s="1"/>
      <c r="CE45" s="1"/>
      <c r="CF45" s="1"/>
      <c r="CG45" s="1"/>
      <c r="CH45" s="1"/>
      <c r="CI45" s="1"/>
    </row>
    <row r="46" spans="1:87">
      <c r="A46" s="422">
        <v>1239</v>
      </c>
      <c r="B46" s="5" t="s">
        <v>1890</v>
      </c>
      <c r="C46" s="5"/>
      <c r="D46" s="424">
        <v>0</v>
      </c>
      <c r="E46" s="424">
        <v>0</v>
      </c>
      <c r="F46" s="424">
        <v>0</v>
      </c>
      <c r="G46" s="424">
        <v>0</v>
      </c>
      <c r="H46" s="424">
        <v>0</v>
      </c>
      <c r="I46" s="424">
        <v>0</v>
      </c>
      <c r="J46" s="424">
        <v>0</v>
      </c>
      <c r="K46" s="424">
        <v>0</v>
      </c>
      <c r="L46" s="424">
        <v>0</v>
      </c>
      <c r="M46" s="424">
        <v>0</v>
      </c>
      <c r="N46" s="424">
        <v>0</v>
      </c>
      <c r="O46" s="424">
        <v>0</v>
      </c>
      <c r="P46" s="424">
        <v>1455085.57</v>
      </c>
      <c r="Q46" s="424">
        <v>0</v>
      </c>
      <c r="R46" s="424">
        <v>0</v>
      </c>
      <c r="S46" s="424">
        <v>0</v>
      </c>
      <c r="T46" s="424">
        <v>0</v>
      </c>
      <c r="U46" s="424">
        <v>0</v>
      </c>
      <c r="V46" s="424">
        <v>0</v>
      </c>
      <c r="W46" s="424">
        <v>0</v>
      </c>
      <c r="X46" s="424">
        <v>0</v>
      </c>
      <c r="Y46" s="424">
        <v>0</v>
      </c>
      <c r="Z46" s="424">
        <v>0</v>
      </c>
      <c r="AA46" s="424">
        <v>0</v>
      </c>
      <c r="AB46" s="424">
        <v>0</v>
      </c>
      <c r="AC46" s="424">
        <v>0</v>
      </c>
      <c r="AD46" s="424">
        <v>0</v>
      </c>
      <c r="AE46" s="424">
        <v>0</v>
      </c>
      <c r="AF46" s="424">
        <v>0</v>
      </c>
      <c r="AG46" s="424">
        <v>0</v>
      </c>
      <c r="AH46" s="424">
        <v>0</v>
      </c>
      <c r="AI46" s="424">
        <v>0</v>
      </c>
      <c r="AJ46" s="424">
        <v>0</v>
      </c>
      <c r="AK46" s="424">
        <v>0</v>
      </c>
      <c r="AL46" s="424">
        <v>0</v>
      </c>
      <c r="AM46" s="424">
        <v>0</v>
      </c>
      <c r="AN46" s="424">
        <v>0</v>
      </c>
      <c r="AO46" s="424">
        <v>0</v>
      </c>
      <c r="AP46" s="424">
        <v>0</v>
      </c>
      <c r="AQ46" s="424">
        <v>0</v>
      </c>
      <c r="AR46" s="424">
        <v>0</v>
      </c>
      <c r="AS46" s="424">
        <v>0</v>
      </c>
      <c r="AT46" s="424">
        <v>0</v>
      </c>
      <c r="AU46" s="424">
        <v>0</v>
      </c>
      <c r="AV46" s="424">
        <v>0</v>
      </c>
      <c r="AW46" s="424">
        <v>0</v>
      </c>
      <c r="AX46" s="424">
        <v>0</v>
      </c>
      <c r="AY46" s="424">
        <v>0</v>
      </c>
      <c r="AZ46" s="424">
        <v>0</v>
      </c>
      <c r="BA46" s="424">
        <v>0</v>
      </c>
      <c r="BB46" s="424">
        <v>0</v>
      </c>
      <c r="BC46" s="424">
        <v>0</v>
      </c>
      <c r="BD46" s="424">
        <v>0</v>
      </c>
      <c r="BE46" s="424">
        <v>0</v>
      </c>
      <c r="BF46" s="424">
        <v>0</v>
      </c>
      <c r="BG46" s="424">
        <v>0</v>
      </c>
      <c r="BH46" s="424">
        <v>0</v>
      </c>
      <c r="BI46" s="424">
        <v>0</v>
      </c>
      <c r="BJ46" s="426"/>
      <c r="BK46" s="352">
        <v>1455085.57</v>
      </c>
      <c r="BL46" s="352"/>
      <c r="BM46" s="426"/>
      <c r="BN46" s="426"/>
      <c r="BO46" s="426"/>
      <c r="BP46" s="426"/>
      <c r="BQ46" s="426"/>
      <c r="BR46" s="426"/>
      <c r="BS46" s="426"/>
      <c r="BT46" s="426"/>
      <c r="BU46" s="426"/>
      <c r="BV46" s="426"/>
      <c r="BW46" s="426"/>
      <c r="BX46" s="431">
        <f t="shared" si="16"/>
        <v>0</v>
      </c>
      <c r="BY46" s="431">
        <f>BK46+BX46</f>
        <v>1455085.57</v>
      </c>
      <c r="BZ46" s="917">
        <v>1455085.57</v>
      </c>
      <c r="CA46" s="26">
        <f t="shared" si="17"/>
        <v>0</v>
      </c>
      <c r="CB46" s="20"/>
      <c r="CC46" s="1"/>
      <c r="CD46" s="1"/>
      <c r="CE46" s="1"/>
      <c r="CF46" s="1"/>
      <c r="CG46" s="1"/>
      <c r="CH46" s="1"/>
      <c r="CI46" s="1"/>
    </row>
    <row r="47" spans="1:87">
      <c r="B47" s="5" t="s">
        <v>459</v>
      </c>
      <c r="C47" s="5"/>
      <c r="D47" s="435">
        <v>8019688</v>
      </c>
      <c r="E47" s="435">
        <v>6846809</v>
      </c>
      <c r="F47" s="435">
        <v>14247795</v>
      </c>
      <c r="G47" s="435">
        <v>4333749</v>
      </c>
      <c r="H47" s="435">
        <v>2887496</v>
      </c>
      <c r="I47" s="435">
        <v>7591113</v>
      </c>
      <c r="J47" s="435">
        <v>4688109</v>
      </c>
      <c r="K47" s="435">
        <v>9213447</v>
      </c>
      <c r="L47" s="435">
        <v>16564804</v>
      </c>
      <c r="M47" s="435">
        <v>4985715.6100000003</v>
      </c>
      <c r="N47" s="435">
        <v>11845265</v>
      </c>
      <c r="O47" s="435">
        <v>15430935</v>
      </c>
      <c r="P47" s="435">
        <v>39899276.960000001</v>
      </c>
      <c r="Q47" s="435">
        <v>5626029.0099999998</v>
      </c>
      <c r="R47" s="435">
        <v>9646323</v>
      </c>
      <c r="S47" s="435">
        <v>7128769</v>
      </c>
      <c r="T47" s="435">
        <v>8019003</v>
      </c>
      <c r="U47" s="435">
        <v>7977569</v>
      </c>
      <c r="V47" s="435">
        <v>14548203</v>
      </c>
      <c r="W47" s="435">
        <v>3785007</v>
      </c>
      <c r="X47" s="435">
        <v>34343639.799999997</v>
      </c>
      <c r="Y47" s="435">
        <v>18246107</v>
      </c>
      <c r="Z47" s="435">
        <v>12355730</v>
      </c>
      <c r="AA47" s="435">
        <v>19695983</v>
      </c>
      <c r="AB47" s="435">
        <v>4680555</v>
      </c>
      <c r="AC47" s="435">
        <v>4049746</v>
      </c>
      <c r="AD47" s="435">
        <v>4851108</v>
      </c>
      <c r="AE47" s="435">
        <v>4046498</v>
      </c>
      <c r="AF47" s="435">
        <v>9635557</v>
      </c>
      <c r="AG47" s="435">
        <v>7686169</v>
      </c>
      <c r="AH47" s="435">
        <v>2918026</v>
      </c>
      <c r="AI47" s="435">
        <v>3266734</v>
      </c>
      <c r="AJ47" s="435">
        <v>2867722</v>
      </c>
      <c r="AK47" s="435">
        <v>5694041</v>
      </c>
      <c r="AL47" s="435">
        <v>3070535</v>
      </c>
      <c r="AM47" s="435">
        <v>6741923.96</v>
      </c>
      <c r="AN47" s="435">
        <v>2429843.84</v>
      </c>
      <c r="AO47" s="435">
        <v>4216971.24</v>
      </c>
      <c r="AP47" s="435">
        <v>16285121.890000001</v>
      </c>
      <c r="AQ47" s="435">
        <v>6252074.0599999996</v>
      </c>
      <c r="AR47" s="435">
        <v>6883080</v>
      </c>
      <c r="AS47" s="435">
        <v>1542815</v>
      </c>
      <c r="AT47" s="435">
        <v>6158836</v>
      </c>
      <c r="AU47" s="435">
        <v>4123785</v>
      </c>
      <c r="AV47" s="435">
        <v>13415673</v>
      </c>
      <c r="AW47" s="435">
        <v>4145791</v>
      </c>
      <c r="AX47" s="435">
        <v>9660189</v>
      </c>
      <c r="AY47" s="435">
        <v>4335745.68</v>
      </c>
      <c r="AZ47" s="435">
        <v>5532411</v>
      </c>
      <c r="BA47" s="435">
        <v>6255454.3200000003</v>
      </c>
      <c r="BB47" s="435">
        <v>7519939</v>
      </c>
      <c r="BC47" s="435">
        <v>3951569</v>
      </c>
      <c r="BD47" s="435">
        <v>6308226</v>
      </c>
      <c r="BE47" s="435">
        <v>61315229</v>
      </c>
      <c r="BF47" s="435">
        <v>9464698</v>
      </c>
      <c r="BG47" s="435">
        <v>4661658</v>
      </c>
      <c r="BH47" s="435">
        <v>7642384</v>
      </c>
      <c r="BI47" s="435">
        <v>4049968</v>
      </c>
      <c r="BJ47" s="426"/>
      <c r="BK47" s="435">
        <v>543586642.37</v>
      </c>
      <c r="BL47" s="435"/>
      <c r="BM47" s="435">
        <f t="shared" ref="BM47:BZ47" si="18">SUM(BM43:BM46)</f>
        <v>0</v>
      </c>
      <c r="BN47" s="435">
        <f t="shared" si="18"/>
        <v>0</v>
      </c>
      <c r="BO47" s="435">
        <f t="shared" si="18"/>
        <v>0</v>
      </c>
      <c r="BP47" s="435">
        <f t="shared" si="18"/>
        <v>0</v>
      </c>
      <c r="BQ47" s="435">
        <f t="shared" si="18"/>
        <v>0</v>
      </c>
      <c r="BR47" s="435">
        <f t="shared" si="18"/>
        <v>0</v>
      </c>
      <c r="BS47" s="435">
        <f t="shared" si="18"/>
        <v>0</v>
      </c>
      <c r="BT47" s="435">
        <f t="shared" si="18"/>
        <v>0</v>
      </c>
      <c r="BU47" s="435"/>
      <c r="BV47" s="435"/>
      <c r="BW47" s="435"/>
      <c r="BX47" s="922">
        <f t="shared" si="18"/>
        <v>0</v>
      </c>
      <c r="BY47" s="922">
        <f t="shared" si="18"/>
        <v>543586642.37</v>
      </c>
      <c r="BZ47" s="921">
        <f t="shared" si="18"/>
        <v>543586642.37</v>
      </c>
      <c r="CA47" s="26">
        <f t="shared" si="17"/>
        <v>0</v>
      </c>
      <c r="CB47" s="20"/>
      <c r="CC47" s="1"/>
      <c r="CD47" s="1"/>
      <c r="CE47" s="1"/>
      <c r="CF47" s="1"/>
      <c r="CG47" s="1"/>
      <c r="CH47" s="1"/>
      <c r="CI47" s="1"/>
    </row>
    <row r="48" spans="1:87">
      <c r="A48" s="547"/>
      <c r="B48" s="5"/>
      <c r="C48" s="5"/>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1"/>
      <c r="CA48" s="1"/>
      <c r="CB48" s="20"/>
      <c r="CC48" s="1"/>
      <c r="CD48" s="1"/>
      <c r="CE48" s="1"/>
      <c r="CF48" s="1"/>
      <c r="CG48" s="1"/>
      <c r="CH48" s="1"/>
      <c r="CI48" s="1"/>
    </row>
    <row r="49" spans="1:81" ht="10.8" thickBot="1">
      <c r="A49" s="547"/>
      <c r="B49" s="416" t="s">
        <v>212</v>
      </c>
      <c r="C49" s="20"/>
      <c r="D49" s="424" t="s">
        <v>146</v>
      </c>
      <c r="E49" s="424" t="s">
        <v>146</v>
      </c>
      <c r="F49" s="424" t="s">
        <v>146</v>
      </c>
      <c r="G49" s="424" t="s">
        <v>146</v>
      </c>
      <c r="H49" s="424" t="s">
        <v>146</v>
      </c>
      <c r="I49" s="424" t="s">
        <v>146</v>
      </c>
      <c r="J49" s="424" t="s">
        <v>146</v>
      </c>
      <c r="K49" s="424" t="s">
        <v>146</v>
      </c>
      <c r="L49" s="424" t="s">
        <v>146</v>
      </c>
      <c r="M49" s="424" t="s">
        <v>146</v>
      </c>
      <c r="N49" s="424" t="s">
        <v>146</v>
      </c>
      <c r="O49" s="424" t="s">
        <v>146</v>
      </c>
      <c r="P49" s="424" t="s">
        <v>146</v>
      </c>
      <c r="Q49" s="424" t="s">
        <v>146</v>
      </c>
      <c r="R49" s="424" t="s">
        <v>146</v>
      </c>
      <c r="S49" s="424" t="s">
        <v>146</v>
      </c>
      <c r="T49" s="424" t="s">
        <v>146</v>
      </c>
      <c r="U49" s="424" t="s">
        <v>146</v>
      </c>
      <c r="V49" s="424" t="s">
        <v>146</v>
      </c>
      <c r="W49" s="424" t="s">
        <v>146</v>
      </c>
      <c r="X49" s="424" t="s">
        <v>146</v>
      </c>
      <c r="Y49" s="424" t="s">
        <v>146</v>
      </c>
      <c r="Z49" s="424" t="s">
        <v>146</v>
      </c>
      <c r="AA49" s="424" t="s">
        <v>146</v>
      </c>
      <c r="AB49" s="424" t="s">
        <v>146</v>
      </c>
      <c r="AC49" s="424" t="s">
        <v>146</v>
      </c>
      <c r="AD49" s="424" t="s">
        <v>146</v>
      </c>
      <c r="AE49" s="424" t="s">
        <v>146</v>
      </c>
      <c r="AF49" s="424" t="s">
        <v>146</v>
      </c>
      <c r="AG49" s="424" t="s">
        <v>146</v>
      </c>
      <c r="AH49" s="424" t="s">
        <v>146</v>
      </c>
      <c r="AI49" s="424" t="s">
        <v>146</v>
      </c>
      <c r="AJ49" s="424" t="s">
        <v>146</v>
      </c>
      <c r="AK49" s="424" t="s">
        <v>146</v>
      </c>
      <c r="AL49" s="424" t="s">
        <v>146</v>
      </c>
      <c r="AM49" s="424" t="s">
        <v>146</v>
      </c>
      <c r="AN49" s="424" t="s">
        <v>146</v>
      </c>
      <c r="AO49" s="424" t="s">
        <v>146</v>
      </c>
      <c r="AP49" s="424" t="s">
        <v>146</v>
      </c>
      <c r="AQ49" s="424" t="s">
        <v>146</v>
      </c>
      <c r="AR49" s="424" t="s">
        <v>146</v>
      </c>
      <c r="AS49" s="424" t="s">
        <v>146</v>
      </c>
      <c r="AT49" s="424" t="s">
        <v>146</v>
      </c>
      <c r="AU49" s="424" t="s">
        <v>146</v>
      </c>
      <c r="AV49" s="424" t="s">
        <v>146</v>
      </c>
      <c r="AW49" s="424" t="s">
        <v>146</v>
      </c>
      <c r="AX49" s="424" t="s">
        <v>146</v>
      </c>
      <c r="AY49" s="424" t="s">
        <v>146</v>
      </c>
      <c r="AZ49" s="424" t="s">
        <v>146</v>
      </c>
      <c r="BA49" s="424" t="s">
        <v>146</v>
      </c>
      <c r="BB49" s="424" t="s">
        <v>146</v>
      </c>
      <c r="BC49" s="424" t="s">
        <v>146</v>
      </c>
      <c r="BD49" s="424" t="s">
        <v>146</v>
      </c>
      <c r="BE49" s="424" t="s">
        <v>146</v>
      </c>
      <c r="BF49" s="424" t="s">
        <v>146</v>
      </c>
      <c r="BG49" s="424" t="s">
        <v>146</v>
      </c>
      <c r="BH49" s="424" t="s">
        <v>146</v>
      </c>
      <c r="BI49" s="424" t="s">
        <v>146</v>
      </c>
      <c r="BJ49" s="424"/>
      <c r="BK49" s="429"/>
      <c r="BL49" s="429"/>
      <c r="BX49" s="431"/>
      <c r="BY49" s="431"/>
      <c r="CB49" s="20"/>
    </row>
    <row r="50" spans="1:81" ht="10.8" thickTop="1">
      <c r="A50" s="547"/>
      <c r="B50" s="7" t="s">
        <v>213</v>
      </c>
      <c r="C50" s="7"/>
      <c r="D50" s="424" t="s">
        <v>146</v>
      </c>
      <c r="E50" s="424" t="s">
        <v>146</v>
      </c>
      <c r="F50" s="424" t="s">
        <v>146</v>
      </c>
      <c r="G50" s="424" t="s">
        <v>146</v>
      </c>
      <c r="H50" s="424" t="s">
        <v>146</v>
      </c>
      <c r="I50" s="424" t="s">
        <v>146</v>
      </c>
      <c r="J50" s="424" t="s">
        <v>146</v>
      </c>
      <c r="K50" s="424" t="s">
        <v>146</v>
      </c>
      <c r="L50" s="424" t="s">
        <v>146</v>
      </c>
      <c r="M50" s="424" t="s">
        <v>146</v>
      </c>
      <c r="N50" s="424" t="s">
        <v>146</v>
      </c>
      <c r="O50" s="424" t="s">
        <v>146</v>
      </c>
      <c r="P50" s="424" t="s">
        <v>146</v>
      </c>
      <c r="Q50" s="424" t="s">
        <v>146</v>
      </c>
      <c r="R50" s="424" t="s">
        <v>146</v>
      </c>
      <c r="S50" s="424" t="s">
        <v>146</v>
      </c>
      <c r="T50" s="424" t="s">
        <v>146</v>
      </c>
      <c r="U50" s="424" t="s">
        <v>146</v>
      </c>
      <c r="V50" s="424" t="s">
        <v>146</v>
      </c>
      <c r="W50" s="424" t="s">
        <v>146</v>
      </c>
      <c r="X50" s="424" t="s">
        <v>146</v>
      </c>
      <c r="Y50" s="424" t="s">
        <v>146</v>
      </c>
      <c r="Z50" s="424" t="s">
        <v>146</v>
      </c>
      <c r="AA50" s="424" t="s">
        <v>146</v>
      </c>
      <c r="AB50" s="424" t="s">
        <v>146</v>
      </c>
      <c r="AC50" s="424" t="s">
        <v>146</v>
      </c>
      <c r="AD50" s="424" t="s">
        <v>146</v>
      </c>
      <c r="AE50" s="424" t="s">
        <v>146</v>
      </c>
      <c r="AF50" s="424" t="s">
        <v>146</v>
      </c>
      <c r="AG50" s="424" t="s">
        <v>146</v>
      </c>
      <c r="AH50" s="424" t="s">
        <v>146</v>
      </c>
      <c r="AI50" s="424" t="s">
        <v>146</v>
      </c>
      <c r="AJ50" s="424" t="s">
        <v>146</v>
      </c>
      <c r="AK50" s="424" t="s">
        <v>146</v>
      </c>
      <c r="AL50" s="424" t="s">
        <v>146</v>
      </c>
      <c r="AM50" s="424" t="s">
        <v>146</v>
      </c>
      <c r="AN50" s="424" t="s">
        <v>146</v>
      </c>
      <c r="AO50" s="424" t="s">
        <v>146</v>
      </c>
      <c r="AP50" s="424" t="s">
        <v>146</v>
      </c>
      <c r="AQ50" s="424" t="s">
        <v>146</v>
      </c>
      <c r="AR50" s="424" t="s">
        <v>146</v>
      </c>
      <c r="AS50" s="424" t="s">
        <v>146</v>
      </c>
      <c r="AT50" s="424" t="s">
        <v>146</v>
      </c>
      <c r="AU50" s="424" t="s">
        <v>146</v>
      </c>
      <c r="AV50" s="424" t="s">
        <v>146</v>
      </c>
      <c r="AW50" s="424" t="s">
        <v>146</v>
      </c>
      <c r="AX50" s="424" t="s">
        <v>146</v>
      </c>
      <c r="AY50" s="424" t="s">
        <v>146</v>
      </c>
      <c r="AZ50" s="424" t="s">
        <v>146</v>
      </c>
      <c r="BA50" s="424" t="s">
        <v>146</v>
      </c>
      <c r="BB50" s="424" t="s">
        <v>146</v>
      </c>
      <c r="BC50" s="424" t="s">
        <v>146</v>
      </c>
      <c r="BD50" s="424" t="s">
        <v>146</v>
      </c>
      <c r="BE50" s="424" t="s">
        <v>146</v>
      </c>
      <c r="BF50" s="424" t="s">
        <v>146</v>
      </c>
      <c r="BG50" s="424" t="s">
        <v>146</v>
      </c>
      <c r="BH50" s="424" t="s">
        <v>146</v>
      </c>
      <c r="BI50" s="424" t="s">
        <v>146</v>
      </c>
      <c r="BJ50" s="424"/>
      <c r="BK50" s="429"/>
      <c r="BL50" s="429"/>
      <c r="BX50" s="431"/>
      <c r="BY50" s="431"/>
      <c r="CB50" s="20"/>
      <c r="CC50" s="26" t="s">
        <v>146</v>
      </c>
    </row>
    <row r="51" spans="1:81">
      <c r="A51" s="422">
        <v>1640</v>
      </c>
      <c r="B51" s="5" t="s">
        <v>214</v>
      </c>
      <c r="C51" s="1"/>
      <c r="D51" s="424">
        <v>3437286.48</v>
      </c>
      <c r="E51" s="424">
        <v>940595.4</v>
      </c>
      <c r="F51" s="424">
        <v>1680548.12</v>
      </c>
      <c r="G51" s="424">
        <v>470046.54</v>
      </c>
      <c r="H51" s="424">
        <v>489220.62</v>
      </c>
      <c r="I51" s="424">
        <v>528551.46</v>
      </c>
      <c r="J51" s="424">
        <v>89388.19</v>
      </c>
      <c r="K51" s="424">
        <v>733694.43</v>
      </c>
      <c r="L51" s="424">
        <v>2931729.94</v>
      </c>
      <c r="M51" s="424">
        <v>729365.48</v>
      </c>
      <c r="N51" s="424">
        <v>1372252.51</v>
      </c>
      <c r="O51" s="424">
        <v>1360854.3</v>
      </c>
      <c r="P51" s="424">
        <v>9299671.2699999996</v>
      </c>
      <c r="Q51" s="424">
        <v>2889633.89</v>
      </c>
      <c r="R51" s="424">
        <v>1319537.3700000001</v>
      </c>
      <c r="S51" s="424">
        <v>776756.63</v>
      </c>
      <c r="T51" s="424">
        <v>812997.69</v>
      </c>
      <c r="U51" s="424">
        <v>1221018.82</v>
      </c>
      <c r="V51" s="424">
        <v>1978593.16</v>
      </c>
      <c r="W51" s="424">
        <v>635755.54</v>
      </c>
      <c r="X51" s="424">
        <v>4075056.23</v>
      </c>
      <c r="Y51" s="424">
        <v>892550.23</v>
      </c>
      <c r="Z51" s="424">
        <v>1922631.33</v>
      </c>
      <c r="AA51" s="424">
        <v>3159031.33</v>
      </c>
      <c r="AB51" s="424">
        <v>303522.06</v>
      </c>
      <c r="AC51" s="424">
        <v>1145846.3899999999</v>
      </c>
      <c r="AD51" s="424">
        <v>527428.18999999994</v>
      </c>
      <c r="AE51" s="424">
        <v>742926.89</v>
      </c>
      <c r="AF51" s="424">
        <v>3263929.26</v>
      </c>
      <c r="AG51" s="424">
        <v>1575022.96</v>
      </c>
      <c r="AH51" s="424">
        <v>328672.39</v>
      </c>
      <c r="AI51" s="424">
        <v>632999.96</v>
      </c>
      <c r="AJ51" s="424">
        <v>485851.07</v>
      </c>
      <c r="AK51" s="424">
        <v>1107694.6499999999</v>
      </c>
      <c r="AL51" s="424">
        <v>415100.14</v>
      </c>
      <c r="AM51" s="424">
        <v>457215.37</v>
      </c>
      <c r="AN51" s="424">
        <v>638040.06000000006</v>
      </c>
      <c r="AO51" s="424">
        <v>287774.98</v>
      </c>
      <c r="AP51" s="424">
        <v>2559848.17</v>
      </c>
      <c r="AQ51" s="424">
        <v>210370</v>
      </c>
      <c r="AR51" s="424">
        <v>867299.4</v>
      </c>
      <c r="AS51" s="424">
        <v>263145.74</v>
      </c>
      <c r="AT51" s="424">
        <v>946296.4</v>
      </c>
      <c r="AU51" s="424">
        <v>292010.53999999998</v>
      </c>
      <c r="AV51" s="424">
        <v>2742545.58</v>
      </c>
      <c r="AW51" s="424">
        <v>260071.24</v>
      </c>
      <c r="AX51" s="424">
        <v>1718381.87</v>
      </c>
      <c r="AY51" s="424">
        <v>455248.4</v>
      </c>
      <c r="AZ51" s="424">
        <v>876573.77</v>
      </c>
      <c r="BA51" s="424">
        <v>508322.61</v>
      </c>
      <c r="BB51" s="424">
        <v>1065645.1499999999</v>
      </c>
      <c r="BC51" s="424">
        <v>326460.86</v>
      </c>
      <c r="BD51" s="424">
        <v>171653.49</v>
      </c>
      <c r="BE51" s="424">
        <v>15471212.630000001</v>
      </c>
      <c r="BF51" s="424">
        <v>1061094.3700000001</v>
      </c>
      <c r="BG51" s="424">
        <v>826136.72</v>
      </c>
      <c r="BH51" s="424">
        <v>764334.21</v>
      </c>
      <c r="BI51" s="424">
        <v>370372.76</v>
      </c>
      <c r="BJ51" s="424"/>
      <c r="BK51" s="352">
        <v>87415815.239999995</v>
      </c>
      <c r="BL51" s="352"/>
      <c r="BX51" s="431">
        <f t="shared" ref="BX51:BX57" si="19">SUM(BM51:BT51)</f>
        <v>0</v>
      </c>
      <c r="BY51" s="431">
        <f t="shared" ref="BY51:BY57" si="20">BK51+BX51</f>
        <v>87415815.239999995</v>
      </c>
      <c r="BZ51" s="917">
        <v>87415815.239999995</v>
      </c>
      <c r="CA51" s="26">
        <f t="shared" ref="CA51:CA58" si="21">BY51-BZ51</f>
        <v>0</v>
      </c>
      <c r="CB51" s="20"/>
    </row>
    <row r="52" spans="1:81">
      <c r="A52" s="422">
        <v>1740</v>
      </c>
      <c r="B52" s="5" t="s">
        <v>460</v>
      </c>
      <c r="C52" s="419"/>
      <c r="D52" s="424">
        <v>0</v>
      </c>
      <c r="E52" s="424">
        <v>0</v>
      </c>
      <c r="F52" s="424">
        <v>0</v>
      </c>
      <c r="G52" s="424">
        <v>0</v>
      </c>
      <c r="H52" s="424">
        <v>0</v>
      </c>
      <c r="I52" s="424">
        <v>0</v>
      </c>
      <c r="J52" s="424">
        <v>0</v>
      </c>
      <c r="K52" s="424">
        <v>0</v>
      </c>
      <c r="L52" s="424">
        <v>0</v>
      </c>
      <c r="M52" s="424">
        <v>0</v>
      </c>
      <c r="N52" s="424">
        <v>0</v>
      </c>
      <c r="O52" s="424">
        <v>0</v>
      </c>
      <c r="P52" s="424">
        <v>0</v>
      </c>
      <c r="Q52" s="424">
        <v>0</v>
      </c>
      <c r="R52" s="424">
        <v>0</v>
      </c>
      <c r="S52" s="424">
        <v>0</v>
      </c>
      <c r="T52" s="424">
        <v>0</v>
      </c>
      <c r="U52" s="424">
        <v>0</v>
      </c>
      <c r="V52" s="424">
        <v>0</v>
      </c>
      <c r="W52" s="424">
        <v>0</v>
      </c>
      <c r="X52" s="424">
        <v>0</v>
      </c>
      <c r="Y52" s="424">
        <v>0</v>
      </c>
      <c r="Z52" s="424">
        <v>0</v>
      </c>
      <c r="AA52" s="424">
        <v>0</v>
      </c>
      <c r="AB52" s="424">
        <v>0</v>
      </c>
      <c r="AC52" s="424">
        <v>0</v>
      </c>
      <c r="AD52" s="424">
        <v>0</v>
      </c>
      <c r="AE52" s="424">
        <v>0</v>
      </c>
      <c r="AF52" s="424">
        <v>0</v>
      </c>
      <c r="AG52" s="424">
        <v>0</v>
      </c>
      <c r="AH52" s="424">
        <v>0</v>
      </c>
      <c r="AI52" s="424">
        <v>0</v>
      </c>
      <c r="AJ52" s="424">
        <v>0</v>
      </c>
      <c r="AK52" s="424">
        <v>0</v>
      </c>
      <c r="AL52" s="424">
        <v>0</v>
      </c>
      <c r="AM52" s="424">
        <v>0</v>
      </c>
      <c r="AN52" s="424">
        <v>0</v>
      </c>
      <c r="AO52" s="424">
        <v>0</v>
      </c>
      <c r="AP52" s="424">
        <v>0</v>
      </c>
      <c r="AQ52" s="424">
        <v>0</v>
      </c>
      <c r="AR52" s="424">
        <v>0</v>
      </c>
      <c r="AS52" s="424">
        <v>0</v>
      </c>
      <c r="AT52" s="424">
        <v>0</v>
      </c>
      <c r="AU52" s="424">
        <v>0</v>
      </c>
      <c r="AV52" s="424">
        <v>0</v>
      </c>
      <c r="AW52" s="424">
        <v>0</v>
      </c>
      <c r="AX52" s="424">
        <v>0</v>
      </c>
      <c r="AY52" s="424">
        <v>0</v>
      </c>
      <c r="AZ52" s="424">
        <v>0</v>
      </c>
      <c r="BA52" s="424">
        <v>0</v>
      </c>
      <c r="BB52" s="424">
        <v>0</v>
      </c>
      <c r="BC52" s="424">
        <v>0</v>
      </c>
      <c r="BD52" s="424">
        <v>0</v>
      </c>
      <c r="BE52" s="424">
        <v>0</v>
      </c>
      <c r="BF52" s="424">
        <v>0</v>
      </c>
      <c r="BG52" s="424">
        <v>0</v>
      </c>
      <c r="BH52" s="424">
        <v>0</v>
      </c>
      <c r="BI52" s="424">
        <v>0</v>
      </c>
      <c r="BJ52" s="424"/>
      <c r="BK52" s="352">
        <v>0</v>
      </c>
      <c r="BL52" s="352"/>
      <c r="BX52" s="431">
        <f t="shared" si="19"/>
        <v>0</v>
      </c>
      <c r="BY52" s="431">
        <f t="shared" si="20"/>
        <v>0</v>
      </c>
      <c r="BZ52" s="917">
        <v>0</v>
      </c>
      <c r="CA52" s="26">
        <f t="shared" si="21"/>
        <v>0</v>
      </c>
      <c r="CB52" s="20"/>
    </row>
    <row r="53" spans="1:81">
      <c r="A53" s="422">
        <v>1730</v>
      </c>
      <c r="B53" s="5" t="s">
        <v>461</v>
      </c>
      <c r="C53" s="419"/>
      <c r="D53" s="424">
        <v>0</v>
      </c>
      <c r="E53" s="424">
        <v>0</v>
      </c>
      <c r="F53" s="424">
        <v>0</v>
      </c>
      <c r="G53" s="424">
        <v>0</v>
      </c>
      <c r="H53" s="424">
        <v>0</v>
      </c>
      <c r="I53" s="424">
        <v>0</v>
      </c>
      <c r="J53" s="424">
        <v>0</v>
      </c>
      <c r="K53" s="424">
        <v>0</v>
      </c>
      <c r="L53" s="424">
        <v>0</v>
      </c>
      <c r="M53" s="424">
        <v>0</v>
      </c>
      <c r="N53" s="424">
        <v>0</v>
      </c>
      <c r="O53" s="424">
        <v>0</v>
      </c>
      <c r="P53" s="424">
        <v>0</v>
      </c>
      <c r="Q53" s="424">
        <v>0</v>
      </c>
      <c r="R53" s="424">
        <v>0</v>
      </c>
      <c r="S53" s="424">
        <v>0</v>
      </c>
      <c r="T53" s="424">
        <v>0</v>
      </c>
      <c r="U53" s="424">
        <v>0</v>
      </c>
      <c r="V53" s="424">
        <v>0</v>
      </c>
      <c r="W53" s="424">
        <v>0</v>
      </c>
      <c r="X53" s="424">
        <v>0</v>
      </c>
      <c r="Y53" s="424">
        <v>0</v>
      </c>
      <c r="Z53" s="424">
        <v>0</v>
      </c>
      <c r="AA53" s="424">
        <v>0</v>
      </c>
      <c r="AB53" s="424">
        <v>0</v>
      </c>
      <c r="AC53" s="424">
        <v>0</v>
      </c>
      <c r="AD53" s="424">
        <v>0</v>
      </c>
      <c r="AE53" s="424">
        <v>0</v>
      </c>
      <c r="AF53" s="424">
        <v>0</v>
      </c>
      <c r="AG53" s="424">
        <v>0</v>
      </c>
      <c r="AH53" s="424">
        <v>0</v>
      </c>
      <c r="AI53" s="424">
        <v>0</v>
      </c>
      <c r="AJ53" s="424">
        <v>0</v>
      </c>
      <c r="AK53" s="424">
        <v>0</v>
      </c>
      <c r="AL53" s="424">
        <v>0</v>
      </c>
      <c r="AM53" s="424">
        <v>0</v>
      </c>
      <c r="AN53" s="424">
        <v>0</v>
      </c>
      <c r="AO53" s="424">
        <v>0</v>
      </c>
      <c r="AP53" s="424">
        <v>0</v>
      </c>
      <c r="AQ53" s="424">
        <v>0</v>
      </c>
      <c r="AR53" s="424">
        <v>0</v>
      </c>
      <c r="AS53" s="424">
        <v>0</v>
      </c>
      <c r="AT53" s="424">
        <v>0</v>
      </c>
      <c r="AU53" s="424">
        <v>0</v>
      </c>
      <c r="AV53" s="424">
        <v>0</v>
      </c>
      <c r="AW53" s="424">
        <v>0</v>
      </c>
      <c r="AX53" s="424">
        <v>0</v>
      </c>
      <c r="AY53" s="424">
        <v>0</v>
      </c>
      <c r="AZ53" s="424">
        <v>0</v>
      </c>
      <c r="BA53" s="424">
        <v>0</v>
      </c>
      <c r="BB53" s="424">
        <v>0</v>
      </c>
      <c r="BC53" s="424">
        <v>0</v>
      </c>
      <c r="BD53" s="424">
        <v>0</v>
      </c>
      <c r="BE53" s="424">
        <v>0</v>
      </c>
      <c r="BF53" s="424">
        <v>0</v>
      </c>
      <c r="BG53" s="424">
        <v>0</v>
      </c>
      <c r="BH53" s="424">
        <v>0</v>
      </c>
      <c r="BI53" s="424">
        <v>0</v>
      </c>
      <c r="BJ53" s="424"/>
      <c r="BK53" s="352">
        <v>0</v>
      </c>
      <c r="BL53" s="352"/>
      <c r="BX53" s="431">
        <f t="shared" si="19"/>
        <v>0</v>
      </c>
      <c r="BY53" s="431">
        <f t="shared" si="20"/>
        <v>0</v>
      </c>
      <c r="BZ53" s="917">
        <v>0</v>
      </c>
      <c r="CA53" s="26">
        <f t="shared" si="21"/>
        <v>0</v>
      </c>
      <c r="CB53" s="20"/>
    </row>
    <row r="54" spans="1:81">
      <c r="A54" s="422">
        <v>1760</v>
      </c>
      <c r="B54" s="5" t="s">
        <v>217</v>
      </c>
      <c r="C54" s="419"/>
      <c r="D54" s="424">
        <v>0</v>
      </c>
      <c r="E54" s="424">
        <v>0</v>
      </c>
      <c r="F54" s="424">
        <v>0</v>
      </c>
      <c r="G54" s="424">
        <v>0</v>
      </c>
      <c r="H54" s="424">
        <v>0</v>
      </c>
      <c r="I54" s="424">
        <v>0</v>
      </c>
      <c r="J54" s="424">
        <v>0</v>
      </c>
      <c r="K54" s="424">
        <v>0</v>
      </c>
      <c r="L54" s="424">
        <v>0</v>
      </c>
      <c r="M54" s="424">
        <v>0</v>
      </c>
      <c r="N54" s="424">
        <v>0</v>
      </c>
      <c r="O54" s="424">
        <v>0</v>
      </c>
      <c r="P54" s="424">
        <v>0</v>
      </c>
      <c r="Q54" s="424">
        <v>0</v>
      </c>
      <c r="R54" s="424">
        <v>0</v>
      </c>
      <c r="S54" s="424">
        <v>0</v>
      </c>
      <c r="T54" s="424">
        <v>0</v>
      </c>
      <c r="U54" s="424">
        <v>0</v>
      </c>
      <c r="V54" s="424">
        <v>0</v>
      </c>
      <c r="W54" s="424">
        <v>0</v>
      </c>
      <c r="X54" s="424">
        <v>0</v>
      </c>
      <c r="Y54" s="424">
        <v>0</v>
      </c>
      <c r="Z54" s="424">
        <v>0</v>
      </c>
      <c r="AA54" s="424">
        <v>0</v>
      </c>
      <c r="AB54" s="424">
        <v>0</v>
      </c>
      <c r="AC54" s="424">
        <v>0</v>
      </c>
      <c r="AD54" s="424">
        <v>0</v>
      </c>
      <c r="AE54" s="424">
        <v>0</v>
      </c>
      <c r="AF54" s="424">
        <v>0</v>
      </c>
      <c r="AG54" s="424">
        <v>0</v>
      </c>
      <c r="AH54" s="424">
        <v>0</v>
      </c>
      <c r="AI54" s="424">
        <v>0</v>
      </c>
      <c r="AJ54" s="424">
        <v>0</v>
      </c>
      <c r="AK54" s="424">
        <v>0</v>
      </c>
      <c r="AL54" s="424">
        <v>0</v>
      </c>
      <c r="AM54" s="424">
        <v>0</v>
      </c>
      <c r="AN54" s="424">
        <v>0</v>
      </c>
      <c r="AO54" s="424">
        <v>0</v>
      </c>
      <c r="AP54" s="424">
        <v>0</v>
      </c>
      <c r="AQ54" s="424">
        <v>0</v>
      </c>
      <c r="AR54" s="424">
        <v>0</v>
      </c>
      <c r="AS54" s="424">
        <v>0</v>
      </c>
      <c r="AT54" s="424">
        <v>0</v>
      </c>
      <c r="AU54" s="424">
        <v>0</v>
      </c>
      <c r="AV54" s="424">
        <v>0</v>
      </c>
      <c r="AW54" s="424">
        <v>0</v>
      </c>
      <c r="AX54" s="424">
        <v>0</v>
      </c>
      <c r="AY54" s="424">
        <v>0</v>
      </c>
      <c r="AZ54" s="424">
        <v>0</v>
      </c>
      <c r="BA54" s="424">
        <v>0</v>
      </c>
      <c r="BB54" s="424">
        <v>0</v>
      </c>
      <c r="BC54" s="424">
        <v>0</v>
      </c>
      <c r="BD54" s="424">
        <v>0</v>
      </c>
      <c r="BE54" s="424">
        <v>0</v>
      </c>
      <c r="BF54" s="424">
        <v>0</v>
      </c>
      <c r="BG54" s="424">
        <v>0</v>
      </c>
      <c r="BH54" s="424">
        <v>0</v>
      </c>
      <c r="BI54" s="424">
        <v>0</v>
      </c>
      <c r="BJ54" s="424"/>
      <c r="BK54" s="352">
        <v>0</v>
      </c>
      <c r="BL54" s="352"/>
      <c r="BM54" s="352">
        <v>11827974.99</v>
      </c>
      <c r="BX54" s="431">
        <f t="shared" si="19"/>
        <v>11827974.99</v>
      </c>
      <c r="BY54" s="431">
        <f t="shared" si="20"/>
        <v>11827974.99</v>
      </c>
      <c r="BZ54" s="917">
        <v>11827974.99</v>
      </c>
      <c r="CA54" s="26">
        <f t="shared" si="21"/>
        <v>0</v>
      </c>
      <c r="CB54" s="20"/>
    </row>
    <row r="55" spans="1:81">
      <c r="A55" s="422">
        <v>1890</v>
      </c>
      <c r="B55" s="5" t="s">
        <v>218</v>
      </c>
      <c r="C55" s="419"/>
      <c r="D55" s="424">
        <v>282371.31</v>
      </c>
      <c r="E55" s="424">
        <v>308742.25</v>
      </c>
      <c r="F55" s="424">
        <v>478310.25</v>
      </c>
      <c r="G55" s="424">
        <v>42512.51</v>
      </c>
      <c r="H55" s="424">
        <v>127046.34</v>
      </c>
      <c r="I55" s="424">
        <v>417039.88</v>
      </c>
      <c r="J55" s="424">
        <v>15099929.470000001</v>
      </c>
      <c r="K55" s="424">
        <v>211743.28</v>
      </c>
      <c r="L55" s="424">
        <v>2571274.54</v>
      </c>
      <c r="M55" s="424">
        <v>1514311.67</v>
      </c>
      <c r="N55" s="424">
        <v>586509.82999999996</v>
      </c>
      <c r="O55" s="424">
        <v>374636.02</v>
      </c>
      <c r="P55" s="424">
        <v>2914387.49</v>
      </c>
      <c r="Q55" s="424">
        <v>11182232.41</v>
      </c>
      <c r="R55" s="424">
        <v>145174.69</v>
      </c>
      <c r="S55" s="424">
        <v>51734.14</v>
      </c>
      <c r="T55" s="424">
        <v>351929.59999999998</v>
      </c>
      <c r="U55" s="424">
        <v>167102.1</v>
      </c>
      <c r="V55" s="424">
        <v>715209.51</v>
      </c>
      <c r="W55" s="424">
        <v>153102.73000000001</v>
      </c>
      <c r="X55" s="424">
        <v>1216863.96</v>
      </c>
      <c r="Y55" s="424">
        <v>1054135.9099999999</v>
      </c>
      <c r="Z55" s="424">
        <v>472685.28</v>
      </c>
      <c r="AA55" s="424">
        <v>1121904.1200000001</v>
      </c>
      <c r="AB55" s="424">
        <v>40747</v>
      </c>
      <c r="AC55" s="424">
        <v>67460.75</v>
      </c>
      <c r="AD55" s="424">
        <v>222194.43</v>
      </c>
      <c r="AE55" s="424">
        <v>128705.07</v>
      </c>
      <c r="AF55" s="424">
        <v>895504.95</v>
      </c>
      <c r="AG55" s="424">
        <v>134292.6</v>
      </c>
      <c r="AH55" s="424">
        <v>14138.66</v>
      </c>
      <c r="AI55" s="424">
        <v>24422.720000000001</v>
      </c>
      <c r="AJ55" s="424">
        <v>85764.67</v>
      </c>
      <c r="AK55" s="424">
        <v>167412.96</v>
      </c>
      <c r="AL55" s="424">
        <v>25285.95</v>
      </c>
      <c r="AM55" s="424">
        <v>148399.89000000001</v>
      </c>
      <c r="AN55" s="424">
        <v>18137.650000000001</v>
      </c>
      <c r="AO55" s="424">
        <v>89645.66</v>
      </c>
      <c r="AP55" s="424">
        <v>900261.58</v>
      </c>
      <c r="AQ55" s="424">
        <v>44782.6</v>
      </c>
      <c r="AR55" s="424">
        <v>312993.96000000002</v>
      </c>
      <c r="AS55" s="424">
        <v>261454.86</v>
      </c>
      <c r="AT55" s="424">
        <v>211242.55</v>
      </c>
      <c r="AU55" s="424">
        <v>85886.36</v>
      </c>
      <c r="AV55" s="424">
        <v>657428.73</v>
      </c>
      <c r="AW55" s="424">
        <v>89894.02</v>
      </c>
      <c r="AX55" s="424">
        <v>575829.53</v>
      </c>
      <c r="AY55" s="424">
        <v>339856.43</v>
      </c>
      <c r="AZ55" s="424">
        <v>220188.09</v>
      </c>
      <c r="BA55" s="424">
        <v>231884.94</v>
      </c>
      <c r="BB55" s="424">
        <v>221271.49</v>
      </c>
      <c r="BC55" s="424">
        <v>61058.85</v>
      </c>
      <c r="BD55" s="424">
        <v>138076.66</v>
      </c>
      <c r="BE55" s="424">
        <v>2015149.97</v>
      </c>
      <c r="BF55" s="424">
        <v>274234.40000000002</v>
      </c>
      <c r="BG55" s="424">
        <v>128800.5</v>
      </c>
      <c r="BH55" s="424">
        <v>494235.92</v>
      </c>
      <c r="BI55" s="424">
        <v>101671.49</v>
      </c>
      <c r="BJ55" s="424"/>
      <c r="BK55" s="352">
        <v>50989205.18</v>
      </c>
      <c r="BL55" s="352"/>
      <c r="BX55" s="431">
        <f t="shared" si="19"/>
        <v>0</v>
      </c>
      <c r="BY55" s="431">
        <f t="shared" si="20"/>
        <v>50989205.18</v>
      </c>
      <c r="BZ55" s="917">
        <v>50989205.18</v>
      </c>
      <c r="CA55" s="26">
        <f t="shared" si="21"/>
        <v>0</v>
      </c>
      <c r="CB55" s="20"/>
    </row>
    <row r="56" spans="1:81">
      <c r="A56" s="422">
        <v>1880</v>
      </c>
      <c r="B56" s="5" t="s">
        <v>219</v>
      </c>
      <c r="C56" s="419"/>
      <c r="D56" s="424">
        <v>356712.9</v>
      </c>
      <c r="E56" s="424">
        <v>14857.98</v>
      </c>
      <c r="F56" s="424">
        <v>47586.8</v>
      </c>
      <c r="G56" s="424">
        <v>54039.3</v>
      </c>
      <c r="H56" s="424">
        <v>0</v>
      </c>
      <c r="I56" s="424">
        <v>48092.07</v>
      </c>
      <c r="J56" s="424">
        <v>-1188.96</v>
      </c>
      <c r="K56" s="424">
        <v>156016.20000000001</v>
      </c>
      <c r="L56" s="424">
        <v>31985.45</v>
      </c>
      <c r="M56" s="424">
        <v>0</v>
      </c>
      <c r="N56" s="424">
        <v>189951.6</v>
      </c>
      <c r="O56" s="424">
        <v>565911.34</v>
      </c>
      <c r="P56" s="424">
        <v>314660.8</v>
      </c>
      <c r="Q56" s="424">
        <v>156000.26999999999</v>
      </c>
      <c r="R56" s="424">
        <v>158143.76</v>
      </c>
      <c r="S56" s="424">
        <v>312625.78000000003</v>
      </c>
      <c r="T56" s="424">
        <v>158297.94</v>
      </c>
      <c r="U56" s="424">
        <v>201392.32</v>
      </c>
      <c r="V56" s="424">
        <v>65651.259999999995</v>
      </c>
      <c r="W56" s="424">
        <v>664326.96</v>
      </c>
      <c r="X56" s="424">
        <v>192517.81</v>
      </c>
      <c r="Y56" s="424">
        <v>45839.7</v>
      </c>
      <c r="Z56" s="424">
        <v>336040.26</v>
      </c>
      <c r="AA56" s="424">
        <v>59030.34</v>
      </c>
      <c r="AB56" s="424">
        <v>81045.5</v>
      </c>
      <c r="AC56" s="424">
        <v>0</v>
      </c>
      <c r="AD56" s="424">
        <v>63676.72</v>
      </c>
      <c r="AE56" s="424">
        <v>66744.45</v>
      </c>
      <c r="AF56" s="424">
        <v>51989.5</v>
      </c>
      <c r="AG56" s="424">
        <v>99256.13</v>
      </c>
      <c r="AH56" s="424">
        <v>0</v>
      </c>
      <c r="AI56" s="424">
        <v>6282.31</v>
      </c>
      <c r="AJ56" s="424">
        <v>19466.48</v>
      </c>
      <c r="AK56" s="424">
        <v>73212.69</v>
      </c>
      <c r="AL56" s="424">
        <v>60987.46</v>
      </c>
      <c r="AM56" s="424">
        <v>0</v>
      </c>
      <c r="AN56" s="424">
        <v>761.19</v>
      </c>
      <c r="AO56" s="424">
        <v>56126.19</v>
      </c>
      <c r="AP56" s="424">
        <v>0</v>
      </c>
      <c r="AQ56" s="424">
        <v>115378.15</v>
      </c>
      <c r="AR56" s="424">
        <v>13444.93</v>
      </c>
      <c r="AS56" s="424">
        <v>83260.28</v>
      </c>
      <c r="AT56" s="424">
        <v>179269.51</v>
      </c>
      <c r="AU56" s="424">
        <v>33966.17</v>
      </c>
      <c r="AV56" s="424">
        <v>497926.98</v>
      </c>
      <c r="AW56" s="424">
        <v>137802.47</v>
      </c>
      <c r="AX56" s="424">
        <v>189770.33</v>
      </c>
      <c r="AY56" s="424">
        <v>151242.82999999999</v>
      </c>
      <c r="AZ56" s="424">
        <v>17275.310000000001</v>
      </c>
      <c r="BA56" s="424">
        <v>19757.48</v>
      </c>
      <c r="BB56" s="424">
        <v>53607.32</v>
      </c>
      <c r="BC56" s="424">
        <v>5243.71</v>
      </c>
      <c r="BD56" s="424">
        <v>70389.91</v>
      </c>
      <c r="BE56" s="424">
        <v>659618.09</v>
      </c>
      <c r="BF56" s="424">
        <v>298301.36</v>
      </c>
      <c r="BG56" s="424">
        <v>18</v>
      </c>
      <c r="BH56" s="424">
        <v>332959.82</v>
      </c>
      <c r="BI56" s="424">
        <v>11188.27</v>
      </c>
      <c r="BJ56" s="424"/>
      <c r="BK56" s="352">
        <v>7578461.4199999999</v>
      </c>
      <c r="BL56" s="352"/>
      <c r="BX56" s="431">
        <f t="shared" si="19"/>
        <v>0</v>
      </c>
      <c r="BY56" s="431">
        <f t="shared" si="20"/>
        <v>7578461.4199999999</v>
      </c>
      <c r="BZ56" s="917">
        <v>7578461.4199999999</v>
      </c>
      <c r="CA56" s="26">
        <f t="shared" si="21"/>
        <v>0</v>
      </c>
      <c r="CB56" s="20"/>
    </row>
    <row r="57" spans="1:81">
      <c r="A57" s="422">
        <v>1895</v>
      </c>
      <c r="B57" s="5" t="s">
        <v>220</v>
      </c>
      <c r="C57" s="5"/>
      <c r="D57" s="424">
        <v>164290.47</v>
      </c>
      <c r="E57" s="424">
        <v>252973.54</v>
      </c>
      <c r="F57" s="424">
        <v>846867.33</v>
      </c>
      <c r="G57" s="424">
        <v>234362.75</v>
      </c>
      <c r="H57" s="424">
        <v>94852.09</v>
      </c>
      <c r="I57" s="424">
        <v>148045.25</v>
      </c>
      <c r="J57" s="424">
        <v>378751.1</v>
      </c>
      <c r="K57" s="424">
        <v>599762.23</v>
      </c>
      <c r="L57" s="424">
        <v>373238.15</v>
      </c>
      <c r="M57" s="424">
        <v>114518.34</v>
      </c>
      <c r="N57" s="424">
        <v>455465.26</v>
      </c>
      <c r="O57" s="424">
        <v>433776.1</v>
      </c>
      <c r="P57" s="424">
        <v>3618506.53</v>
      </c>
      <c r="Q57" s="424">
        <v>190435.20000000001</v>
      </c>
      <c r="R57" s="424">
        <v>285213.25</v>
      </c>
      <c r="S57" s="424">
        <v>169238.82</v>
      </c>
      <c r="T57" s="424">
        <v>193845.3</v>
      </c>
      <c r="U57" s="424">
        <v>282460.76</v>
      </c>
      <c r="V57" s="424">
        <v>442721.01</v>
      </c>
      <c r="W57" s="424">
        <v>221124.29</v>
      </c>
      <c r="X57" s="424">
        <v>407495.87</v>
      </c>
      <c r="Y57" s="424">
        <v>4380327.99</v>
      </c>
      <c r="Z57" s="424">
        <v>475556.32</v>
      </c>
      <c r="AA57" s="424">
        <v>1065170.82</v>
      </c>
      <c r="AB57" s="424">
        <v>187113.68</v>
      </c>
      <c r="AC57" s="424">
        <v>185935.44</v>
      </c>
      <c r="AD57" s="424">
        <v>85135.8</v>
      </c>
      <c r="AE57" s="424">
        <v>190377.22</v>
      </c>
      <c r="AF57" s="424">
        <v>447550.97</v>
      </c>
      <c r="AG57" s="424">
        <v>508915.04</v>
      </c>
      <c r="AH57" s="424">
        <v>62593.15</v>
      </c>
      <c r="AI57" s="424">
        <v>109726.47</v>
      </c>
      <c r="AJ57" s="424">
        <v>65579.960000000006</v>
      </c>
      <c r="AK57" s="424">
        <v>236638.57</v>
      </c>
      <c r="AL57" s="424">
        <v>85066.01</v>
      </c>
      <c r="AM57" s="424">
        <v>325045.86</v>
      </c>
      <c r="AN57" s="424">
        <v>59006.84</v>
      </c>
      <c r="AO57" s="424">
        <v>350756.22</v>
      </c>
      <c r="AP57" s="424">
        <v>343995.04</v>
      </c>
      <c r="AQ57" s="424">
        <v>198506.3</v>
      </c>
      <c r="AR57" s="424">
        <v>185515.62</v>
      </c>
      <c r="AS57" s="424">
        <v>31639.63</v>
      </c>
      <c r="AT57" s="424">
        <v>414805.29</v>
      </c>
      <c r="AU57" s="424">
        <v>85130.09</v>
      </c>
      <c r="AV57" s="424">
        <v>1588466.42</v>
      </c>
      <c r="AW57" s="424">
        <v>175525.37</v>
      </c>
      <c r="AX57" s="424">
        <v>670237.51</v>
      </c>
      <c r="AY57" s="424">
        <v>108085.31</v>
      </c>
      <c r="AZ57" s="424">
        <v>337833.79</v>
      </c>
      <c r="BA57" s="424">
        <v>142168.93</v>
      </c>
      <c r="BB57" s="424">
        <v>113329.36</v>
      </c>
      <c r="BC57" s="424">
        <v>111186.79</v>
      </c>
      <c r="BD57" s="424">
        <v>289859.21999999997</v>
      </c>
      <c r="BE57" s="424">
        <v>2011533.73</v>
      </c>
      <c r="BF57" s="424">
        <v>362286.23</v>
      </c>
      <c r="BG57" s="424">
        <v>160284.93</v>
      </c>
      <c r="BH57" s="424">
        <v>176889.26</v>
      </c>
      <c r="BI57" s="424">
        <v>83036.070000000007</v>
      </c>
      <c r="BJ57" s="424"/>
      <c r="BK57" s="352">
        <v>26318754.890000001</v>
      </c>
      <c r="BL57" s="352"/>
      <c r="BM57" s="352"/>
      <c r="BN57" s="352"/>
      <c r="BO57" s="352"/>
      <c r="BP57" s="352"/>
      <c r="BQ57" s="352"/>
      <c r="BR57" s="352"/>
      <c r="BS57" s="352"/>
      <c r="BT57" s="352"/>
      <c r="BU57" s="352"/>
      <c r="BV57" s="352"/>
      <c r="BW57" s="352"/>
      <c r="BX57" s="431">
        <f t="shared" si="19"/>
        <v>0</v>
      </c>
      <c r="BY57" s="431">
        <f t="shared" si="20"/>
        <v>26318754.890000001</v>
      </c>
      <c r="BZ57" s="917">
        <v>26318754.890000001</v>
      </c>
      <c r="CA57" s="26">
        <f t="shared" si="21"/>
        <v>0</v>
      </c>
      <c r="CB57" s="20"/>
    </row>
    <row r="58" spans="1:81">
      <c r="B58" s="5" t="s">
        <v>1891</v>
      </c>
      <c r="C58" s="5"/>
      <c r="D58" s="428">
        <v>4240661.16</v>
      </c>
      <c r="E58" s="428">
        <v>1517169.17</v>
      </c>
      <c r="F58" s="428">
        <v>3053312.5</v>
      </c>
      <c r="G58" s="428">
        <v>800961.1</v>
      </c>
      <c r="H58" s="428">
        <v>711119.05</v>
      </c>
      <c r="I58" s="428">
        <v>1141728.6599999999</v>
      </c>
      <c r="J58" s="428">
        <v>15566879.800000001</v>
      </c>
      <c r="K58" s="428">
        <v>1701216.14</v>
      </c>
      <c r="L58" s="428">
        <v>5908228.0800000001</v>
      </c>
      <c r="M58" s="428">
        <v>2358195.4900000002</v>
      </c>
      <c r="N58" s="428">
        <v>2604179.2000000002</v>
      </c>
      <c r="O58" s="428">
        <v>2735177.76</v>
      </c>
      <c r="P58" s="428">
        <v>16147226.09</v>
      </c>
      <c r="Q58" s="428">
        <v>14418301.77</v>
      </c>
      <c r="R58" s="428">
        <v>1908069.07</v>
      </c>
      <c r="S58" s="428">
        <v>1310355.3700000001</v>
      </c>
      <c r="T58" s="428">
        <v>1517070.53</v>
      </c>
      <c r="U58" s="428">
        <v>1871974</v>
      </c>
      <c r="V58" s="428">
        <v>3202174.94</v>
      </c>
      <c r="W58" s="428">
        <v>1674309.52</v>
      </c>
      <c r="X58" s="428">
        <v>5891933.8700000001</v>
      </c>
      <c r="Y58" s="428">
        <v>6372853.8300000001</v>
      </c>
      <c r="Z58" s="428">
        <v>3206913.19</v>
      </c>
      <c r="AA58" s="428">
        <v>5405136.6100000003</v>
      </c>
      <c r="AB58" s="428">
        <v>612428.24</v>
      </c>
      <c r="AC58" s="428">
        <v>1399242.58</v>
      </c>
      <c r="AD58" s="428">
        <v>898435.14</v>
      </c>
      <c r="AE58" s="428">
        <v>1128753.6299999999</v>
      </c>
      <c r="AF58" s="428">
        <v>4658974.68</v>
      </c>
      <c r="AG58" s="428">
        <v>2317486.73</v>
      </c>
      <c r="AH58" s="428">
        <v>405404.2</v>
      </c>
      <c r="AI58" s="428">
        <v>773431.46</v>
      </c>
      <c r="AJ58" s="428">
        <v>656662.18000000005</v>
      </c>
      <c r="AK58" s="428">
        <v>1584958.87</v>
      </c>
      <c r="AL58" s="428">
        <v>586439.56000000006</v>
      </c>
      <c r="AM58" s="428">
        <v>930661.12</v>
      </c>
      <c r="AN58" s="428">
        <v>715945.74</v>
      </c>
      <c r="AO58" s="428">
        <v>784303.05</v>
      </c>
      <c r="AP58" s="428">
        <v>3804104.79</v>
      </c>
      <c r="AQ58" s="428">
        <v>569037.05000000005</v>
      </c>
      <c r="AR58" s="428">
        <v>1379253.91</v>
      </c>
      <c r="AS58" s="428">
        <v>639500.51</v>
      </c>
      <c r="AT58" s="428">
        <v>1751613.75</v>
      </c>
      <c r="AU58" s="428">
        <v>496993.16</v>
      </c>
      <c r="AV58" s="428">
        <v>5486367.71</v>
      </c>
      <c r="AW58" s="428">
        <v>663293.1</v>
      </c>
      <c r="AX58" s="428">
        <v>3154219.24</v>
      </c>
      <c r="AY58" s="428">
        <v>1054432.97</v>
      </c>
      <c r="AZ58" s="428">
        <v>1451870.96</v>
      </c>
      <c r="BA58" s="428">
        <v>902133.96</v>
      </c>
      <c r="BB58" s="428">
        <v>1453853.32</v>
      </c>
      <c r="BC58" s="428">
        <v>503950.21</v>
      </c>
      <c r="BD58" s="428">
        <v>669979.28</v>
      </c>
      <c r="BE58" s="428">
        <v>20157514.420000002</v>
      </c>
      <c r="BF58" s="428">
        <v>1995916.36</v>
      </c>
      <c r="BG58" s="428">
        <v>1115240.1499999999</v>
      </c>
      <c r="BH58" s="428">
        <v>1768419.21</v>
      </c>
      <c r="BI58" s="428">
        <v>566268.59</v>
      </c>
      <c r="BJ58" s="424"/>
      <c r="BK58" s="428">
        <v>172302236.72999999</v>
      </c>
      <c r="BL58" s="428"/>
      <c r="BM58" s="428">
        <f t="shared" ref="BM58:BZ58" si="22">SUM(BM51:BM57)</f>
        <v>11827974.99</v>
      </c>
      <c r="BN58" s="428">
        <f t="shared" si="22"/>
        <v>0</v>
      </c>
      <c r="BO58" s="428">
        <f t="shared" si="22"/>
        <v>0</v>
      </c>
      <c r="BP58" s="428">
        <f t="shared" si="22"/>
        <v>0</v>
      </c>
      <c r="BQ58" s="428">
        <f t="shared" si="22"/>
        <v>0</v>
      </c>
      <c r="BR58" s="428">
        <f t="shared" si="22"/>
        <v>0</v>
      </c>
      <c r="BS58" s="428">
        <f t="shared" si="22"/>
        <v>0</v>
      </c>
      <c r="BT58" s="428">
        <f t="shared" si="22"/>
        <v>0</v>
      </c>
      <c r="BU58" s="428"/>
      <c r="BV58" s="428"/>
      <c r="BW58" s="428"/>
      <c r="BX58" s="428">
        <f t="shared" si="22"/>
        <v>11827974.99</v>
      </c>
      <c r="BY58" s="428">
        <f t="shared" si="22"/>
        <v>184130211.72</v>
      </c>
      <c r="BZ58" s="918">
        <f t="shared" si="22"/>
        <v>184130211.72</v>
      </c>
      <c r="CA58" s="26">
        <f t="shared" si="21"/>
        <v>0</v>
      </c>
      <c r="CB58" s="20"/>
    </row>
    <row r="59" spans="1:81">
      <c r="B59" s="5"/>
      <c r="C59" s="5"/>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352"/>
      <c r="BL59" s="352"/>
      <c r="BX59" s="431"/>
      <c r="BY59" s="431"/>
      <c r="CB59" s="20"/>
    </row>
    <row r="60" spans="1:81">
      <c r="B60" s="7" t="s">
        <v>222</v>
      </c>
      <c r="C60" s="5"/>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352"/>
      <c r="BL60" s="352"/>
      <c r="BX60" s="431"/>
      <c r="BY60" s="431"/>
      <c r="CB60" s="20"/>
    </row>
    <row r="61" spans="1:81">
      <c r="A61" s="422">
        <v>2080</v>
      </c>
      <c r="B61" s="5" t="s">
        <v>219</v>
      </c>
      <c r="C61" s="5"/>
      <c r="D61" s="424">
        <v>0</v>
      </c>
      <c r="E61" s="424">
        <v>0</v>
      </c>
      <c r="F61" s="424">
        <v>0</v>
      </c>
      <c r="G61" s="424">
        <v>0</v>
      </c>
      <c r="H61" s="424">
        <v>0</v>
      </c>
      <c r="I61" s="424">
        <v>0</v>
      </c>
      <c r="J61" s="424">
        <v>0</v>
      </c>
      <c r="K61" s="424">
        <v>0</v>
      </c>
      <c r="L61" s="424">
        <v>0</v>
      </c>
      <c r="M61" s="424">
        <v>0</v>
      </c>
      <c r="N61" s="424">
        <v>0</v>
      </c>
      <c r="O61" s="424">
        <v>0</v>
      </c>
      <c r="P61" s="424">
        <v>0</v>
      </c>
      <c r="Q61" s="424">
        <v>0</v>
      </c>
      <c r="R61" s="424">
        <v>0</v>
      </c>
      <c r="S61" s="424">
        <v>0</v>
      </c>
      <c r="T61" s="424">
        <v>0</v>
      </c>
      <c r="U61" s="424">
        <v>0</v>
      </c>
      <c r="V61" s="424">
        <v>0</v>
      </c>
      <c r="W61" s="424">
        <v>0</v>
      </c>
      <c r="X61" s="424">
        <v>0</v>
      </c>
      <c r="Y61" s="424">
        <v>109723.13</v>
      </c>
      <c r="Z61" s="424">
        <v>0</v>
      </c>
      <c r="AA61" s="424">
        <v>0</v>
      </c>
      <c r="AB61" s="424">
        <v>0</v>
      </c>
      <c r="AC61" s="424">
        <v>0</v>
      </c>
      <c r="AD61" s="424">
        <v>0</v>
      </c>
      <c r="AE61" s="424">
        <v>0</v>
      </c>
      <c r="AF61" s="424">
        <v>0</v>
      </c>
      <c r="AG61" s="424">
        <v>0</v>
      </c>
      <c r="AH61" s="424">
        <v>27602.82</v>
      </c>
      <c r="AI61" s="424">
        <v>0</v>
      </c>
      <c r="AJ61" s="424">
        <v>0</v>
      </c>
      <c r="AK61" s="424">
        <v>0</v>
      </c>
      <c r="AL61" s="424">
        <v>0</v>
      </c>
      <c r="AM61" s="424">
        <v>132330.23000000001</v>
      </c>
      <c r="AN61" s="424">
        <v>0</v>
      </c>
      <c r="AO61" s="424">
        <v>0</v>
      </c>
      <c r="AP61" s="424">
        <v>0</v>
      </c>
      <c r="AQ61" s="424">
        <v>0</v>
      </c>
      <c r="AR61" s="424">
        <v>0</v>
      </c>
      <c r="AS61" s="424">
        <v>0</v>
      </c>
      <c r="AT61" s="424">
        <v>0</v>
      </c>
      <c r="AU61" s="424">
        <v>0</v>
      </c>
      <c r="AV61" s="424">
        <v>0</v>
      </c>
      <c r="AW61" s="424">
        <v>0</v>
      </c>
      <c r="AX61" s="424">
        <v>0</v>
      </c>
      <c r="AY61" s="424">
        <v>0</v>
      </c>
      <c r="AZ61" s="424">
        <v>301645.26</v>
      </c>
      <c r="BA61" s="424">
        <v>0</v>
      </c>
      <c r="BB61" s="424">
        <v>0</v>
      </c>
      <c r="BC61" s="424">
        <v>0</v>
      </c>
      <c r="BD61" s="424">
        <v>0</v>
      </c>
      <c r="BE61" s="424">
        <v>0</v>
      </c>
      <c r="BF61" s="424">
        <v>0</v>
      </c>
      <c r="BG61" s="424">
        <v>41323.31</v>
      </c>
      <c r="BH61" s="424">
        <v>0</v>
      </c>
      <c r="BI61" s="424">
        <v>0</v>
      </c>
      <c r="BJ61" s="424"/>
      <c r="BK61" s="352">
        <v>612624.75</v>
      </c>
      <c r="BL61" s="352"/>
      <c r="BX61" s="431">
        <f t="shared" ref="BX61:BX63" si="23">SUM(BM61:BT61)</f>
        <v>0</v>
      </c>
      <c r="BY61" s="431">
        <f>BK61+BX61</f>
        <v>612624.75</v>
      </c>
      <c r="BZ61" s="917">
        <v>612624.75</v>
      </c>
      <c r="CA61" s="26">
        <f t="shared" ref="CA61:CA65" si="24">BY61-BZ61</f>
        <v>0</v>
      </c>
      <c r="CB61" s="20"/>
    </row>
    <row r="62" spans="1:81">
      <c r="A62" s="422">
        <v>1950</v>
      </c>
      <c r="B62" s="5" t="s">
        <v>223</v>
      </c>
      <c r="C62" s="5"/>
      <c r="D62" s="424">
        <v>0</v>
      </c>
      <c r="E62" s="424">
        <v>0</v>
      </c>
      <c r="F62" s="424">
        <v>0</v>
      </c>
      <c r="G62" s="424">
        <v>0</v>
      </c>
      <c r="H62" s="424">
        <v>0</v>
      </c>
      <c r="I62" s="424">
        <v>0</v>
      </c>
      <c r="J62" s="424">
        <v>0</v>
      </c>
      <c r="K62" s="424">
        <v>0</v>
      </c>
      <c r="L62" s="424">
        <v>0</v>
      </c>
      <c r="M62" s="424">
        <v>0</v>
      </c>
      <c r="N62" s="424">
        <v>0</v>
      </c>
      <c r="O62" s="424">
        <v>0</v>
      </c>
      <c r="P62" s="424">
        <v>0</v>
      </c>
      <c r="Q62" s="424">
        <v>0</v>
      </c>
      <c r="R62" s="424">
        <v>0</v>
      </c>
      <c r="S62" s="424">
        <v>0</v>
      </c>
      <c r="T62" s="424">
        <v>0</v>
      </c>
      <c r="U62" s="424">
        <v>0</v>
      </c>
      <c r="V62" s="424">
        <v>0</v>
      </c>
      <c r="W62" s="424">
        <v>0</v>
      </c>
      <c r="X62" s="424">
        <v>0</v>
      </c>
      <c r="Y62" s="424">
        <v>0</v>
      </c>
      <c r="Z62" s="424">
        <v>0</v>
      </c>
      <c r="AA62" s="424">
        <v>0</v>
      </c>
      <c r="AB62" s="424">
        <v>0</v>
      </c>
      <c r="AC62" s="424">
        <v>0</v>
      </c>
      <c r="AD62" s="424">
        <v>0</v>
      </c>
      <c r="AE62" s="424">
        <v>0</v>
      </c>
      <c r="AF62" s="424">
        <v>0</v>
      </c>
      <c r="AG62" s="424">
        <v>0</v>
      </c>
      <c r="AH62" s="424">
        <v>0</v>
      </c>
      <c r="AI62" s="424">
        <v>0</v>
      </c>
      <c r="AJ62" s="424">
        <v>0</v>
      </c>
      <c r="AK62" s="424">
        <v>0</v>
      </c>
      <c r="AL62" s="424">
        <v>0</v>
      </c>
      <c r="AM62" s="424">
        <v>0</v>
      </c>
      <c r="AN62" s="424">
        <v>0</v>
      </c>
      <c r="AO62" s="424">
        <v>0</v>
      </c>
      <c r="AP62" s="424">
        <v>0</v>
      </c>
      <c r="AQ62" s="424">
        <v>0</v>
      </c>
      <c r="AR62" s="424">
        <v>0</v>
      </c>
      <c r="AS62" s="424">
        <v>0</v>
      </c>
      <c r="AT62" s="424">
        <v>0</v>
      </c>
      <c r="AU62" s="424">
        <v>0</v>
      </c>
      <c r="AV62" s="424">
        <v>0</v>
      </c>
      <c r="AW62" s="424">
        <v>0</v>
      </c>
      <c r="AX62" s="424">
        <v>0</v>
      </c>
      <c r="AY62" s="424">
        <v>0</v>
      </c>
      <c r="AZ62" s="424">
        <v>0</v>
      </c>
      <c r="BA62" s="424">
        <v>0</v>
      </c>
      <c r="BB62" s="424">
        <v>0</v>
      </c>
      <c r="BC62" s="424">
        <v>0</v>
      </c>
      <c r="BD62" s="424">
        <v>0</v>
      </c>
      <c r="BE62" s="424">
        <v>0</v>
      </c>
      <c r="BF62" s="424">
        <v>0</v>
      </c>
      <c r="BG62" s="424">
        <v>0</v>
      </c>
      <c r="BH62" s="424">
        <v>0</v>
      </c>
      <c r="BI62" s="424">
        <v>0</v>
      </c>
      <c r="BJ62" s="424"/>
      <c r="BK62" s="352">
        <v>0</v>
      </c>
      <c r="BL62" s="352"/>
      <c r="BX62" s="431">
        <f t="shared" si="23"/>
        <v>0</v>
      </c>
      <c r="BY62" s="431">
        <f>BK62+BX62</f>
        <v>0</v>
      </c>
      <c r="BZ62" s="917">
        <v>0</v>
      </c>
      <c r="CA62" s="26">
        <f t="shared" si="24"/>
        <v>0</v>
      </c>
      <c r="CB62" s="20"/>
    </row>
    <row r="63" spans="1:81">
      <c r="A63" s="422">
        <v>1995</v>
      </c>
      <c r="B63" s="5" t="s">
        <v>224</v>
      </c>
      <c r="C63" s="5"/>
      <c r="D63" s="424">
        <v>25961354.120000001</v>
      </c>
      <c r="E63" s="424">
        <v>23158827.739999998</v>
      </c>
      <c r="F63" s="424">
        <v>50179027.200000003</v>
      </c>
      <c r="G63" s="424">
        <v>15476724.630000001</v>
      </c>
      <c r="H63" s="424">
        <v>9310744.1600000001</v>
      </c>
      <c r="I63" s="424">
        <v>21904998.859999999</v>
      </c>
      <c r="J63" s="424">
        <v>16043565.58</v>
      </c>
      <c r="K63" s="424">
        <v>29670543.190000001</v>
      </c>
      <c r="L63" s="424">
        <v>63018703.299999997</v>
      </c>
      <c r="M63" s="424">
        <v>16026936.279999999</v>
      </c>
      <c r="N63" s="424">
        <v>41161546.18</v>
      </c>
      <c r="O63" s="424">
        <v>49622761.869999997</v>
      </c>
      <c r="P63" s="424">
        <v>153342603.21000001</v>
      </c>
      <c r="Q63" s="424">
        <v>19598430.949999999</v>
      </c>
      <c r="R63" s="424">
        <v>31790042.260000002</v>
      </c>
      <c r="S63" s="424">
        <v>18074488.899999999</v>
      </c>
      <c r="T63" s="424">
        <v>23891859.460000001</v>
      </c>
      <c r="U63" s="424">
        <v>28305810.059999999</v>
      </c>
      <c r="V63" s="424">
        <v>43922303.460000001</v>
      </c>
      <c r="W63" s="424">
        <v>26255932.210000001</v>
      </c>
      <c r="X63" s="424">
        <v>89630643.790000007</v>
      </c>
      <c r="Y63" s="424">
        <v>59338637.350000001</v>
      </c>
      <c r="Z63" s="424">
        <v>40928018.450000003</v>
      </c>
      <c r="AA63" s="424">
        <v>71405062.680000007</v>
      </c>
      <c r="AB63" s="424">
        <v>13244875.08</v>
      </c>
      <c r="AC63" s="424">
        <v>16495850.289999999</v>
      </c>
      <c r="AD63" s="424">
        <v>19436617.280000001</v>
      </c>
      <c r="AE63" s="424">
        <v>12673013.039999999</v>
      </c>
      <c r="AF63" s="424">
        <v>40488651.659999996</v>
      </c>
      <c r="AG63" s="424">
        <v>32555210.210000001</v>
      </c>
      <c r="AH63" s="424">
        <v>8227446.9000000004</v>
      </c>
      <c r="AI63" s="424">
        <v>11518750.699999999</v>
      </c>
      <c r="AJ63" s="424">
        <v>8970743.1799999997</v>
      </c>
      <c r="AK63" s="424">
        <v>21990186.809999999</v>
      </c>
      <c r="AL63" s="424">
        <v>9596594.8300000001</v>
      </c>
      <c r="AM63" s="424">
        <v>26476706.239999998</v>
      </c>
      <c r="AN63" s="424">
        <v>7343341.5099999998</v>
      </c>
      <c r="AO63" s="424">
        <v>14297248.76</v>
      </c>
      <c r="AP63" s="424">
        <v>59465398.549999997</v>
      </c>
      <c r="AQ63" s="424">
        <v>23366977.98</v>
      </c>
      <c r="AR63" s="424">
        <v>24013545.739999998</v>
      </c>
      <c r="AS63" s="424">
        <v>5719665.79</v>
      </c>
      <c r="AT63" s="424">
        <v>21560865.370000001</v>
      </c>
      <c r="AU63" s="424">
        <v>14857474.810000001</v>
      </c>
      <c r="AV63" s="424">
        <v>57086473.079999998</v>
      </c>
      <c r="AW63" s="424">
        <v>14317339.84</v>
      </c>
      <c r="AX63" s="424">
        <v>35109024.759999998</v>
      </c>
      <c r="AY63" s="424">
        <v>16247509.91</v>
      </c>
      <c r="AZ63" s="424">
        <v>20416757.940000001</v>
      </c>
      <c r="BA63" s="424">
        <v>22760669.66</v>
      </c>
      <c r="BB63" s="424">
        <v>23845545.82</v>
      </c>
      <c r="BC63" s="424">
        <v>10779788.050000001</v>
      </c>
      <c r="BD63" s="424">
        <v>23845222.100000001</v>
      </c>
      <c r="BE63" s="424">
        <v>217854500.34999999</v>
      </c>
      <c r="BF63" s="424">
        <v>31117995.809999999</v>
      </c>
      <c r="BG63" s="424">
        <v>15352168.539999999</v>
      </c>
      <c r="BH63" s="424">
        <v>29512871.91</v>
      </c>
      <c r="BI63" s="424">
        <v>14230905.300000001</v>
      </c>
      <c r="BJ63" s="424"/>
      <c r="BK63" s="352">
        <v>1892795503.6900001</v>
      </c>
      <c r="BL63" s="352"/>
      <c r="BM63" s="352"/>
      <c r="BN63" s="352"/>
      <c r="BO63" s="352"/>
      <c r="BP63" s="352"/>
      <c r="BQ63" s="352"/>
      <c r="BR63" s="352"/>
      <c r="BS63" s="352"/>
      <c r="BT63" s="352"/>
      <c r="BU63" s="352"/>
      <c r="BV63" s="352"/>
      <c r="BW63" s="352"/>
      <c r="BX63" s="431">
        <f t="shared" si="23"/>
        <v>0</v>
      </c>
      <c r="BY63" s="431">
        <f>BK63+BX63</f>
        <v>1892795503.6900001</v>
      </c>
      <c r="BZ63" s="917">
        <v>1892795503.6900001</v>
      </c>
      <c r="CA63" s="26">
        <f t="shared" si="24"/>
        <v>0</v>
      </c>
      <c r="CB63" s="20"/>
    </row>
    <row r="64" spans="1:81">
      <c r="A64" s="547"/>
      <c r="B64" s="5" t="s">
        <v>1892</v>
      </c>
      <c r="C64" s="5"/>
      <c r="D64" s="775">
        <v>25961354.120000001</v>
      </c>
      <c r="E64" s="775">
        <v>23158827.739999998</v>
      </c>
      <c r="F64" s="775">
        <v>50179027.200000003</v>
      </c>
      <c r="G64" s="775">
        <v>15476724.630000001</v>
      </c>
      <c r="H64" s="775">
        <v>9310744.1600000001</v>
      </c>
      <c r="I64" s="775">
        <v>21904998.859999999</v>
      </c>
      <c r="J64" s="775">
        <v>16043565.58</v>
      </c>
      <c r="K64" s="775">
        <v>29670543.190000001</v>
      </c>
      <c r="L64" s="775">
        <v>63018703.299999997</v>
      </c>
      <c r="M64" s="775">
        <v>16026936.279999999</v>
      </c>
      <c r="N64" s="775">
        <v>41161546.18</v>
      </c>
      <c r="O64" s="775">
        <v>49622761.869999997</v>
      </c>
      <c r="P64" s="775">
        <v>153342603.21000001</v>
      </c>
      <c r="Q64" s="775">
        <v>19598430.949999999</v>
      </c>
      <c r="R64" s="775">
        <v>31790042.260000002</v>
      </c>
      <c r="S64" s="775">
        <v>18074488.899999999</v>
      </c>
      <c r="T64" s="775">
        <v>23891859.460000001</v>
      </c>
      <c r="U64" s="775">
        <v>28305810.059999999</v>
      </c>
      <c r="V64" s="775">
        <v>43922303.460000001</v>
      </c>
      <c r="W64" s="775">
        <v>26255932.210000001</v>
      </c>
      <c r="X64" s="775">
        <v>89630643.790000007</v>
      </c>
      <c r="Y64" s="775">
        <v>59448360.479999997</v>
      </c>
      <c r="Z64" s="775">
        <v>40928018.450000003</v>
      </c>
      <c r="AA64" s="775">
        <v>71405062.680000007</v>
      </c>
      <c r="AB64" s="775">
        <v>13244875.08</v>
      </c>
      <c r="AC64" s="775">
        <v>16495850.289999999</v>
      </c>
      <c r="AD64" s="775">
        <v>19436617.280000001</v>
      </c>
      <c r="AE64" s="775">
        <v>12673013.039999999</v>
      </c>
      <c r="AF64" s="775">
        <v>40488651.659999996</v>
      </c>
      <c r="AG64" s="775">
        <v>32555210.210000001</v>
      </c>
      <c r="AH64" s="775">
        <v>8255049.7199999997</v>
      </c>
      <c r="AI64" s="775">
        <v>11518750.699999999</v>
      </c>
      <c r="AJ64" s="775">
        <v>8970743.1799999997</v>
      </c>
      <c r="AK64" s="775">
        <v>21990186.809999999</v>
      </c>
      <c r="AL64" s="775">
        <v>9596594.8300000001</v>
      </c>
      <c r="AM64" s="775">
        <v>26609036.469999999</v>
      </c>
      <c r="AN64" s="775">
        <v>7343341.5099999998</v>
      </c>
      <c r="AO64" s="775">
        <v>14297248.76</v>
      </c>
      <c r="AP64" s="775">
        <v>59465398.549999997</v>
      </c>
      <c r="AQ64" s="775">
        <v>23366977.98</v>
      </c>
      <c r="AR64" s="775">
        <v>24013545.739999998</v>
      </c>
      <c r="AS64" s="775">
        <v>5719665.79</v>
      </c>
      <c r="AT64" s="775">
        <v>21560865.370000001</v>
      </c>
      <c r="AU64" s="775">
        <v>14857474.810000001</v>
      </c>
      <c r="AV64" s="775">
        <v>57086473.079999998</v>
      </c>
      <c r="AW64" s="775">
        <v>14317339.84</v>
      </c>
      <c r="AX64" s="775">
        <v>35109024.759999998</v>
      </c>
      <c r="AY64" s="775">
        <v>16247509.91</v>
      </c>
      <c r="AZ64" s="775">
        <v>20718403.199999999</v>
      </c>
      <c r="BA64" s="775">
        <v>22760669.66</v>
      </c>
      <c r="BB64" s="775">
        <v>23845545.82</v>
      </c>
      <c r="BC64" s="775">
        <v>10779788.050000001</v>
      </c>
      <c r="BD64" s="775">
        <v>23845222.100000001</v>
      </c>
      <c r="BE64" s="775">
        <v>217854500.34999999</v>
      </c>
      <c r="BF64" s="775">
        <v>31117995.809999999</v>
      </c>
      <c r="BG64" s="775">
        <v>15393491.85</v>
      </c>
      <c r="BH64" s="775">
        <v>29512871.91</v>
      </c>
      <c r="BI64" s="775">
        <v>14230905.300000001</v>
      </c>
      <c r="BJ64" s="424"/>
      <c r="BK64" s="775">
        <v>1893408128.4400001</v>
      </c>
      <c r="BL64" s="775"/>
      <c r="BM64" s="775"/>
      <c r="BN64" s="775"/>
      <c r="BO64" s="775"/>
      <c r="BP64" s="775"/>
      <c r="BQ64" s="775"/>
      <c r="BR64" s="775"/>
      <c r="BS64" s="775"/>
      <c r="BT64" s="775"/>
      <c r="BU64" s="775"/>
      <c r="BV64" s="775"/>
      <c r="BW64" s="775"/>
      <c r="BX64" s="775">
        <f>SUM(BX61:BX63)</f>
        <v>0</v>
      </c>
      <c r="BY64" s="775">
        <f>SUM(BY61:BY63)</f>
        <v>1893408128.4400001</v>
      </c>
      <c r="BZ64" s="775">
        <f>SUM(BZ61:BZ63)</f>
        <v>1893408128.4400001</v>
      </c>
      <c r="CA64" s="26">
        <f t="shared" si="24"/>
        <v>0</v>
      </c>
      <c r="CB64" s="20"/>
    </row>
    <row r="65" spans="1:81">
      <c r="A65" s="547"/>
      <c r="B65" s="5" t="s">
        <v>465</v>
      </c>
      <c r="C65" s="5"/>
      <c r="D65" s="428">
        <v>30202015.280000001</v>
      </c>
      <c r="E65" s="428">
        <v>24675996.91</v>
      </c>
      <c r="F65" s="428">
        <v>53232339.700000003</v>
      </c>
      <c r="G65" s="428">
        <v>16277685.73</v>
      </c>
      <c r="H65" s="428">
        <v>10021863.210000001</v>
      </c>
      <c r="I65" s="428">
        <v>23046727.52</v>
      </c>
      <c r="J65" s="428">
        <v>31610445.379999999</v>
      </c>
      <c r="K65" s="428">
        <v>31371759.329999998</v>
      </c>
      <c r="L65" s="428">
        <v>68926931.379999995</v>
      </c>
      <c r="M65" s="428">
        <v>18385131.77</v>
      </c>
      <c r="N65" s="428">
        <v>43765725.380000003</v>
      </c>
      <c r="O65" s="428">
        <v>52357939.630000003</v>
      </c>
      <c r="P65" s="428">
        <v>169489829.30000001</v>
      </c>
      <c r="Q65" s="428">
        <v>34016732.719999999</v>
      </c>
      <c r="R65" s="428">
        <v>33698111.329999998</v>
      </c>
      <c r="S65" s="428">
        <v>19384844.27</v>
      </c>
      <c r="T65" s="428">
        <v>25408929.989999998</v>
      </c>
      <c r="U65" s="428">
        <v>30177784.059999999</v>
      </c>
      <c r="V65" s="428">
        <v>47124478.399999999</v>
      </c>
      <c r="W65" s="428">
        <v>27930241.73</v>
      </c>
      <c r="X65" s="428">
        <v>95522577.659999996</v>
      </c>
      <c r="Y65" s="428">
        <v>65821214.310000002</v>
      </c>
      <c r="Z65" s="428">
        <v>44134931.640000001</v>
      </c>
      <c r="AA65" s="428">
        <v>76810199.290000007</v>
      </c>
      <c r="AB65" s="428">
        <v>13857303.32</v>
      </c>
      <c r="AC65" s="428">
        <v>17895092.870000001</v>
      </c>
      <c r="AD65" s="428">
        <v>20335052.420000002</v>
      </c>
      <c r="AE65" s="428">
        <v>13801766.67</v>
      </c>
      <c r="AF65" s="428">
        <v>45147626.340000004</v>
      </c>
      <c r="AG65" s="428">
        <v>34872696.939999998</v>
      </c>
      <c r="AH65" s="428">
        <v>8660453.9199999999</v>
      </c>
      <c r="AI65" s="428">
        <v>12292182.16</v>
      </c>
      <c r="AJ65" s="428">
        <v>9627405.3599999994</v>
      </c>
      <c r="AK65" s="428">
        <v>23575145.68</v>
      </c>
      <c r="AL65" s="428">
        <v>10183034.390000001</v>
      </c>
      <c r="AM65" s="428">
        <v>27539697.59</v>
      </c>
      <c r="AN65" s="428">
        <v>8059287.25</v>
      </c>
      <c r="AO65" s="428">
        <v>15081551.810000001</v>
      </c>
      <c r="AP65" s="428">
        <v>63269503.340000004</v>
      </c>
      <c r="AQ65" s="428">
        <v>23936015.030000001</v>
      </c>
      <c r="AR65" s="428">
        <v>25392799.649999999</v>
      </c>
      <c r="AS65" s="428">
        <v>6359166.2999999998</v>
      </c>
      <c r="AT65" s="428">
        <v>23312479.120000001</v>
      </c>
      <c r="AU65" s="428">
        <v>15354467.970000001</v>
      </c>
      <c r="AV65" s="428">
        <v>62572840.789999999</v>
      </c>
      <c r="AW65" s="428">
        <v>14980632.939999999</v>
      </c>
      <c r="AX65" s="428">
        <v>38263244</v>
      </c>
      <c r="AY65" s="428">
        <v>17301942.879999999</v>
      </c>
      <c r="AZ65" s="428">
        <v>22170274.16</v>
      </c>
      <c r="BA65" s="428">
        <v>23662803.620000001</v>
      </c>
      <c r="BB65" s="428">
        <v>25299399.140000001</v>
      </c>
      <c r="BC65" s="428">
        <v>11283738.26</v>
      </c>
      <c r="BD65" s="428">
        <v>24515201.379999999</v>
      </c>
      <c r="BE65" s="428">
        <v>238012014.77000001</v>
      </c>
      <c r="BF65" s="428">
        <v>33113912.170000002</v>
      </c>
      <c r="BG65" s="428">
        <v>16508732</v>
      </c>
      <c r="BH65" s="428">
        <v>31281291.120000001</v>
      </c>
      <c r="BI65" s="428">
        <v>14797173.890000001</v>
      </c>
      <c r="BJ65" s="424"/>
      <c r="BK65" s="428">
        <v>2065710365.1700001</v>
      </c>
      <c r="BL65" s="428"/>
      <c r="BM65" s="428">
        <f t="shared" ref="BM65:BZ65" si="25">BM58+BM64</f>
        <v>11827974.99</v>
      </c>
      <c r="BN65" s="428">
        <f t="shared" si="25"/>
        <v>0</v>
      </c>
      <c r="BO65" s="428">
        <f t="shared" si="25"/>
        <v>0</v>
      </c>
      <c r="BP65" s="428">
        <f t="shared" si="25"/>
        <v>0</v>
      </c>
      <c r="BQ65" s="428">
        <f t="shared" si="25"/>
        <v>0</v>
      </c>
      <c r="BR65" s="428">
        <f t="shared" si="25"/>
        <v>0</v>
      </c>
      <c r="BS65" s="428">
        <f t="shared" si="25"/>
        <v>0</v>
      </c>
      <c r="BT65" s="428">
        <f t="shared" si="25"/>
        <v>0</v>
      </c>
      <c r="BU65" s="428"/>
      <c r="BV65" s="428"/>
      <c r="BW65" s="428"/>
      <c r="BX65" s="923">
        <f t="shared" si="25"/>
        <v>11827974.99</v>
      </c>
      <c r="BY65" s="923">
        <f t="shared" si="25"/>
        <v>2077538340.1600001</v>
      </c>
      <c r="BZ65" s="918">
        <f t="shared" si="25"/>
        <v>2077538340.1600001</v>
      </c>
      <c r="CA65" s="26">
        <f t="shared" si="24"/>
        <v>0</v>
      </c>
      <c r="CB65" s="20"/>
    </row>
    <row r="66" spans="1:81">
      <c r="A66" s="547"/>
      <c r="B66" s="5"/>
      <c r="C66" s="5"/>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352"/>
      <c r="BL66" s="352"/>
      <c r="BX66" s="431"/>
      <c r="BY66" s="431"/>
      <c r="CB66" s="20"/>
    </row>
    <row r="67" spans="1:81" ht="10.8" thickBot="1">
      <c r="B67" s="416" t="s">
        <v>227</v>
      </c>
      <c r="C67" s="5"/>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352"/>
      <c r="BL67" s="352"/>
      <c r="BX67" s="431"/>
      <c r="BY67" s="431"/>
      <c r="CB67" s="20"/>
    </row>
    <row r="68" spans="1:81" ht="10.8" thickTop="1">
      <c r="A68" s="422">
        <v>2026</v>
      </c>
      <c r="B68" s="5" t="s">
        <v>466</v>
      </c>
      <c r="C68" s="5"/>
      <c r="D68" s="424">
        <v>0</v>
      </c>
      <c r="E68" s="424">
        <v>0</v>
      </c>
      <c r="F68" s="424">
        <v>0</v>
      </c>
      <c r="G68" s="424">
        <v>0</v>
      </c>
      <c r="H68" s="424">
        <v>0</v>
      </c>
      <c r="I68" s="424">
        <v>0</v>
      </c>
      <c r="J68" s="424">
        <v>0</v>
      </c>
      <c r="K68" s="424">
        <v>0</v>
      </c>
      <c r="L68" s="424">
        <v>0</v>
      </c>
      <c r="M68" s="424">
        <v>0</v>
      </c>
      <c r="N68" s="424">
        <v>0</v>
      </c>
      <c r="O68" s="424">
        <v>0</v>
      </c>
      <c r="P68" s="424">
        <v>0</v>
      </c>
      <c r="Q68" s="424">
        <v>0</v>
      </c>
      <c r="R68" s="424">
        <v>0</v>
      </c>
      <c r="S68" s="424">
        <v>0</v>
      </c>
      <c r="T68" s="424">
        <v>0</v>
      </c>
      <c r="U68" s="424">
        <v>0</v>
      </c>
      <c r="V68" s="424">
        <v>0</v>
      </c>
      <c r="W68" s="424">
        <v>0</v>
      </c>
      <c r="X68" s="424">
        <v>0</v>
      </c>
      <c r="Y68" s="424">
        <v>0</v>
      </c>
      <c r="Z68" s="424">
        <v>0</v>
      </c>
      <c r="AA68" s="424">
        <v>0</v>
      </c>
      <c r="AB68" s="424">
        <v>0</v>
      </c>
      <c r="AC68" s="424">
        <v>0</v>
      </c>
      <c r="AD68" s="424">
        <v>0</v>
      </c>
      <c r="AE68" s="424">
        <v>0</v>
      </c>
      <c r="AF68" s="424">
        <v>0</v>
      </c>
      <c r="AG68" s="424">
        <v>0</v>
      </c>
      <c r="AH68" s="424">
        <v>0</v>
      </c>
      <c r="AI68" s="424">
        <v>0</v>
      </c>
      <c r="AJ68" s="424">
        <v>0</v>
      </c>
      <c r="AK68" s="424">
        <v>0</v>
      </c>
      <c r="AL68" s="424">
        <v>0</v>
      </c>
      <c r="AM68" s="424">
        <v>0</v>
      </c>
      <c r="AN68" s="424">
        <v>0</v>
      </c>
      <c r="AO68" s="424">
        <v>0</v>
      </c>
      <c r="AP68" s="424">
        <v>0</v>
      </c>
      <c r="AQ68" s="424">
        <v>0</v>
      </c>
      <c r="AR68" s="424">
        <v>0</v>
      </c>
      <c r="AS68" s="424">
        <v>0</v>
      </c>
      <c r="AT68" s="424">
        <v>0</v>
      </c>
      <c r="AU68" s="424">
        <v>0</v>
      </c>
      <c r="AV68" s="424">
        <v>0</v>
      </c>
      <c r="AW68" s="424">
        <v>0</v>
      </c>
      <c r="AX68" s="424">
        <v>0</v>
      </c>
      <c r="AY68" s="424">
        <v>0</v>
      </c>
      <c r="AZ68" s="424">
        <v>0</v>
      </c>
      <c r="BA68" s="424">
        <v>0</v>
      </c>
      <c r="BB68" s="424">
        <v>0</v>
      </c>
      <c r="BC68" s="424">
        <v>0</v>
      </c>
      <c r="BD68" s="424">
        <v>0</v>
      </c>
      <c r="BE68" s="424">
        <v>0</v>
      </c>
      <c r="BF68" s="424">
        <v>0</v>
      </c>
      <c r="BG68" s="424">
        <v>0</v>
      </c>
      <c r="BH68" s="424">
        <v>0</v>
      </c>
      <c r="BI68" s="424">
        <v>0</v>
      </c>
      <c r="BJ68" s="426"/>
      <c r="BK68" s="352">
        <v>0</v>
      </c>
      <c r="BL68" s="352"/>
      <c r="BM68" s="424"/>
      <c r="BN68" s="424"/>
      <c r="BO68" s="424"/>
      <c r="BP68" s="424"/>
      <c r="BQ68" s="424"/>
      <c r="BR68" s="424"/>
      <c r="BS68" s="424"/>
      <c r="BT68" s="424"/>
      <c r="BU68" s="424"/>
      <c r="BV68" s="424"/>
      <c r="BW68" s="424"/>
      <c r="BX68" s="431">
        <f t="shared" ref="BX68:BX74" si="26">SUM(BM68:BT68)</f>
        <v>0</v>
      </c>
      <c r="BY68" s="431">
        <f t="shared" ref="BY68:BY74" si="27">BK68+BX68</f>
        <v>0</v>
      </c>
      <c r="BZ68" s="917">
        <v>0</v>
      </c>
      <c r="CA68" s="26">
        <f t="shared" ref="CA68:CA75" si="28">BY68-BZ68</f>
        <v>0</v>
      </c>
      <c r="CB68" s="20"/>
      <c r="CC68" s="1"/>
    </row>
    <row r="69" spans="1:81">
      <c r="A69" s="422">
        <v>1768</v>
      </c>
      <c r="B69" s="5" t="s">
        <v>230</v>
      </c>
      <c r="C69" s="5"/>
      <c r="D69" s="424">
        <v>0</v>
      </c>
      <c r="E69" s="424">
        <v>0</v>
      </c>
      <c r="F69" s="424">
        <v>0</v>
      </c>
      <c r="G69" s="424">
        <v>0</v>
      </c>
      <c r="H69" s="424">
        <v>0</v>
      </c>
      <c r="I69" s="424">
        <v>0</v>
      </c>
      <c r="J69" s="424">
        <v>0</v>
      </c>
      <c r="K69" s="424">
        <v>0</v>
      </c>
      <c r="L69" s="424">
        <v>0</v>
      </c>
      <c r="M69" s="424">
        <v>0</v>
      </c>
      <c r="N69" s="424">
        <v>0</v>
      </c>
      <c r="O69" s="424">
        <v>0</v>
      </c>
      <c r="P69" s="424">
        <v>0</v>
      </c>
      <c r="Q69" s="424">
        <v>0</v>
      </c>
      <c r="R69" s="424">
        <v>0</v>
      </c>
      <c r="S69" s="424">
        <v>0</v>
      </c>
      <c r="T69" s="424">
        <v>0</v>
      </c>
      <c r="U69" s="424">
        <v>0</v>
      </c>
      <c r="V69" s="424">
        <v>0</v>
      </c>
      <c r="W69" s="424">
        <v>0</v>
      </c>
      <c r="X69" s="424">
        <v>0</v>
      </c>
      <c r="Y69" s="424">
        <v>0</v>
      </c>
      <c r="Z69" s="424">
        <v>0</v>
      </c>
      <c r="AA69" s="424">
        <v>0</v>
      </c>
      <c r="AB69" s="424">
        <v>0</v>
      </c>
      <c r="AC69" s="424">
        <v>0</v>
      </c>
      <c r="AD69" s="424">
        <v>0</v>
      </c>
      <c r="AE69" s="424">
        <v>0</v>
      </c>
      <c r="AF69" s="424">
        <v>0</v>
      </c>
      <c r="AG69" s="424">
        <v>0</v>
      </c>
      <c r="AH69" s="424">
        <v>0</v>
      </c>
      <c r="AI69" s="424">
        <v>0</v>
      </c>
      <c r="AJ69" s="424">
        <v>0</v>
      </c>
      <c r="AK69" s="424">
        <v>0</v>
      </c>
      <c r="AL69" s="424">
        <v>0</v>
      </c>
      <c r="AM69" s="424">
        <v>0</v>
      </c>
      <c r="AN69" s="424">
        <v>0</v>
      </c>
      <c r="AO69" s="424">
        <v>0</v>
      </c>
      <c r="AP69" s="424">
        <v>0</v>
      </c>
      <c r="AQ69" s="424">
        <v>0</v>
      </c>
      <c r="AR69" s="424">
        <v>0</v>
      </c>
      <c r="AS69" s="424">
        <v>0</v>
      </c>
      <c r="AT69" s="424">
        <v>0</v>
      </c>
      <c r="AU69" s="424">
        <v>0</v>
      </c>
      <c r="AV69" s="424">
        <v>0</v>
      </c>
      <c r="AW69" s="424">
        <v>0</v>
      </c>
      <c r="AX69" s="424">
        <v>0</v>
      </c>
      <c r="AY69" s="424">
        <v>0</v>
      </c>
      <c r="AZ69" s="424">
        <v>0</v>
      </c>
      <c r="BA69" s="424">
        <v>0</v>
      </c>
      <c r="BB69" s="424">
        <v>0</v>
      </c>
      <c r="BC69" s="424">
        <v>0</v>
      </c>
      <c r="BD69" s="424">
        <v>0</v>
      </c>
      <c r="BE69" s="424">
        <v>0</v>
      </c>
      <c r="BF69" s="424">
        <v>0</v>
      </c>
      <c r="BG69" s="424">
        <v>0</v>
      </c>
      <c r="BH69" s="424">
        <v>0</v>
      </c>
      <c r="BI69" s="424">
        <v>0</v>
      </c>
      <c r="BJ69" s="426"/>
      <c r="BK69" s="352">
        <v>0</v>
      </c>
      <c r="BL69" s="352"/>
      <c r="BM69" s="424"/>
      <c r="BN69" s="424"/>
      <c r="BO69" s="424"/>
      <c r="BP69" s="424"/>
      <c r="BQ69" s="424"/>
      <c r="BR69" s="424"/>
      <c r="BS69" s="424"/>
      <c r="BT69" s="424"/>
      <c r="BU69" s="424"/>
      <c r="BV69" s="424"/>
      <c r="BW69" s="424"/>
      <c r="BX69" s="431">
        <f t="shared" si="26"/>
        <v>0</v>
      </c>
      <c r="BY69" s="431">
        <f t="shared" si="27"/>
        <v>0</v>
      </c>
      <c r="BZ69" s="917">
        <v>0</v>
      </c>
      <c r="CA69" s="26">
        <f t="shared" si="28"/>
        <v>0</v>
      </c>
      <c r="CB69" s="20"/>
      <c r="CC69" s="1"/>
    </row>
    <row r="70" spans="1:81">
      <c r="A70" s="422">
        <v>1772</v>
      </c>
      <c r="B70" s="5" t="s">
        <v>1893</v>
      </c>
      <c r="C70" s="5"/>
      <c r="D70" s="424">
        <v>0</v>
      </c>
      <c r="E70" s="424">
        <v>0</v>
      </c>
      <c r="F70" s="424">
        <v>0</v>
      </c>
      <c r="G70" s="424">
        <v>0</v>
      </c>
      <c r="H70" s="424">
        <v>0</v>
      </c>
      <c r="I70" s="424">
        <v>0</v>
      </c>
      <c r="J70" s="424">
        <v>0</v>
      </c>
      <c r="K70" s="424">
        <v>0</v>
      </c>
      <c r="L70" s="424">
        <v>0</v>
      </c>
      <c r="M70" s="424">
        <v>0</v>
      </c>
      <c r="N70" s="424">
        <v>0</v>
      </c>
      <c r="O70" s="424">
        <v>0</v>
      </c>
      <c r="P70" s="424">
        <v>0</v>
      </c>
      <c r="Q70" s="424">
        <v>0</v>
      </c>
      <c r="R70" s="424">
        <v>0</v>
      </c>
      <c r="S70" s="424">
        <v>0</v>
      </c>
      <c r="T70" s="424">
        <v>0</v>
      </c>
      <c r="U70" s="424">
        <v>0</v>
      </c>
      <c r="V70" s="424">
        <v>0</v>
      </c>
      <c r="W70" s="424">
        <v>0</v>
      </c>
      <c r="X70" s="424">
        <v>0</v>
      </c>
      <c r="Y70" s="424">
        <v>0</v>
      </c>
      <c r="Z70" s="424">
        <v>0</v>
      </c>
      <c r="AA70" s="424">
        <v>0</v>
      </c>
      <c r="AB70" s="424">
        <v>0</v>
      </c>
      <c r="AC70" s="424">
        <v>0</v>
      </c>
      <c r="AD70" s="424">
        <v>0</v>
      </c>
      <c r="AE70" s="424">
        <v>0</v>
      </c>
      <c r="AF70" s="424">
        <v>0</v>
      </c>
      <c r="AG70" s="424">
        <v>0</v>
      </c>
      <c r="AH70" s="424">
        <v>0</v>
      </c>
      <c r="AI70" s="424">
        <v>0</v>
      </c>
      <c r="AJ70" s="424">
        <v>0</v>
      </c>
      <c r="AK70" s="424">
        <v>0</v>
      </c>
      <c r="AL70" s="424">
        <v>0</v>
      </c>
      <c r="AM70" s="424">
        <v>0</v>
      </c>
      <c r="AN70" s="424">
        <v>0</v>
      </c>
      <c r="AO70" s="424">
        <v>0</v>
      </c>
      <c r="AP70" s="424">
        <v>0</v>
      </c>
      <c r="AQ70" s="424">
        <v>0</v>
      </c>
      <c r="AR70" s="424">
        <v>0</v>
      </c>
      <c r="AS70" s="424">
        <v>0</v>
      </c>
      <c r="AT70" s="424">
        <v>0</v>
      </c>
      <c r="AU70" s="424">
        <v>0</v>
      </c>
      <c r="AV70" s="424">
        <v>0</v>
      </c>
      <c r="AW70" s="424">
        <v>0</v>
      </c>
      <c r="AX70" s="424">
        <v>0</v>
      </c>
      <c r="AY70" s="424">
        <v>0</v>
      </c>
      <c r="AZ70" s="424">
        <v>0</v>
      </c>
      <c r="BA70" s="424">
        <v>0</v>
      </c>
      <c r="BB70" s="424">
        <v>0</v>
      </c>
      <c r="BC70" s="424">
        <v>0</v>
      </c>
      <c r="BD70" s="424">
        <v>0</v>
      </c>
      <c r="BE70" s="424">
        <v>0</v>
      </c>
      <c r="BF70" s="424">
        <v>0</v>
      </c>
      <c r="BG70" s="424">
        <v>0</v>
      </c>
      <c r="BH70" s="424">
        <v>0</v>
      </c>
      <c r="BI70" s="424">
        <v>0</v>
      </c>
      <c r="BJ70" s="426"/>
      <c r="BK70" s="352">
        <v>0</v>
      </c>
      <c r="BL70" s="352"/>
      <c r="BM70" s="424"/>
      <c r="BN70" s="424"/>
      <c r="BO70" s="424"/>
      <c r="BP70" s="424"/>
      <c r="BQ70" s="424"/>
      <c r="BR70" s="424"/>
      <c r="BS70" s="424"/>
      <c r="BT70" s="424"/>
      <c r="BU70" s="424"/>
      <c r="BV70" s="424"/>
      <c r="BW70" s="424"/>
      <c r="BX70" s="431">
        <f t="shared" ref="BX70" si="29">SUM(BM70:BT70)</f>
        <v>0</v>
      </c>
      <c r="BY70" s="431">
        <f t="shared" si="27"/>
        <v>0</v>
      </c>
      <c r="BZ70" s="917">
        <v>0</v>
      </c>
      <c r="CA70" s="26">
        <f t="shared" si="28"/>
        <v>0</v>
      </c>
      <c r="CB70" s="20"/>
      <c r="CC70" s="1"/>
    </row>
    <row r="71" spans="1:81">
      <c r="A71" s="422">
        <v>1767</v>
      </c>
      <c r="B71" s="5" t="s">
        <v>232</v>
      </c>
      <c r="C71" s="5"/>
      <c r="D71" s="424">
        <v>5147245</v>
      </c>
      <c r="E71" s="424">
        <v>4280641</v>
      </c>
      <c r="F71" s="424">
        <v>9315879</v>
      </c>
      <c r="G71" s="424">
        <v>2941404</v>
      </c>
      <c r="H71" s="424">
        <v>1752618</v>
      </c>
      <c r="I71" s="424">
        <v>4117804</v>
      </c>
      <c r="J71" s="424">
        <v>2716566</v>
      </c>
      <c r="K71" s="424">
        <v>5204832</v>
      </c>
      <c r="L71" s="424">
        <v>12335120</v>
      </c>
      <c r="M71" s="424">
        <v>2861316</v>
      </c>
      <c r="N71" s="424">
        <v>6999383</v>
      </c>
      <c r="O71" s="424">
        <v>9024669</v>
      </c>
      <c r="P71" s="424">
        <v>28796432</v>
      </c>
      <c r="Q71" s="424">
        <v>3663273</v>
      </c>
      <c r="R71" s="424">
        <v>6542190</v>
      </c>
      <c r="S71" s="424">
        <v>3318015</v>
      </c>
      <c r="T71" s="424">
        <v>4460081</v>
      </c>
      <c r="U71" s="424">
        <v>5224787</v>
      </c>
      <c r="V71" s="424">
        <v>7502978</v>
      </c>
      <c r="W71" s="424">
        <v>2924227</v>
      </c>
      <c r="X71" s="424">
        <v>16476644</v>
      </c>
      <c r="Y71" s="424">
        <v>11240251</v>
      </c>
      <c r="Z71" s="424">
        <v>7519169</v>
      </c>
      <c r="AA71" s="424">
        <v>13117210</v>
      </c>
      <c r="AB71" s="424">
        <v>2523074</v>
      </c>
      <c r="AC71" s="424">
        <v>3253506</v>
      </c>
      <c r="AD71" s="424">
        <v>3646244</v>
      </c>
      <c r="AE71" s="424">
        <v>2335903</v>
      </c>
      <c r="AF71" s="424">
        <v>7076417</v>
      </c>
      <c r="AG71" s="424">
        <v>5847585</v>
      </c>
      <c r="AH71" s="424">
        <v>1544173</v>
      </c>
      <c r="AI71" s="424">
        <v>2224525</v>
      </c>
      <c r="AJ71" s="424">
        <v>1620134</v>
      </c>
      <c r="AK71" s="424">
        <v>4112537</v>
      </c>
      <c r="AL71" s="424">
        <v>1861051</v>
      </c>
      <c r="AM71" s="424">
        <v>5173935</v>
      </c>
      <c r="AN71" s="424">
        <v>1366206</v>
      </c>
      <c r="AO71" s="424">
        <v>2624025</v>
      </c>
      <c r="AP71" s="424">
        <v>11442259</v>
      </c>
      <c r="AQ71" s="424">
        <v>4527436</v>
      </c>
      <c r="AR71" s="424">
        <v>4693892</v>
      </c>
      <c r="AS71" s="424">
        <v>1175037</v>
      </c>
      <c r="AT71" s="424">
        <v>3549360</v>
      </c>
      <c r="AU71" s="424">
        <v>2762398</v>
      </c>
      <c r="AV71" s="424">
        <v>8389570</v>
      </c>
      <c r="AW71" s="424">
        <v>2671712</v>
      </c>
      <c r="AX71" s="424">
        <v>5645826</v>
      </c>
      <c r="AY71" s="424">
        <v>3191525</v>
      </c>
      <c r="AZ71" s="424">
        <v>3963970</v>
      </c>
      <c r="BA71" s="424">
        <v>4546544</v>
      </c>
      <c r="BB71" s="424">
        <v>4582388</v>
      </c>
      <c r="BC71" s="424">
        <v>2038631</v>
      </c>
      <c r="BD71" s="424">
        <v>4455396</v>
      </c>
      <c r="BE71" s="424">
        <v>34265609</v>
      </c>
      <c r="BF71" s="424">
        <v>5717503</v>
      </c>
      <c r="BG71" s="424">
        <v>2900722</v>
      </c>
      <c r="BH71" s="424">
        <v>5270554</v>
      </c>
      <c r="BI71" s="424">
        <v>2791892</v>
      </c>
      <c r="BJ71" s="426"/>
      <c r="BK71" s="352">
        <v>341274273</v>
      </c>
      <c r="BL71" s="352"/>
      <c r="BM71" s="424"/>
      <c r="BN71" s="424"/>
      <c r="BO71" s="424"/>
      <c r="BP71" s="424"/>
      <c r="BQ71" s="424"/>
      <c r="BR71" s="424"/>
      <c r="BS71" s="424"/>
      <c r="BT71" s="424"/>
      <c r="BU71" s="424"/>
      <c r="BV71" s="424"/>
      <c r="BW71" s="424"/>
      <c r="BX71" s="431">
        <f t="shared" si="26"/>
        <v>0</v>
      </c>
      <c r="BY71" s="431">
        <f t="shared" si="27"/>
        <v>341274273</v>
      </c>
      <c r="BZ71" s="917">
        <v>341274273</v>
      </c>
      <c r="CA71" s="26">
        <f t="shared" si="28"/>
        <v>0</v>
      </c>
      <c r="CB71" s="20"/>
    </row>
    <row r="72" spans="1:81">
      <c r="A72" s="422">
        <v>1771</v>
      </c>
      <c r="B72" s="5" t="s">
        <v>233</v>
      </c>
      <c r="C72" s="5"/>
      <c r="D72" s="424">
        <v>7824713</v>
      </c>
      <c r="E72" s="424">
        <v>7519480</v>
      </c>
      <c r="F72" s="424">
        <v>13611531</v>
      </c>
      <c r="G72" s="424">
        <v>3869627</v>
      </c>
      <c r="H72" s="424">
        <v>2744465</v>
      </c>
      <c r="I72" s="424">
        <v>5390935</v>
      </c>
      <c r="J72" s="424">
        <v>3737097</v>
      </c>
      <c r="K72" s="424">
        <v>8258469</v>
      </c>
      <c r="L72" s="424">
        <v>18070458</v>
      </c>
      <c r="M72" s="424">
        <v>3466354</v>
      </c>
      <c r="N72" s="424">
        <v>8365274</v>
      </c>
      <c r="O72" s="424">
        <v>11549851</v>
      </c>
      <c r="P72" s="424">
        <v>44325461</v>
      </c>
      <c r="Q72" s="424">
        <v>5518924</v>
      </c>
      <c r="R72" s="424">
        <v>10668689</v>
      </c>
      <c r="S72" s="424">
        <v>4367562</v>
      </c>
      <c r="T72" s="424">
        <v>6773651</v>
      </c>
      <c r="U72" s="424">
        <v>7633250</v>
      </c>
      <c r="V72" s="424">
        <v>11494941</v>
      </c>
      <c r="W72" s="424">
        <v>6125589</v>
      </c>
      <c r="X72" s="424">
        <v>20504587</v>
      </c>
      <c r="Y72" s="424">
        <v>16264174</v>
      </c>
      <c r="Z72" s="424">
        <v>12785960</v>
      </c>
      <c r="AA72" s="424">
        <v>21269377</v>
      </c>
      <c r="AB72" s="424">
        <v>4460819</v>
      </c>
      <c r="AC72" s="424">
        <v>5506566</v>
      </c>
      <c r="AD72" s="424">
        <v>5626015</v>
      </c>
      <c r="AE72" s="424">
        <v>3339604</v>
      </c>
      <c r="AF72" s="424">
        <v>9061554</v>
      </c>
      <c r="AG72" s="424">
        <v>8755492</v>
      </c>
      <c r="AH72" s="424">
        <v>1940955</v>
      </c>
      <c r="AI72" s="424">
        <v>3772602</v>
      </c>
      <c r="AJ72" s="424">
        <v>3253608</v>
      </c>
      <c r="AK72" s="424">
        <v>5773307</v>
      </c>
      <c r="AL72" s="424">
        <v>2370936</v>
      </c>
      <c r="AM72" s="424">
        <v>8881061</v>
      </c>
      <c r="AN72" s="424">
        <v>1908218</v>
      </c>
      <c r="AO72" s="424">
        <v>4515301</v>
      </c>
      <c r="AP72" s="424">
        <v>18443171</v>
      </c>
      <c r="AQ72" s="424">
        <v>6465523</v>
      </c>
      <c r="AR72" s="424">
        <v>7101918</v>
      </c>
      <c r="AS72" s="424">
        <v>3009580</v>
      </c>
      <c r="AT72" s="424">
        <v>5733693</v>
      </c>
      <c r="AU72" s="424">
        <v>4010068</v>
      </c>
      <c r="AV72" s="424">
        <v>11068880</v>
      </c>
      <c r="AW72" s="424">
        <v>3362690</v>
      </c>
      <c r="AX72" s="424">
        <v>7392746</v>
      </c>
      <c r="AY72" s="424">
        <v>4877594</v>
      </c>
      <c r="AZ72" s="424">
        <v>6267482</v>
      </c>
      <c r="BA72" s="424">
        <v>7695452</v>
      </c>
      <c r="BB72" s="424">
        <v>7851850</v>
      </c>
      <c r="BC72" s="424">
        <v>2774031</v>
      </c>
      <c r="BD72" s="424">
        <v>9831366</v>
      </c>
      <c r="BE72" s="424">
        <v>42733799</v>
      </c>
      <c r="BF72" s="424">
        <v>7785275</v>
      </c>
      <c r="BG72" s="424">
        <v>4977911</v>
      </c>
      <c r="BH72" s="424">
        <v>6699288</v>
      </c>
      <c r="BI72" s="424">
        <v>4361077</v>
      </c>
      <c r="BJ72" s="426"/>
      <c r="BK72" s="352">
        <v>503749851</v>
      </c>
      <c r="BL72" s="352"/>
      <c r="BM72" s="424"/>
      <c r="BN72" s="424"/>
      <c r="BO72" s="424"/>
      <c r="BP72" s="424"/>
      <c r="BQ72" s="424"/>
      <c r="BR72" s="424"/>
      <c r="BS72" s="424"/>
      <c r="BT72" s="424"/>
      <c r="BU72" s="424"/>
      <c r="BV72" s="424"/>
      <c r="BW72" s="424"/>
      <c r="BX72" s="431">
        <f t="shared" si="26"/>
        <v>0</v>
      </c>
      <c r="BY72" s="431">
        <f t="shared" si="27"/>
        <v>503749851</v>
      </c>
      <c r="BZ72" s="917">
        <v>503749851</v>
      </c>
      <c r="CA72" s="26">
        <f t="shared" si="28"/>
        <v>0</v>
      </c>
      <c r="CB72" s="20"/>
    </row>
    <row r="73" spans="1:81">
      <c r="A73" s="422">
        <v>1772</v>
      </c>
      <c r="B73" s="5" t="s">
        <v>1894</v>
      </c>
      <c r="C73" s="5"/>
      <c r="D73" s="424">
        <v>0</v>
      </c>
      <c r="E73" s="424">
        <v>0</v>
      </c>
      <c r="F73" s="424">
        <v>701420.21</v>
      </c>
      <c r="G73" s="424">
        <v>0</v>
      </c>
      <c r="H73" s="424">
        <v>0</v>
      </c>
      <c r="I73" s="424">
        <v>0</v>
      </c>
      <c r="J73" s="424">
        <v>0</v>
      </c>
      <c r="K73" s="424">
        <v>0</v>
      </c>
      <c r="L73" s="424">
        <v>0</v>
      </c>
      <c r="M73" s="424">
        <v>0</v>
      </c>
      <c r="N73" s="424">
        <v>0</v>
      </c>
      <c r="O73" s="424">
        <v>0</v>
      </c>
      <c r="P73" s="424">
        <v>1144256.5</v>
      </c>
      <c r="Q73" s="424">
        <v>0</v>
      </c>
      <c r="R73" s="424">
        <v>0</v>
      </c>
      <c r="S73" s="424">
        <v>0</v>
      </c>
      <c r="T73" s="424">
        <v>0</v>
      </c>
      <c r="U73" s="424">
        <v>0</v>
      </c>
      <c r="V73" s="424">
        <v>0</v>
      </c>
      <c r="W73" s="424">
        <v>0</v>
      </c>
      <c r="X73" s="424">
        <v>182735.67</v>
      </c>
      <c r="Y73" s="424">
        <v>0</v>
      </c>
      <c r="Z73" s="424">
        <v>0</v>
      </c>
      <c r="AA73" s="424">
        <v>0</v>
      </c>
      <c r="AB73" s="424">
        <v>0</v>
      </c>
      <c r="AC73" s="424">
        <v>0</v>
      </c>
      <c r="AD73" s="424">
        <v>0</v>
      </c>
      <c r="AE73" s="424">
        <v>0</v>
      </c>
      <c r="AF73" s="424">
        <v>0</v>
      </c>
      <c r="AG73" s="424">
        <v>0</v>
      </c>
      <c r="AH73" s="424">
        <v>0</v>
      </c>
      <c r="AI73" s="424">
        <v>0</v>
      </c>
      <c r="AJ73" s="424">
        <v>0</v>
      </c>
      <c r="AK73" s="424">
        <v>0</v>
      </c>
      <c r="AL73" s="424">
        <v>0</v>
      </c>
      <c r="AM73" s="424">
        <v>0</v>
      </c>
      <c r="AN73" s="424">
        <v>0</v>
      </c>
      <c r="AO73" s="424">
        <v>0</v>
      </c>
      <c r="AP73" s="424">
        <v>0</v>
      </c>
      <c r="AQ73" s="424">
        <v>0</v>
      </c>
      <c r="AR73" s="424">
        <v>0</v>
      </c>
      <c r="AS73" s="424">
        <v>0</v>
      </c>
      <c r="AT73" s="424">
        <v>0</v>
      </c>
      <c r="AU73" s="424">
        <v>0</v>
      </c>
      <c r="AV73" s="424">
        <v>0</v>
      </c>
      <c r="AW73" s="424">
        <v>0</v>
      </c>
      <c r="AX73" s="424">
        <v>0</v>
      </c>
      <c r="AY73" s="424">
        <v>0</v>
      </c>
      <c r="AZ73" s="424">
        <v>0</v>
      </c>
      <c r="BA73" s="424">
        <v>0</v>
      </c>
      <c r="BB73" s="424">
        <v>0</v>
      </c>
      <c r="BC73" s="424">
        <v>0</v>
      </c>
      <c r="BD73" s="424">
        <v>0</v>
      </c>
      <c r="BE73" s="424">
        <v>0</v>
      </c>
      <c r="BF73" s="424">
        <v>0</v>
      </c>
      <c r="BG73" s="424">
        <v>0</v>
      </c>
      <c r="BH73" s="424">
        <v>0</v>
      </c>
      <c r="BI73" s="424">
        <v>0</v>
      </c>
      <c r="BJ73" s="426"/>
      <c r="BK73" s="352">
        <v>2028412.38</v>
      </c>
      <c r="BL73" s="352"/>
      <c r="BM73" s="424"/>
      <c r="BN73" s="424"/>
      <c r="BO73" s="424"/>
      <c r="BP73" s="424"/>
      <c r="BQ73" s="424"/>
      <c r="BR73" s="424"/>
      <c r="BS73" s="424"/>
      <c r="BT73" s="424"/>
      <c r="BU73" s="424"/>
      <c r="BV73" s="424"/>
      <c r="BW73" s="424"/>
      <c r="BX73" s="431">
        <f t="shared" ref="BX73" si="30">SUM(BM73:BT73)</f>
        <v>0</v>
      </c>
      <c r="BY73" s="431">
        <f t="shared" si="27"/>
        <v>2028412.38</v>
      </c>
      <c r="BZ73" s="917">
        <v>2028412.38</v>
      </c>
      <c r="CA73" s="26">
        <f t="shared" si="28"/>
        <v>0</v>
      </c>
      <c r="CB73" s="20"/>
    </row>
    <row r="74" spans="1:81">
      <c r="A74" s="422">
        <v>1769</v>
      </c>
      <c r="B74" s="5" t="s">
        <v>1895</v>
      </c>
      <c r="C74" s="5"/>
      <c r="D74" s="424">
        <v>0</v>
      </c>
      <c r="E74" s="424">
        <v>0</v>
      </c>
      <c r="F74" s="424">
        <v>0</v>
      </c>
      <c r="G74" s="424">
        <v>0</v>
      </c>
      <c r="H74" s="424">
        <v>0</v>
      </c>
      <c r="I74" s="424">
        <v>0</v>
      </c>
      <c r="J74" s="424">
        <v>0</v>
      </c>
      <c r="K74" s="424">
        <v>0</v>
      </c>
      <c r="L74" s="424">
        <v>0</v>
      </c>
      <c r="M74" s="424">
        <v>0</v>
      </c>
      <c r="N74" s="424">
        <v>0</v>
      </c>
      <c r="O74" s="424">
        <v>0</v>
      </c>
      <c r="P74" s="424">
        <v>0</v>
      </c>
      <c r="Q74" s="424">
        <v>0</v>
      </c>
      <c r="R74" s="424">
        <v>0</v>
      </c>
      <c r="S74" s="424">
        <v>0</v>
      </c>
      <c r="T74" s="424">
        <v>0</v>
      </c>
      <c r="U74" s="424">
        <v>0</v>
      </c>
      <c r="V74" s="424">
        <v>0</v>
      </c>
      <c r="W74" s="424">
        <v>0</v>
      </c>
      <c r="X74" s="424">
        <v>0</v>
      </c>
      <c r="Y74" s="424">
        <v>0</v>
      </c>
      <c r="Z74" s="424">
        <v>0</v>
      </c>
      <c r="AA74" s="424">
        <v>0</v>
      </c>
      <c r="AB74" s="424">
        <v>0</v>
      </c>
      <c r="AC74" s="424">
        <v>0</v>
      </c>
      <c r="AD74" s="424">
        <v>0</v>
      </c>
      <c r="AE74" s="424">
        <v>0</v>
      </c>
      <c r="AF74" s="424">
        <v>0</v>
      </c>
      <c r="AG74" s="424">
        <v>0</v>
      </c>
      <c r="AH74" s="424">
        <v>0</v>
      </c>
      <c r="AI74" s="424">
        <v>0</v>
      </c>
      <c r="AJ74" s="424">
        <v>0</v>
      </c>
      <c r="AK74" s="424">
        <v>0</v>
      </c>
      <c r="AL74" s="424">
        <v>0</v>
      </c>
      <c r="AM74" s="424">
        <v>0</v>
      </c>
      <c r="AN74" s="424">
        <v>0</v>
      </c>
      <c r="AO74" s="424">
        <v>0</v>
      </c>
      <c r="AP74" s="424">
        <v>0</v>
      </c>
      <c r="AQ74" s="424">
        <v>0</v>
      </c>
      <c r="AR74" s="424">
        <v>0</v>
      </c>
      <c r="AS74" s="424">
        <v>0</v>
      </c>
      <c r="AT74" s="424">
        <v>0</v>
      </c>
      <c r="AU74" s="424">
        <v>0</v>
      </c>
      <c r="AV74" s="424">
        <v>0</v>
      </c>
      <c r="AW74" s="424">
        <v>0</v>
      </c>
      <c r="AX74" s="424">
        <v>0</v>
      </c>
      <c r="AY74" s="424">
        <v>0</v>
      </c>
      <c r="AZ74" s="424">
        <v>0</v>
      </c>
      <c r="BA74" s="424">
        <v>0</v>
      </c>
      <c r="BB74" s="424">
        <v>0</v>
      </c>
      <c r="BC74" s="424">
        <v>0</v>
      </c>
      <c r="BD74" s="424">
        <v>0</v>
      </c>
      <c r="BE74" s="424">
        <v>0</v>
      </c>
      <c r="BF74" s="424">
        <v>0</v>
      </c>
      <c r="BG74" s="424">
        <v>0</v>
      </c>
      <c r="BH74" s="424">
        <v>0</v>
      </c>
      <c r="BI74" s="424">
        <v>0</v>
      </c>
      <c r="BJ74" s="426"/>
      <c r="BK74" s="352">
        <v>0</v>
      </c>
      <c r="BL74" s="352"/>
      <c r="BM74" s="424"/>
      <c r="BN74" s="424"/>
      <c r="BO74" s="424"/>
      <c r="BP74" s="424"/>
      <c r="BQ74" s="424"/>
      <c r="BR74" s="424"/>
      <c r="BS74" s="424"/>
      <c r="BT74" s="424"/>
      <c r="BU74" s="424"/>
      <c r="BV74" s="424"/>
      <c r="BW74" s="424"/>
      <c r="BX74" s="431">
        <f t="shared" si="26"/>
        <v>0</v>
      </c>
      <c r="BY74" s="431">
        <f t="shared" si="27"/>
        <v>0</v>
      </c>
      <c r="BZ74" s="917">
        <v>0</v>
      </c>
      <c r="CA74" s="26">
        <f t="shared" si="28"/>
        <v>0</v>
      </c>
      <c r="CB74" s="20"/>
    </row>
    <row r="75" spans="1:81">
      <c r="B75" s="5" t="s">
        <v>467</v>
      </c>
      <c r="C75" s="5"/>
      <c r="D75" s="428">
        <v>12971958</v>
      </c>
      <c r="E75" s="428">
        <v>11800121</v>
      </c>
      <c r="F75" s="428">
        <v>23628830.210000001</v>
      </c>
      <c r="G75" s="428">
        <v>6811031</v>
      </c>
      <c r="H75" s="428">
        <v>4497083</v>
      </c>
      <c r="I75" s="428">
        <v>9508739</v>
      </c>
      <c r="J75" s="428">
        <v>6453663</v>
      </c>
      <c r="K75" s="428">
        <v>13463301</v>
      </c>
      <c r="L75" s="428">
        <v>30405578</v>
      </c>
      <c r="M75" s="428">
        <v>6327670</v>
      </c>
      <c r="N75" s="428">
        <v>15364657</v>
      </c>
      <c r="O75" s="428">
        <v>20574520</v>
      </c>
      <c r="P75" s="428">
        <v>74266149.5</v>
      </c>
      <c r="Q75" s="428">
        <v>9182197</v>
      </c>
      <c r="R75" s="428">
        <v>17210879</v>
      </c>
      <c r="S75" s="428">
        <v>7685577</v>
      </c>
      <c r="T75" s="428">
        <v>11233732</v>
      </c>
      <c r="U75" s="428">
        <v>12858037</v>
      </c>
      <c r="V75" s="428">
        <v>18997919</v>
      </c>
      <c r="W75" s="428">
        <v>9049816</v>
      </c>
      <c r="X75" s="428">
        <v>37163966.670000002</v>
      </c>
      <c r="Y75" s="428">
        <v>27504425</v>
      </c>
      <c r="Z75" s="428">
        <v>20305129</v>
      </c>
      <c r="AA75" s="428">
        <v>34386587</v>
      </c>
      <c r="AB75" s="428">
        <v>6983893</v>
      </c>
      <c r="AC75" s="428">
        <v>8760072</v>
      </c>
      <c r="AD75" s="428">
        <v>9272259</v>
      </c>
      <c r="AE75" s="428">
        <v>5675507</v>
      </c>
      <c r="AF75" s="428">
        <v>16137971</v>
      </c>
      <c r="AG75" s="428">
        <v>14603077</v>
      </c>
      <c r="AH75" s="428">
        <v>3485128</v>
      </c>
      <c r="AI75" s="428">
        <v>5997127</v>
      </c>
      <c r="AJ75" s="428">
        <v>4873742</v>
      </c>
      <c r="AK75" s="428">
        <v>9885844</v>
      </c>
      <c r="AL75" s="428">
        <v>4231987</v>
      </c>
      <c r="AM75" s="428">
        <v>14054996</v>
      </c>
      <c r="AN75" s="428">
        <v>3274424</v>
      </c>
      <c r="AO75" s="428">
        <v>7139326</v>
      </c>
      <c r="AP75" s="428">
        <v>29885430</v>
      </c>
      <c r="AQ75" s="428">
        <v>10992959</v>
      </c>
      <c r="AR75" s="428">
        <v>11795810</v>
      </c>
      <c r="AS75" s="428">
        <v>4184617</v>
      </c>
      <c r="AT75" s="428">
        <v>9283053</v>
      </c>
      <c r="AU75" s="428">
        <v>6772466</v>
      </c>
      <c r="AV75" s="428">
        <v>19458450</v>
      </c>
      <c r="AW75" s="428">
        <v>6034402</v>
      </c>
      <c r="AX75" s="428">
        <v>13038572</v>
      </c>
      <c r="AY75" s="428">
        <v>8069119</v>
      </c>
      <c r="AZ75" s="428">
        <v>10231452</v>
      </c>
      <c r="BA75" s="428">
        <v>12241996</v>
      </c>
      <c r="BB75" s="428">
        <v>12434238</v>
      </c>
      <c r="BC75" s="428">
        <v>4812662</v>
      </c>
      <c r="BD75" s="428">
        <v>14286762</v>
      </c>
      <c r="BE75" s="428">
        <v>76999408</v>
      </c>
      <c r="BF75" s="428">
        <v>13502778</v>
      </c>
      <c r="BG75" s="428">
        <v>7878633</v>
      </c>
      <c r="BH75" s="428">
        <v>11969842</v>
      </c>
      <c r="BI75" s="428">
        <v>7152969</v>
      </c>
      <c r="BJ75" s="424"/>
      <c r="BK75" s="428">
        <v>847052536.38</v>
      </c>
      <c r="BL75" s="428"/>
      <c r="BM75" s="428">
        <f t="shared" ref="BM75:BZ75" si="31">SUM(BM68:BM74)</f>
        <v>0</v>
      </c>
      <c r="BN75" s="428">
        <f t="shared" si="31"/>
        <v>0</v>
      </c>
      <c r="BO75" s="428">
        <f t="shared" si="31"/>
        <v>0</v>
      </c>
      <c r="BP75" s="428">
        <f t="shared" si="31"/>
        <v>0</v>
      </c>
      <c r="BQ75" s="428">
        <f t="shared" ref="BQ75:BT75" si="32">BQ67+BQ74</f>
        <v>0</v>
      </c>
      <c r="BR75" s="428">
        <f t="shared" si="32"/>
        <v>0</v>
      </c>
      <c r="BS75" s="428">
        <f t="shared" si="32"/>
        <v>0</v>
      </c>
      <c r="BT75" s="428">
        <f t="shared" si="32"/>
        <v>0</v>
      </c>
      <c r="BU75" s="428"/>
      <c r="BV75" s="428"/>
      <c r="BW75" s="428"/>
      <c r="BX75" s="428">
        <f t="shared" si="31"/>
        <v>0</v>
      </c>
      <c r="BY75" s="923">
        <f t="shared" si="31"/>
        <v>847052536.38</v>
      </c>
      <c r="BZ75" s="918">
        <f t="shared" si="31"/>
        <v>847052536.38</v>
      </c>
      <c r="CA75" s="26">
        <f t="shared" si="28"/>
        <v>0</v>
      </c>
      <c r="CB75" s="20"/>
    </row>
    <row r="76" spans="1:81">
      <c r="A76" s="547"/>
      <c r="B76" s="5"/>
      <c r="C76" s="5"/>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352"/>
      <c r="BL76" s="352"/>
      <c r="BX76" s="431"/>
      <c r="BY76" s="431"/>
      <c r="CB76" s="20"/>
    </row>
    <row r="77" spans="1:81" ht="10.8" thickBot="1">
      <c r="A77" s="547"/>
      <c r="B77" s="416" t="s">
        <v>1896</v>
      </c>
      <c r="C77" s="7"/>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352"/>
      <c r="BL77" s="352"/>
      <c r="BX77" s="431"/>
      <c r="BY77" s="431"/>
      <c r="CB77" s="20"/>
    </row>
    <row r="78" spans="1:81" ht="10.8" thickTop="1">
      <c r="A78" s="422">
        <v>2130</v>
      </c>
      <c r="B78" s="5" t="s">
        <v>238</v>
      </c>
      <c r="C78" s="7"/>
      <c r="D78" s="424">
        <v>68050602.769999996</v>
      </c>
      <c r="E78" s="424">
        <v>50153400.43</v>
      </c>
      <c r="F78" s="424">
        <v>148453374.91</v>
      </c>
      <c r="G78" s="424">
        <v>21055052.870000001</v>
      </c>
      <c r="H78" s="424">
        <v>14950659.050000001</v>
      </c>
      <c r="I78" s="424">
        <v>67709253.769999996</v>
      </c>
      <c r="J78" s="424">
        <v>41660054.75</v>
      </c>
      <c r="K78" s="424">
        <v>43172843.770000003</v>
      </c>
      <c r="L78" s="424">
        <v>238560852.59999999</v>
      </c>
      <c r="M78" s="424">
        <v>34289512.259999998</v>
      </c>
      <c r="N78" s="424">
        <v>76502775.489999995</v>
      </c>
      <c r="O78" s="424">
        <v>61568206.240000002</v>
      </c>
      <c r="P78" s="424">
        <v>601924582.51999998</v>
      </c>
      <c r="Q78" s="424">
        <v>35278707.060000002</v>
      </c>
      <c r="R78" s="424">
        <v>40855195.880000003</v>
      </c>
      <c r="S78" s="424">
        <v>31606933.940000001</v>
      </c>
      <c r="T78" s="424">
        <v>33097778.010000002</v>
      </c>
      <c r="U78" s="424">
        <v>41032602.280000001</v>
      </c>
      <c r="V78" s="424">
        <v>67793574.819999993</v>
      </c>
      <c r="W78" s="424">
        <v>23853744.079999998</v>
      </c>
      <c r="X78" s="424">
        <v>106656634.05</v>
      </c>
      <c r="Y78" s="424">
        <v>120732719.64</v>
      </c>
      <c r="Z78" s="424">
        <v>75808617.920000002</v>
      </c>
      <c r="AA78" s="424">
        <v>259358211.05000001</v>
      </c>
      <c r="AB78" s="424">
        <v>15961345.59</v>
      </c>
      <c r="AC78" s="424">
        <v>42213064.640000001</v>
      </c>
      <c r="AD78" s="424">
        <v>27007812.91</v>
      </c>
      <c r="AE78" s="424">
        <v>15441913.449999999</v>
      </c>
      <c r="AF78" s="424">
        <v>65487458.109999999</v>
      </c>
      <c r="AG78" s="424">
        <v>28374719.350000001</v>
      </c>
      <c r="AH78" s="424">
        <v>8666703.25</v>
      </c>
      <c r="AI78" s="424">
        <v>23815227.809999999</v>
      </c>
      <c r="AJ78" s="424">
        <v>11016451.529999999</v>
      </c>
      <c r="AK78" s="424">
        <v>38331502.890000001</v>
      </c>
      <c r="AL78" s="424">
        <v>13733129.51</v>
      </c>
      <c r="AM78" s="424">
        <v>32588391.670000002</v>
      </c>
      <c r="AN78" s="424">
        <v>10865798.1</v>
      </c>
      <c r="AO78" s="424">
        <v>14316574.41</v>
      </c>
      <c r="AP78" s="424">
        <v>104161210.86</v>
      </c>
      <c r="AQ78" s="424">
        <v>45925720.390000001</v>
      </c>
      <c r="AR78" s="424">
        <v>27113997.57</v>
      </c>
      <c r="AS78" s="424">
        <v>5463038.8099999996</v>
      </c>
      <c r="AT78" s="424">
        <v>26275153.260000002</v>
      </c>
      <c r="AU78" s="424">
        <v>26434168.52</v>
      </c>
      <c r="AV78" s="424">
        <v>100839863.44</v>
      </c>
      <c r="AW78" s="424">
        <v>21516297.190000001</v>
      </c>
      <c r="AX78" s="424">
        <v>63310071.359999999</v>
      </c>
      <c r="AY78" s="424">
        <v>25227930.91</v>
      </c>
      <c r="AZ78" s="424">
        <v>50546184.5</v>
      </c>
      <c r="BA78" s="424">
        <v>18374518.920000002</v>
      </c>
      <c r="BB78" s="424">
        <v>26917384.25</v>
      </c>
      <c r="BC78" s="424">
        <v>12498342.640000001</v>
      </c>
      <c r="BD78" s="424">
        <v>31117332.66</v>
      </c>
      <c r="BE78" s="424">
        <v>574332460.85000002</v>
      </c>
      <c r="BF78" s="424">
        <v>36529596.359999999</v>
      </c>
      <c r="BG78" s="424">
        <v>23202581.98</v>
      </c>
      <c r="BH78" s="424">
        <v>43705406.990000002</v>
      </c>
      <c r="BI78" s="424">
        <v>12951990.27</v>
      </c>
      <c r="BJ78" s="424"/>
      <c r="BK78" s="352">
        <v>3928389235.1100001</v>
      </c>
      <c r="BL78" s="352"/>
      <c r="BM78" s="424"/>
      <c r="BN78" s="424"/>
      <c r="BO78" s="424"/>
      <c r="BP78" s="424"/>
      <c r="BQ78" s="424"/>
      <c r="BR78" s="424"/>
      <c r="BS78" s="424"/>
      <c r="BT78" s="424"/>
      <c r="BU78" s="424"/>
      <c r="BV78" s="424"/>
      <c r="BW78" s="424"/>
      <c r="BX78" s="431">
        <f t="shared" ref="BX78:BX89" si="33">SUM(BM78:BT78)</f>
        <v>0</v>
      </c>
      <c r="BY78" s="431">
        <f>BK78+BX78</f>
        <v>3928389235.1100001</v>
      </c>
      <c r="BZ78" s="1">
        <f>ROUND(BY78/1000,0)+CA78</f>
        <v>3928389</v>
      </c>
      <c r="CB78" s="20"/>
    </row>
    <row r="79" spans="1:81">
      <c r="B79" s="1" t="s">
        <v>241</v>
      </c>
      <c r="C79" s="1"/>
      <c r="D79" s="424">
        <v>0</v>
      </c>
      <c r="E79" s="424">
        <v>0</v>
      </c>
      <c r="F79" s="424">
        <v>0</v>
      </c>
      <c r="G79" s="424">
        <v>0</v>
      </c>
      <c r="H79" s="424">
        <v>0</v>
      </c>
      <c r="I79" s="424">
        <v>0</v>
      </c>
      <c r="J79" s="424">
        <v>0</v>
      </c>
      <c r="K79" s="424">
        <v>0</v>
      </c>
      <c r="L79" s="424">
        <v>0</v>
      </c>
      <c r="M79" s="424">
        <v>0</v>
      </c>
      <c r="N79" s="424">
        <v>0</v>
      </c>
      <c r="O79" s="424">
        <v>0</v>
      </c>
      <c r="P79" s="424">
        <v>0</v>
      </c>
      <c r="Q79" s="424">
        <v>0</v>
      </c>
      <c r="R79" s="424">
        <v>0</v>
      </c>
      <c r="S79" s="424">
        <v>0</v>
      </c>
      <c r="T79" s="424">
        <v>0</v>
      </c>
      <c r="U79" s="424">
        <v>0</v>
      </c>
      <c r="V79" s="424">
        <v>0</v>
      </c>
      <c r="W79" s="424">
        <v>0</v>
      </c>
      <c r="X79" s="424">
        <v>0</v>
      </c>
      <c r="Y79" s="424">
        <v>0</v>
      </c>
      <c r="Z79" s="424">
        <v>0</v>
      </c>
      <c r="AA79" s="424">
        <v>0</v>
      </c>
      <c r="AB79" s="424">
        <v>0</v>
      </c>
      <c r="AC79" s="424">
        <v>0</v>
      </c>
      <c r="AD79" s="424">
        <v>0</v>
      </c>
      <c r="AE79" s="424">
        <v>0</v>
      </c>
      <c r="AF79" s="424">
        <v>0</v>
      </c>
      <c r="AG79" s="424">
        <v>0</v>
      </c>
      <c r="AH79" s="424">
        <v>0</v>
      </c>
      <c r="AI79" s="424">
        <v>0</v>
      </c>
      <c r="AJ79" s="424">
        <v>0</v>
      </c>
      <c r="AK79" s="424">
        <v>0</v>
      </c>
      <c r="AL79" s="424">
        <v>0</v>
      </c>
      <c r="AM79" s="424">
        <v>0</v>
      </c>
      <c r="AN79" s="424">
        <v>0</v>
      </c>
      <c r="AO79" s="424">
        <v>0</v>
      </c>
      <c r="AP79" s="424">
        <v>0</v>
      </c>
      <c r="AQ79" s="424">
        <v>0</v>
      </c>
      <c r="AR79" s="424">
        <v>0</v>
      </c>
      <c r="AS79" s="424">
        <v>0</v>
      </c>
      <c r="AT79" s="424">
        <v>0</v>
      </c>
      <c r="AU79" s="424">
        <v>0</v>
      </c>
      <c r="AV79" s="424">
        <v>0</v>
      </c>
      <c r="AW79" s="424">
        <v>0</v>
      </c>
      <c r="AX79" s="424">
        <v>0</v>
      </c>
      <c r="AY79" s="424">
        <v>0</v>
      </c>
      <c r="AZ79" s="424">
        <v>0</v>
      </c>
      <c r="BA79" s="424">
        <v>0</v>
      </c>
      <c r="BB79" s="424">
        <v>0</v>
      </c>
      <c r="BC79" s="424">
        <v>0</v>
      </c>
      <c r="BD79" s="424">
        <v>0</v>
      </c>
      <c r="BE79" s="424">
        <v>0</v>
      </c>
      <c r="BF79" s="424">
        <v>0</v>
      </c>
      <c r="BG79" s="424">
        <v>0</v>
      </c>
      <c r="BH79" s="424">
        <v>0</v>
      </c>
      <c r="BI79" s="424">
        <v>0</v>
      </c>
      <c r="BJ79" s="424"/>
      <c r="BK79" s="352">
        <v>0</v>
      </c>
      <c r="BL79" s="352"/>
      <c r="BX79" s="431">
        <f t="shared" si="33"/>
        <v>0</v>
      </c>
      <c r="BY79" s="431"/>
      <c r="BZ79" s="431"/>
      <c r="CB79" s="20"/>
    </row>
    <row r="80" spans="1:81">
      <c r="B80" s="417" t="s">
        <v>1897</v>
      </c>
      <c r="C80" s="419"/>
      <c r="D80" s="424">
        <v>0</v>
      </c>
      <c r="E80" s="424">
        <v>0</v>
      </c>
      <c r="F80" s="424">
        <v>0</v>
      </c>
      <c r="G80" s="424">
        <v>0</v>
      </c>
      <c r="H80" s="424">
        <v>0</v>
      </c>
      <c r="I80" s="424">
        <v>0</v>
      </c>
      <c r="J80" s="424">
        <v>0</v>
      </c>
      <c r="K80" s="424">
        <v>0</v>
      </c>
      <c r="L80" s="424">
        <v>0</v>
      </c>
      <c r="M80" s="424">
        <v>0</v>
      </c>
      <c r="N80" s="424">
        <v>0</v>
      </c>
      <c r="O80" s="424">
        <v>0</v>
      </c>
      <c r="P80" s="424">
        <v>0</v>
      </c>
      <c r="Q80" s="424">
        <v>0</v>
      </c>
      <c r="R80" s="424">
        <v>0</v>
      </c>
      <c r="S80" s="424">
        <v>0</v>
      </c>
      <c r="T80" s="424">
        <v>0</v>
      </c>
      <c r="U80" s="424">
        <v>0</v>
      </c>
      <c r="V80" s="424">
        <v>0</v>
      </c>
      <c r="W80" s="424">
        <v>0</v>
      </c>
      <c r="X80" s="424">
        <v>0</v>
      </c>
      <c r="Y80" s="424">
        <v>0</v>
      </c>
      <c r="Z80" s="424">
        <v>0</v>
      </c>
      <c r="AA80" s="424">
        <v>0</v>
      </c>
      <c r="AB80" s="424">
        <v>0</v>
      </c>
      <c r="AC80" s="424">
        <v>0</v>
      </c>
      <c r="AD80" s="424">
        <v>0</v>
      </c>
      <c r="AE80" s="424">
        <v>0</v>
      </c>
      <c r="AF80" s="424">
        <v>0</v>
      </c>
      <c r="AG80" s="424">
        <v>0</v>
      </c>
      <c r="AH80" s="424">
        <v>0</v>
      </c>
      <c r="AI80" s="424">
        <v>0</v>
      </c>
      <c r="AJ80" s="424">
        <v>0</v>
      </c>
      <c r="AK80" s="424">
        <v>0</v>
      </c>
      <c r="AL80" s="424">
        <v>0</v>
      </c>
      <c r="AM80" s="424">
        <v>0</v>
      </c>
      <c r="AN80" s="424">
        <v>0</v>
      </c>
      <c r="AO80" s="424">
        <v>0</v>
      </c>
      <c r="AP80" s="424">
        <v>0</v>
      </c>
      <c r="AQ80" s="424">
        <v>0</v>
      </c>
      <c r="AR80" s="424">
        <v>0</v>
      </c>
      <c r="AS80" s="424">
        <v>0</v>
      </c>
      <c r="AT80" s="424">
        <v>0</v>
      </c>
      <c r="AU80" s="424">
        <v>0</v>
      </c>
      <c r="AV80" s="424">
        <v>0</v>
      </c>
      <c r="AW80" s="424">
        <v>0</v>
      </c>
      <c r="AX80" s="424">
        <v>0</v>
      </c>
      <c r="AY80" s="424">
        <v>0</v>
      </c>
      <c r="AZ80" s="424">
        <v>0</v>
      </c>
      <c r="BA80" s="424">
        <v>0</v>
      </c>
      <c r="BB80" s="424">
        <v>0</v>
      </c>
      <c r="BC80" s="424">
        <v>0</v>
      </c>
      <c r="BD80" s="424">
        <v>0</v>
      </c>
      <c r="BE80" s="424">
        <v>0</v>
      </c>
      <c r="BF80" s="424">
        <v>0</v>
      </c>
      <c r="BG80" s="424">
        <v>0</v>
      </c>
      <c r="BH80" s="424">
        <v>0</v>
      </c>
      <c r="BI80" s="424">
        <v>0</v>
      </c>
      <c r="BJ80" s="424"/>
      <c r="BK80" s="352">
        <v>0</v>
      </c>
      <c r="BL80" s="352"/>
      <c r="BX80" s="431">
        <f t="shared" si="33"/>
        <v>0</v>
      </c>
      <c r="BY80" s="431"/>
      <c r="BZ80" s="431"/>
      <c r="CB80" s="20"/>
    </row>
    <row r="81" spans="1:80">
      <c r="A81" s="422">
        <v>2141</v>
      </c>
      <c r="B81" s="419" t="s">
        <v>1898</v>
      </c>
      <c r="C81" s="419"/>
      <c r="D81" s="424">
        <v>269.44</v>
      </c>
      <c r="E81" s="424">
        <v>0</v>
      </c>
      <c r="F81" s="424">
        <v>2250</v>
      </c>
      <c r="G81" s="424">
        <v>2569988.4300000002</v>
      </c>
      <c r="H81" s="424">
        <v>0</v>
      </c>
      <c r="I81" s="424">
        <v>0</v>
      </c>
      <c r="J81" s="424">
        <v>0</v>
      </c>
      <c r="K81" s="424">
        <v>0</v>
      </c>
      <c r="L81" s="424">
        <v>0</v>
      </c>
      <c r="M81" s="424">
        <v>0</v>
      </c>
      <c r="N81" s="424">
        <v>0</v>
      </c>
      <c r="O81" s="424">
        <v>0</v>
      </c>
      <c r="P81" s="424">
        <v>0</v>
      </c>
      <c r="Q81" s="424">
        <v>0</v>
      </c>
      <c r="R81" s="424">
        <v>4257637.3</v>
      </c>
      <c r="S81" s="424">
        <v>0</v>
      </c>
      <c r="T81" s="424">
        <v>2810447.16</v>
      </c>
      <c r="U81" s="424">
        <v>0</v>
      </c>
      <c r="V81" s="424">
        <v>0</v>
      </c>
      <c r="W81" s="424">
        <v>0</v>
      </c>
      <c r="X81" s="424">
        <v>39050</v>
      </c>
      <c r="Y81" s="424">
        <v>1113407.55</v>
      </c>
      <c r="Z81" s="424">
        <v>4069427.19</v>
      </c>
      <c r="AA81" s="424">
        <v>0</v>
      </c>
      <c r="AB81" s="424">
        <v>1731810.06</v>
      </c>
      <c r="AC81" s="424">
        <v>9998846.5999999996</v>
      </c>
      <c r="AD81" s="424">
        <v>2179470.41</v>
      </c>
      <c r="AE81" s="424">
        <v>0</v>
      </c>
      <c r="AF81" s="424">
        <v>0</v>
      </c>
      <c r="AG81" s="424">
        <v>0</v>
      </c>
      <c r="AH81" s="424">
        <v>0</v>
      </c>
      <c r="AI81" s="424">
        <v>0</v>
      </c>
      <c r="AJ81" s="424">
        <v>164656.44</v>
      </c>
      <c r="AK81" s="424">
        <v>3465493.44</v>
      </c>
      <c r="AL81" s="424">
        <v>0</v>
      </c>
      <c r="AM81" s="424">
        <v>0</v>
      </c>
      <c r="AN81" s="424">
        <v>674551.33</v>
      </c>
      <c r="AO81" s="424">
        <v>0</v>
      </c>
      <c r="AP81" s="424">
        <v>0</v>
      </c>
      <c r="AQ81" s="424">
        <v>0</v>
      </c>
      <c r="AR81" s="424">
        <v>0</v>
      </c>
      <c r="AS81" s="424">
        <v>0</v>
      </c>
      <c r="AT81" s="424">
        <v>0</v>
      </c>
      <c r="AU81" s="424">
        <v>197816.36</v>
      </c>
      <c r="AV81" s="424">
        <v>234783.63</v>
      </c>
      <c r="AW81" s="424">
        <v>0</v>
      </c>
      <c r="AX81" s="424">
        <v>14872621.060000001</v>
      </c>
      <c r="AY81" s="424">
        <v>0</v>
      </c>
      <c r="AZ81" s="424">
        <v>25500</v>
      </c>
      <c r="BA81" s="424">
        <v>0</v>
      </c>
      <c r="BB81" s="424">
        <v>0</v>
      </c>
      <c r="BC81" s="424">
        <v>18000</v>
      </c>
      <c r="BD81" s="424">
        <v>0</v>
      </c>
      <c r="BE81" s="424">
        <v>0</v>
      </c>
      <c r="BF81" s="424">
        <v>0</v>
      </c>
      <c r="BG81" s="424">
        <v>59339</v>
      </c>
      <c r="BH81" s="424">
        <v>1896045.08</v>
      </c>
      <c r="BI81" s="424">
        <v>187821.8</v>
      </c>
      <c r="BJ81" s="424"/>
      <c r="BK81" s="352">
        <v>50569232.280000001</v>
      </c>
      <c r="BL81" s="352"/>
      <c r="BM81" s="424"/>
      <c r="BN81" s="424"/>
      <c r="BO81" s="424"/>
      <c r="BP81" s="424"/>
      <c r="BQ81" s="424"/>
      <c r="BR81" s="424"/>
      <c r="BS81" s="424"/>
      <c r="BT81" s="424"/>
      <c r="BU81" s="424"/>
      <c r="BV81" s="424"/>
      <c r="BW81" s="424"/>
      <c r="BX81" s="431">
        <f t="shared" si="33"/>
        <v>0</v>
      </c>
      <c r="BY81" s="431">
        <f>BK81+BX81</f>
        <v>50569232.280000001</v>
      </c>
      <c r="BZ81" s="1">
        <f>ROUND(BY81/1000,0)+CA81</f>
        <v>50569</v>
      </c>
      <c r="CB81" s="20"/>
    </row>
    <row r="82" spans="1:80">
      <c r="A82" s="422">
        <v>2142</v>
      </c>
      <c r="B82" s="419" t="s">
        <v>1899</v>
      </c>
      <c r="C82" s="419"/>
      <c r="D82" s="424">
        <v>0</v>
      </c>
      <c r="E82" s="424">
        <v>0</v>
      </c>
      <c r="F82" s="424">
        <v>0</v>
      </c>
      <c r="G82" s="424">
        <v>0</v>
      </c>
      <c r="H82" s="424">
        <v>0</v>
      </c>
      <c r="I82" s="424">
        <v>1500</v>
      </c>
      <c r="J82" s="424">
        <v>0</v>
      </c>
      <c r="K82" s="424">
        <v>0</v>
      </c>
      <c r="L82" s="424">
        <v>0</v>
      </c>
      <c r="M82" s="424">
        <v>0</v>
      </c>
      <c r="N82" s="424">
        <v>0</v>
      </c>
      <c r="O82" s="424">
        <v>0</v>
      </c>
      <c r="P82" s="424">
        <v>0</v>
      </c>
      <c r="Q82" s="424">
        <v>0</v>
      </c>
      <c r="R82" s="424">
        <v>0</v>
      </c>
      <c r="S82" s="424">
        <v>0</v>
      </c>
      <c r="T82" s="424">
        <v>0</v>
      </c>
      <c r="U82" s="424">
        <v>0</v>
      </c>
      <c r="V82" s="424">
        <v>0</v>
      </c>
      <c r="W82" s="424">
        <v>0</v>
      </c>
      <c r="X82" s="424">
        <v>0</v>
      </c>
      <c r="Y82" s="424">
        <v>0</v>
      </c>
      <c r="Z82" s="424">
        <v>0</v>
      </c>
      <c r="AA82" s="424">
        <v>0</v>
      </c>
      <c r="AB82" s="424">
        <v>0</v>
      </c>
      <c r="AC82" s="424">
        <v>0</v>
      </c>
      <c r="AD82" s="424">
        <v>0</v>
      </c>
      <c r="AE82" s="424">
        <v>0</v>
      </c>
      <c r="AF82" s="424">
        <v>0</v>
      </c>
      <c r="AG82" s="424">
        <v>0</v>
      </c>
      <c r="AH82" s="424">
        <v>0</v>
      </c>
      <c r="AI82" s="424">
        <v>0</v>
      </c>
      <c r="AJ82" s="424">
        <v>0</v>
      </c>
      <c r="AK82" s="424">
        <v>0</v>
      </c>
      <c r="AL82" s="424">
        <v>0</v>
      </c>
      <c r="AM82" s="424">
        <v>0</v>
      </c>
      <c r="AN82" s="424">
        <v>0</v>
      </c>
      <c r="AO82" s="424">
        <v>0</v>
      </c>
      <c r="AP82" s="424">
        <v>0</v>
      </c>
      <c r="AQ82" s="424">
        <v>0</v>
      </c>
      <c r="AR82" s="424">
        <v>0</v>
      </c>
      <c r="AS82" s="424">
        <v>0</v>
      </c>
      <c r="AT82" s="424">
        <v>0</v>
      </c>
      <c r="AU82" s="424">
        <v>0</v>
      </c>
      <c r="AV82" s="424">
        <v>0</v>
      </c>
      <c r="AW82" s="424">
        <v>0</v>
      </c>
      <c r="AX82" s="424">
        <v>0</v>
      </c>
      <c r="AY82" s="424">
        <v>0</v>
      </c>
      <c r="AZ82" s="424">
        <v>0</v>
      </c>
      <c r="BA82" s="424">
        <v>0</v>
      </c>
      <c r="BB82" s="424">
        <v>0</v>
      </c>
      <c r="BC82" s="424">
        <v>0</v>
      </c>
      <c r="BD82" s="424">
        <v>0</v>
      </c>
      <c r="BE82" s="424">
        <v>0</v>
      </c>
      <c r="BF82" s="424">
        <v>0</v>
      </c>
      <c r="BG82" s="424">
        <v>0</v>
      </c>
      <c r="BH82" s="424">
        <v>0</v>
      </c>
      <c r="BI82" s="424">
        <v>0</v>
      </c>
      <c r="BJ82" s="424"/>
      <c r="BK82" s="352">
        <v>1500</v>
      </c>
      <c r="BL82" s="352"/>
      <c r="BM82" s="424"/>
      <c r="BN82" s="424"/>
      <c r="BO82" s="424"/>
      <c r="BP82" s="424"/>
      <c r="BQ82" s="424"/>
      <c r="BR82" s="424"/>
      <c r="BS82" s="424"/>
      <c r="BT82" s="424"/>
      <c r="BU82" s="424"/>
      <c r="BV82" s="424"/>
      <c r="BW82" s="424"/>
      <c r="BX82" s="431">
        <f t="shared" si="33"/>
        <v>0</v>
      </c>
      <c r="BY82" s="431">
        <f>BK82+BX82</f>
        <v>1500</v>
      </c>
      <c r="BZ82" s="1">
        <f>ROUND(BY82/1000,0)+CA82</f>
        <v>2</v>
      </c>
      <c r="CB82" s="20"/>
    </row>
    <row r="83" spans="1:80">
      <c r="A83" s="422">
        <v>2143</v>
      </c>
      <c r="B83" s="419" t="s">
        <v>1900</v>
      </c>
      <c r="C83" s="419"/>
      <c r="D83" s="424">
        <v>0</v>
      </c>
      <c r="E83" s="424">
        <v>0</v>
      </c>
      <c r="F83" s="424">
        <v>0</v>
      </c>
      <c r="G83" s="424">
        <v>0</v>
      </c>
      <c r="H83" s="424">
        <v>0</v>
      </c>
      <c r="I83" s="424">
        <v>0</v>
      </c>
      <c r="J83" s="424">
        <v>0</v>
      </c>
      <c r="K83" s="424">
        <v>115058.91</v>
      </c>
      <c r="L83" s="424">
        <v>0</v>
      </c>
      <c r="M83" s="424">
        <v>0</v>
      </c>
      <c r="N83" s="424">
        <v>0</v>
      </c>
      <c r="O83" s="424">
        <v>0</v>
      </c>
      <c r="P83" s="424">
        <v>0</v>
      </c>
      <c r="Q83" s="424">
        <v>0</v>
      </c>
      <c r="R83" s="424">
        <v>0</v>
      </c>
      <c r="S83" s="424">
        <v>0</v>
      </c>
      <c r="T83" s="424">
        <v>0</v>
      </c>
      <c r="U83" s="424">
        <v>0</v>
      </c>
      <c r="V83" s="424">
        <v>0</v>
      </c>
      <c r="W83" s="424">
        <v>0</v>
      </c>
      <c r="X83" s="424">
        <v>0</v>
      </c>
      <c r="Y83" s="424">
        <v>0</v>
      </c>
      <c r="Z83" s="424">
        <v>0</v>
      </c>
      <c r="AA83" s="424">
        <v>0</v>
      </c>
      <c r="AB83" s="424">
        <v>0</v>
      </c>
      <c r="AC83" s="424">
        <v>0</v>
      </c>
      <c r="AD83" s="424">
        <v>126676.83</v>
      </c>
      <c r="AE83" s="424">
        <v>0</v>
      </c>
      <c r="AF83" s="424">
        <v>0</v>
      </c>
      <c r="AG83" s="424">
        <v>0</v>
      </c>
      <c r="AH83" s="424">
        <v>0</v>
      </c>
      <c r="AI83" s="424">
        <v>0</v>
      </c>
      <c r="AJ83" s="424">
        <v>203898.03</v>
      </c>
      <c r="AK83" s="424">
        <v>73461.17</v>
      </c>
      <c r="AL83" s="424">
        <v>0</v>
      </c>
      <c r="AM83" s="424">
        <v>0</v>
      </c>
      <c r="AN83" s="424">
        <v>0</v>
      </c>
      <c r="AO83" s="424">
        <v>0</v>
      </c>
      <c r="AP83" s="424">
        <v>0</v>
      </c>
      <c r="AQ83" s="424">
        <v>0</v>
      </c>
      <c r="AR83" s="424">
        <v>0</v>
      </c>
      <c r="AS83" s="424">
        <v>0</v>
      </c>
      <c r="AT83" s="424">
        <v>0</v>
      </c>
      <c r="AU83" s="424">
        <v>0</v>
      </c>
      <c r="AV83" s="424">
        <v>24000</v>
      </c>
      <c r="AW83" s="424">
        <v>0</v>
      </c>
      <c r="AX83" s="424">
        <v>7133942.4699999997</v>
      </c>
      <c r="AY83" s="424">
        <v>0</v>
      </c>
      <c r="AZ83" s="424">
        <v>0</v>
      </c>
      <c r="BA83" s="424">
        <v>0</v>
      </c>
      <c r="BB83" s="424">
        <v>0</v>
      </c>
      <c r="BC83" s="424">
        <v>0</v>
      </c>
      <c r="BD83" s="424">
        <v>0</v>
      </c>
      <c r="BE83" s="424">
        <v>0</v>
      </c>
      <c r="BF83" s="424">
        <v>16000</v>
      </c>
      <c r="BG83" s="424">
        <v>0</v>
      </c>
      <c r="BH83" s="424">
        <v>1485123.55</v>
      </c>
      <c r="BI83" s="424">
        <v>0</v>
      </c>
      <c r="BJ83" s="424"/>
      <c r="BK83" s="352">
        <v>9178160.9600000009</v>
      </c>
      <c r="BL83" s="352"/>
      <c r="BM83" s="424"/>
      <c r="BN83" s="424"/>
      <c r="BO83" s="424"/>
      <c r="BP83" s="424"/>
      <c r="BQ83" s="424"/>
      <c r="BR83" s="424"/>
      <c r="BS83" s="424"/>
      <c r="BT83" s="424"/>
      <c r="BU83" s="424"/>
      <c r="BV83" s="424"/>
      <c r="BW83" s="424"/>
      <c r="BX83" s="431">
        <f t="shared" si="33"/>
        <v>0</v>
      </c>
      <c r="BY83" s="431">
        <f>BK83+BX83</f>
        <v>9178160.9600000009</v>
      </c>
      <c r="BZ83" s="1">
        <f>ROUND(BY83/1000,0)+CA83</f>
        <v>9178</v>
      </c>
      <c r="CB83" s="20"/>
    </row>
    <row r="84" spans="1:80">
      <c r="B84" s="417" t="s">
        <v>1901</v>
      </c>
      <c r="C84" s="419"/>
      <c r="D84" s="424">
        <v>0</v>
      </c>
      <c r="E84" s="424">
        <v>0</v>
      </c>
      <c r="F84" s="424">
        <v>0</v>
      </c>
      <c r="G84" s="424">
        <v>0</v>
      </c>
      <c r="H84" s="424">
        <v>0</v>
      </c>
      <c r="I84" s="424">
        <v>0</v>
      </c>
      <c r="J84" s="424">
        <v>0</v>
      </c>
      <c r="K84" s="424">
        <v>0</v>
      </c>
      <c r="L84" s="424">
        <v>0</v>
      </c>
      <c r="M84" s="424">
        <v>0</v>
      </c>
      <c r="N84" s="424">
        <v>0</v>
      </c>
      <c r="O84" s="424">
        <v>0</v>
      </c>
      <c r="P84" s="424">
        <v>0</v>
      </c>
      <c r="Q84" s="424">
        <v>0</v>
      </c>
      <c r="R84" s="424">
        <v>0</v>
      </c>
      <c r="S84" s="424">
        <v>0</v>
      </c>
      <c r="T84" s="424">
        <v>0</v>
      </c>
      <c r="U84" s="424">
        <v>0</v>
      </c>
      <c r="V84" s="424">
        <v>0</v>
      </c>
      <c r="W84" s="424">
        <v>0</v>
      </c>
      <c r="X84" s="424">
        <v>0</v>
      </c>
      <c r="Y84" s="424">
        <v>0</v>
      </c>
      <c r="Z84" s="424">
        <v>0</v>
      </c>
      <c r="AA84" s="424">
        <v>0</v>
      </c>
      <c r="AB84" s="424">
        <v>0</v>
      </c>
      <c r="AC84" s="424">
        <v>0</v>
      </c>
      <c r="AD84" s="424">
        <v>0</v>
      </c>
      <c r="AE84" s="424">
        <v>0</v>
      </c>
      <c r="AF84" s="424">
        <v>0</v>
      </c>
      <c r="AG84" s="424">
        <v>0</v>
      </c>
      <c r="AH84" s="424">
        <v>0</v>
      </c>
      <c r="AI84" s="424">
        <v>0</v>
      </c>
      <c r="AJ84" s="424">
        <v>0</v>
      </c>
      <c r="AK84" s="424">
        <v>0</v>
      </c>
      <c r="AL84" s="424">
        <v>0</v>
      </c>
      <c r="AM84" s="424">
        <v>0</v>
      </c>
      <c r="AN84" s="424">
        <v>0</v>
      </c>
      <c r="AO84" s="424">
        <v>0</v>
      </c>
      <c r="AP84" s="424">
        <v>0</v>
      </c>
      <c r="AQ84" s="424">
        <v>0</v>
      </c>
      <c r="AR84" s="424">
        <v>0</v>
      </c>
      <c r="AS84" s="424">
        <v>0</v>
      </c>
      <c r="AT84" s="424">
        <v>0</v>
      </c>
      <c r="AU84" s="424">
        <v>0</v>
      </c>
      <c r="AV84" s="424">
        <v>0</v>
      </c>
      <c r="AW84" s="424">
        <v>0</v>
      </c>
      <c r="AX84" s="424">
        <v>0</v>
      </c>
      <c r="AY84" s="424">
        <v>0</v>
      </c>
      <c r="AZ84" s="424">
        <v>0</v>
      </c>
      <c r="BA84" s="424">
        <v>0</v>
      </c>
      <c r="BB84" s="424">
        <v>0</v>
      </c>
      <c r="BC84" s="424">
        <v>0</v>
      </c>
      <c r="BD84" s="424">
        <v>0</v>
      </c>
      <c r="BE84" s="424">
        <v>0</v>
      </c>
      <c r="BF84" s="424">
        <v>0</v>
      </c>
      <c r="BG84" s="424">
        <v>0</v>
      </c>
      <c r="BH84" s="424">
        <v>0</v>
      </c>
      <c r="BI84" s="424">
        <v>0</v>
      </c>
      <c r="BJ84" s="424"/>
      <c r="BK84" s="352">
        <v>0</v>
      </c>
      <c r="BL84" s="352"/>
      <c r="BX84" s="431">
        <f t="shared" si="33"/>
        <v>0</v>
      </c>
      <c r="BY84" s="431"/>
      <c r="BZ84" s="431"/>
      <c r="CB84" s="20"/>
    </row>
    <row r="85" spans="1:80">
      <c r="A85" s="422">
        <v>2151</v>
      </c>
      <c r="B85" s="419" t="s">
        <v>1898</v>
      </c>
      <c r="C85" s="419"/>
      <c r="D85" s="424">
        <v>0</v>
      </c>
      <c r="E85" s="424">
        <v>148772.54</v>
      </c>
      <c r="F85" s="424">
        <v>775.29</v>
      </c>
      <c r="G85" s="424">
        <v>1013442.16</v>
      </c>
      <c r="H85" s="424">
        <v>11041.31</v>
      </c>
      <c r="I85" s="424">
        <v>2335399.3199999998</v>
      </c>
      <c r="J85" s="424">
        <v>275465.99</v>
      </c>
      <c r="K85" s="424">
        <v>239834.25</v>
      </c>
      <c r="L85" s="424">
        <v>49288.65</v>
      </c>
      <c r="M85" s="424">
        <v>0</v>
      </c>
      <c r="N85" s="424">
        <v>108263.29</v>
      </c>
      <c r="O85" s="424">
        <v>34850.33</v>
      </c>
      <c r="P85" s="424">
        <v>0</v>
      </c>
      <c r="Q85" s="424">
        <v>35621.980000000003</v>
      </c>
      <c r="R85" s="424">
        <v>818269</v>
      </c>
      <c r="S85" s="424">
        <v>794459.48</v>
      </c>
      <c r="T85" s="424">
        <v>416838.99</v>
      </c>
      <c r="U85" s="424">
        <v>62381.7</v>
      </c>
      <c r="V85" s="424">
        <v>990823.75</v>
      </c>
      <c r="W85" s="424">
        <v>35904.559999999998</v>
      </c>
      <c r="X85" s="424">
        <v>28679.8</v>
      </c>
      <c r="Y85" s="424">
        <v>455280.71</v>
      </c>
      <c r="Z85" s="424">
        <v>3699971.27</v>
      </c>
      <c r="AA85" s="424">
        <v>6950</v>
      </c>
      <c r="AB85" s="424">
        <v>604057.05000000005</v>
      </c>
      <c r="AC85" s="424">
        <v>1607576.57</v>
      </c>
      <c r="AD85" s="424">
        <v>13324838.960000001</v>
      </c>
      <c r="AE85" s="424">
        <v>33842.269999999997</v>
      </c>
      <c r="AF85" s="424">
        <v>0</v>
      </c>
      <c r="AG85" s="424">
        <v>5958.79</v>
      </c>
      <c r="AH85" s="424">
        <v>4414.66</v>
      </c>
      <c r="AI85" s="424">
        <v>0</v>
      </c>
      <c r="AJ85" s="424">
        <v>68131.429999999993</v>
      </c>
      <c r="AK85" s="424">
        <v>1942443.8</v>
      </c>
      <c r="AL85" s="424">
        <v>0</v>
      </c>
      <c r="AM85" s="424">
        <v>358149.17</v>
      </c>
      <c r="AN85" s="424">
        <v>100888.77</v>
      </c>
      <c r="AO85" s="424">
        <v>0</v>
      </c>
      <c r="AP85" s="424">
        <v>52415.06</v>
      </c>
      <c r="AQ85" s="424">
        <v>0</v>
      </c>
      <c r="AR85" s="424">
        <v>46843.040000000001</v>
      </c>
      <c r="AS85" s="424">
        <v>318010.45</v>
      </c>
      <c r="AT85" s="424">
        <v>12956.79</v>
      </c>
      <c r="AU85" s="424">
        <v>77667.62</v>
      </c>
      <c r="AV85" s="424">
        <v>0</v>
      </c>
      <c r="AW85" s="424">
        <v>120677.85</v>
      </c>
      <c r="AX85" s="424">
        <v>5940866.8499999996</v>
      </c>
      <c r="AY85" s="424">
        <v>498944.27</v>
      </c>
      <c r="AZ85" s="424">
        <v>73568.179999999993</v>
      </c>
      <c r="BA85" s="424">
        <v>1591259.86</v>
      </c>
      <c r="BB85" s="424">
        <v>0</v>
      </c>
      <c r="BC85" s="424">
        <v>6500</v>
      </c>
      <c r="BD85" s="424">
        <v>25691.63</v>
      </c>
      <c r="BE85" s="424">
        <v>842987.99</v>
      </c>
      <c r="BF85" s="424">
        <v>13571.39</v>
      </c>
      <c r="BG85" s="424">
        <v>893759.39</v>
      </c>
      <c r="BH85" s="424">
        <v>1497511.02</v>
      </c>
      <c r="BI85" s="424">
        <v>3439.51</v>
      </c>
      <c r="BJ85" s="424"/>
      <c r="BK85" s="352">
        <v>41629286.740000002</v>
      </c>
      <c r="BL85" s="352"/>
      <c r="BM85" s="424"/>
      <c r="BN85" s="424"/>
      <c r="BO85" s="424"/>
      <c r="BP85" s="424"/>
      <c r="BQ85" s="424"/>
      <c r="BR85" s="424"/>
      <c r="BS85" s="424"/>
      <c r="BT85" s="424"/>
      <c r="BU85" s="424"/>
      <c r="BV85" s="424"/>
      <c r="BW85" s="424"/>
      <c r="BX85" s="431">
        <f t="shared" si="33"/>
        <v>0</v>
      </c>
      <c r="BY85" s="431">
        <f t="shared" ref="BY85:BY90" si="34">BK85+BX85</f>
        <v>41629286.740000002</v>
      </c>
      <c r="BZ85" s="1">
        <f>ROUND(BY85/1000,0)+CA85</f>
        <v>41629</v>
      </c>
      <c r="CB85" s="20"/>
    </row>
    <row r="86" spans="1:80">
      <c r="A86" s="422">
        <v>2152</v>
      </c>
      <c r="B86" s="419" t="s">
        <v>1899</v>
      </c>
      <c r="C86" s="419"/>
      <c r="D86" s="424">
        <v>0</v>
      </c>
      <c r="E86" s="424">
        <v>40429.21</v>
      </c>
      <c r="F86" s="424">
        <v>0</v>
      </c>
      <c r="G86" s="424">
        <v>1629.06</v>
      </c>
      <c r="H86" s="424">
        <v>0</v>
      </c>
      <c r="I86" s="424">
        <v>13550.74</v>
      </c>
      <c r="J86" s="424">
        <v>90450.75</v>
      </c>
      <c r="K86" s="424">
        <v>0</v>
      </c>
      <c r="L86" s="424">
        <v>0</v>
      </c>
      <c r="M86" s="424">
        <v>70160.66</v>
      </c>
      <c r="N86" s="424">
        <v>0</v>
      </c>
      <c r="O86" s="424">
        <v>6002.8</v>
      </c>
      <c r="P86" s="424">
        <v>417.54</v>
      </c>
      <c r="Q86" s="424">
        <v>0</v>
      </c>
      <c r="R86" s="424">
        <v>0</v>
      </c>
      <c r="S86" s="424">
        <v>1743.9</v>
      </c>
      <c r="T86" s="424">
        <v>41921.050000000003</v>
      </c>
      <c r="U86" s="424">
        <v>11408.9</v>
      </c>
      <c r="V86" s="424">
        <v>0</v>
      </c>
      <c r="W86" s="424">
        <v>0</v>
      </c>
      <c r="X86" s="424">
        <v>287644.61</v>
      </c>
      <c r="Y86" s="424">
        <v>215248.06</v>
      </c>
      <c r="Z86" s="424">
        <v>0</v>
      </c>
      <c r="AA86" s="424">
        <v>0</v>
      </c>
      <c r="AB86" s="424">
        <v>0</v>
      </c>
      <c r="AC86" s="424">
        <v>0</v>
      </c>
      <c r="AD86" s="424">
        <v>76659.48</v>
      </c>
      <c r="AE86" s="424">
        <v>5634.86</v>
      </c>
      <c r="AF86" s="424">
        <v>0</v>
      </c>
      <c r="AG86" s="424">
        <v>5715.24</v>
      </c>
      <c r="AH86" s="424">
        <v>76469.259999999995</v>
      </c>
      <c r="AI86" s="424">
        <v>1992.05</v>
      </c>
      <c r="AJ86" s="424">
        <v>3683.57</v>
      </c>
      <c r="AK86" s="424">
        <v>0</v>
      </c>
      <c r="AL86" s="424">
        <v>0</v>
      </c>
      <c r="AM86" s="424">
        <v>0</v>
      </c>
      <c r="AN86" s="424">
        <v>27474</v>
      </c>
      <c r="AO86" s="424">
        <v>0</v>
      </c>
      <c r="AP86" s="424">
        <v>0</v>
      </c>
      <c r="AQ86" s="424">
        <v>0</v>
      </c>
      <c r="AR86" s="424">
        <v>0</v>
      </c>
      <c r="AS86" s="424">
        <v>5669.44</v>
      </c>
      <c r="AT86" s="424">
        <v>0</v>
      </c>
      <c r="AU86" s="424">
        <v>32924.65</v>
      </c>
      <c r="AV86" s="424">
        <v>19028.419999999998</v>
      </c>
      <c r="AW86" s="424">
        <v>14251.26</v>
      </c>
      <c r="AX86" s="424">
        <v>6509.7</v>
      </c>
      <c r="AY86" s="424">
        <v>13815.05</v>
      </c>
      <c r="AZ86" s="424">
        <v>33081.61</v>
      </c>
      <c r="BA86" s="424">
        <v>0</v>
      </c>
      <c r="BB86" s="424">
        <v>2293.8000000000002</v>
      </c>
      <c r="BC86" s="424">
        <v>0</v>
      </c>
      <c r="BD86" s="424">
        <v>501241.25</v>
      </c>
      <c r="BE86" s="424">
        <v>0</v>
      </c>
      <c r="BF86" s="424">
        <v>25.95</v>
      </c>
      <c r="BG86" s="424">
        <v>11399</v>
      </c>
      <c r="BH86" s="424">
        <v>0</v>
      </c>
      <c r="BI86" s="424">
        <v>60143.040000000001</v>
      </c>
      <c r="BJ86" s="424"/>
      <c r="BK86" s="352">
        <v>1678618.91</v>
      </c>
      <c r="BL86" s="352"/>
      <c r="BM86" s="424"/>
      <c r="BN86" s="424"/>
      <c r="BO86" s="424"/>
      <c r="BP86" s="424"/>
      <c r="BQ86" s="424"/>
      <c r="BR86" s="424"/>
      <c r="BS86" s="424"/>
      <c r="BT86" s="424"/>
      <c r="BU86" s="424"/>
      <c r="BV86" s="424"/>
      <c r="BW86" s="424"/>
      <c r="BX86" s="431">
        <f t="shared" si="33"/>
        <v>0</v>
      </c>
      <c r="BY86" s="431">
        <f t="shared" si="34"/>
        <v>1678618.91</v>
      </c>
      <c r="BZ86" s="1">
        <f>ROUND(BY86/1000,0)+CA86</f>
        <v>1679</v>
      </c>
      <c r="CB86" s="20"/>
    </row>
    <row r="87" spans="1:80">
      <c r="A87" s="422">
        <v>2153</v>
      </c>
      <c r="B87" s="419" t="s">
        <v>1902</v>
      </c>
      <c r="C87" s="419"/>
      <c r="D87" s="424">
        <v>0</v>
      </c>
      <c r="E87" s="424">
        <v>16294373.310000001</v>
      </c>
      <c r="F87" s="424">
        <v>5953651.0999999996</v>
      </c>
      <c r="G87" s="424">
        <v>2146526</v>
      </c>
      <c r="H87" s="424">
        <v>525687.69999999995</v>
      </c>
      <c r="I87" s="424">
        <v>884409.64</v>
      </c>
      <c r="J87" s="424">
        <v>42253.89</v>
      </c>
      <c r="K87" s="424">
        <v>16905396.460000001</v>
      </c>
      <c r="L87" s="424">
        <v>1866462.45</v>
      </c>
      <c r="M87" s="424">
        <v>406609</v>
      </c>
      <c r="N87" s="424">
        <v>1195294.46</v>
      </c>
      <c r="O87" s="424">
        <v>94397.48</v>
      </c>
      <c r="P87" s="424">
        <v>4300482.62</v>
      </c>
      <c r="Q87" s="424">
        <v>782167.89</v>
      </c>
      <c r="R87" s="424">
        <v>9580332.5099999998</v>
      </c>
      <c r="S87" s="424">
        <v>807644.83</v>
      </c>
      <c r="T87" s="424">
        <v>2045596.36</v>
      </c>
      <c r="U87" s="424">
        <v>17655423.170000002</v>
      </c>
      <c r="V87" s="424">
        <v>0</v>
      </c>
      <c r="W87" s="424">
        <v>3297352.54</v>
      </c>
      <c r="X87" s="424">
        <v>27884877.780000001</v>
      </c>
      <c r="Y87" s="424">
        <v>5094468.71</v>
      </c>
      <c r="Z87" s="424">
        <v>2092086.68</v>
      </c>
      <c r="AA87" s="424">
        <v>4353713.2</v>
      </c>
      <c r="AB87" s="424">
        <v>1917.2</v>
      </c>
      <c r="AC87" s="424">
        <v>1121925.97</v>
      </c>
      <c r="AD87" s="424">
        <v>26232.81</v>
      </c>
      <c r="AE87" s="424">
        <v>9675572.9100000001</v>
      </c>
      <c r="AF87" s="424">
        <v>0</v>
      </c>
      <c r="AG87" s="424">
        <v>14286729.1</v>
      </c>
      <c r="AH87" s="424">
        <v>300474.34000000003</v>
      </c>
      <c r="AI87" s="424">
        <v>-358722.4</v>
      </c>
      <c r="AJ87" s="424">
        <v>430011.35</v>
      </c>
      <c r="AK87" s="424">
        <v>6642382.4199999999</v>
      </c>
      <c r="AL87" s="424">
        <v>56609.46</v>
      </c>
      <c r="AM87" s="424">
        <v>2046960.82</v>
      </c>
      <c r="AN87" s="424">
        <v>267701.08</v>
      </c>
      <c r="AO87" s="424">
        <v>1700451.48</v>
      </c>
      <c r="AP87" s="424">
        <v>0</v>
      </c>
      <c r="AQ87" s="424">
        <v>800457.39</v>
      </c>
      <c r="AR87" s="424">
        <v>0</v>
      </c>
      <c r="AS87" s="424">
        <v>0</v>
      </c>
      <c r="AT87" s="424">
        <v>13344073.960000001</v>
      </c>
      <c r="AU87" s="424">
        <v>2039029.75</v>
      </c>
      <c r="AV87" s="424">
        <v>0</v>
      </c>
      <c r="AW87" s="424">
        <v>0</v>
      </c>
      <c r="AX87" s="424">
        <v>1214581.69</v>
      </c>
      <c r="AY87" s="424">
        <v>13262715.09</v>
      </c>
      <c r="AZ87" s="424">
        <v>2754831.88</v>
      </c>
      <c r="BA87" s="424">
        <v>0</v>
      </c>
      <c r="BB87" s="424">
        <v>0</v>
      </c>
      <c r="BC87" s="424">
        <v>1334460.26</v>
      </c>
      <c r="BD87" s="424">
        <v>250366.54</v>
      </c>
      <c r="BE87" s="424">
        <v>12435586.789999999</v>
      </c>
      <c r="BF87" s="424">
        <v>3376164</v>
      </c>
      <c r="BG87" s="424">
        <v>10956149.01</v>
      </c>
      <c r="BH87" s="424">
        <v>0</v>
      </c>
      <c r="BI87" s="424">
        <v>1924665.25</v>
      </c>
      <c r="BJ87" s="424"/>
      <c r="BK87" s="352">
        <v>224100535.93000001</v>
      </c>
      <c r="BL87" s="352"/>
      <c r="BM87" s="424"/>
      <c r="BN87" s="424"/>
      <c r="BO87" s="424"/>
      <c r="BP87" s="424"/>
      <c r="BQ87" s="424"/>
      <c r="BR87" s="424"/>
      <c r="BS87" s="424"/>
      <c r="BT87" s="424"/>
      <c r="BU87" s="424"/>
      <c r="BV87" s="424"/>
      <c r="BW87" s="424"/>
      <c r="BX87" s="431">
        <f t="shared" si="33"/>
        <v>0</v>
      </c>
      <c r="BY87" s="431">
        <f t="shared" si="34"/>
        <v>224100535.93000001</v>
      </c>
      <c r="BZ87" s="1">
        <f>ROUND(BY87/1000,0)+CA87</f>
        <v>224101</v>
      </c>
      <c r="CB87" s="20"/>
    </row>
    <row r="88" spans="1:80">
      <c r="A88" s="422">
        <v>2154</v>
      </c>
      <c r="B88" s="419" t="s">
        <v>1900</v>
      </c>
      <c r="C88" s="419"/>
      <c r="D88" s="424">
        <v>0</v>
      </c>
      <c r="E88" s="424">
        <v>50875.4</v>
      </c>
      <c r="F88" s="424">
        <v>1140323.6499999999</v>
      </c>
      <c r="G88" s="424">
        <v>376226.04</v>
      </c>
      <c r="H88" s="424">
        <v>128409.84</v>
      </c>
      <c r="I88" s="424">
        <v>1570476.79</v>
      </c>
      <c r="J88" s="424">
        <v>409467.2</v>
      </c>
      <c r="K88" s="424">
        <v>4574601.9000000004</v>
      </c>
      <c r="L88" s="424">
        <v>1951150.78</v>
      </c>
      <c r="M88" s="424">
        <v>638594.31999999995</v>
      </c>
      <c r="N88" s="424">
        <v>24325.01</v>
      </c>
      <c r="O88" s="424">
        <v>141504.69</v>
      </c>
      <c r="P88" s="424">
        <v>64468.94</v>
      </c>
      <c r="Q88" s="424">
        <v>2301159.6</v>
      </c>
      <c r="R88" s="424">
        <v>494646.67</v>
      </c>
      <c r="S88" s="424">
        <v>2234.34</v>
      </c>
      <c r="T88" s="424">
        <v>3240207.98</v>
      </c>
      <c r="U88" s="424">
        <v>916672.34</v>
      </c>
      <c r="V88" s="424">
        <v>10089.93</v>
      </c>
      <c r="W88" s="424">
        <v>456623.68</v>
      </c>
      <c r="X88" s="424">
        <v>7182176.8899999997</v>
      </c>
      <c r="Y88" s="424">
        <v>2581448.63</v>
      </c>
      <c r="Z88" s="424">
        <v>545531.09</v>
      </c>
      <c r="AA88" s="424">
        <v>5021939.1100000003</v>
      </c>
      <c r="AB88" s="424">
        <v>0</v>
      </c>
      <c r="AC88" s="424">
        <v>645454.55000000005</v>
      </c>
      <c r="AD88" s="424">
        <v>912470.84</v>
      </c>
      <c r="AE88" s="424">
        <v>1033883.37</v>
      </c>
      <c r="AF88" s="424">
        <v>8898654.6699999999</v>
      </c>
      <c r="AG88" s="424">
        <v>1274064.42</v>
      </c>
      <c r="AH88" s="424">
        <v>16561.05</v>
      </c>
      <c r="AI88" s="424">
        <v>397547.73</v>
      </c>
      <c r="AJ88" s="424">
        <v>1076032.1200000001</v>
      </c>
      <c r="AK88" s="424">
        <v>3662041.9</v>
      </c>
      <c r="AL88" s="424">
        <v>228269.35</v>
      </c>
      <c r="AM88" s="424">
        <v>938170.47</v>
      </c>
      <c r="AN88" s="424">
        <v>51446.58</v>
      </c>
      <c r="AO88" s="424">
        <v>111865.01</v>
      </c>
      <c r="AP88" s="424">
        <v>1355639.58</v>
      </c>
      <c r="AQ88" s="424">
        <v>1286717.6100000001</v>
      </c>
      <c r="AR88" s="424">
        <v>2831834.24</v>
      </c>
      <c r="AS88" s="424">
        <v>1147370.5900000001</v>
      </c>
      <c r="AT88" s="424">
        <v>968901.65</v>
      </c>
      <c r="AU88" s="424">
        <v>805840.46</v>
      </c>
      <c r="AV88" s="424">
        <v>753360.47</v>
      </c>
      <c r="AW88" s="424">
        <v>767836.76</v>
      </c>
      <c r="AX88" s="424">
        <v>11659055.65</v>
      </c>
      <c r="AY88" s="424">
        <v>1010320.89</v>
      </c>
      <c r="AZ88" s="424">
        <v>1909303.67</v>
      </c>
      <c r="BA88" s="424">
        <v>0</v>
      </c>
      <c r="BB88" s="424">
        <v>1297434.05</v>
      </c>
      <c r="BC88" s="424">
        <v>439906.37</v>
      </c>
      <c r="BD88" s="424">
        <v>0</v>
      </c>
      <c r="BE88" s="424">
        <v>4903259.76</v>
      </c>
      <c r="BF88" s="424">
        <v>1276342.57</v>
      </c>
      <c r="BG88" s="424">
        <v>666377.93999999994</v>
      </c>
      <c r="BH88" s="424">
        <v>1414991.35</v>
      </c>
      <c r="BI88" s="424">
        <v>567757.37</v>
      </c>
      <c r="BJ88" s="424"/>
      <c r="BK88" s="352">
        <v>88131867.859999999</v>
      </c>
      <c r="BL88" s="352"/>
      <c r="BM88" s="424"/>
      <c r="BN88" s="424"/>
      <c r="BO88" s="424"/>
      <c r="BP88" s="424"/>
      <c r="BQ88" s="424"/>
      <c r="BR88" s="424"/>
      <c r="BS88" s="424"/>
      <c r="BT88" s="424"/>
      <c r="BU88" s="424"/>
      <c r="BV88" s="424"/>
      <c r="BW88" s="424"/>
      <c r="BX88" s="431">
        <f t="shared" si="33"/>
        <v>0</v>
      </c>
      <c r="BY88" s="431">
        <f t="shared" si="34"/>
        <v>88131867.859999999</v>
      </c>
      <c r="BZ88" s="1">
        <f>ROUND(BY88/1000,0)+CA88</f>
        <v>88132</v>
      </c>
      <c r="CB88" s="20"/>
    </row>
    <row r="89" spans="1:80">
      <c r="A89" s="422">
        <v>2180</v>
      </c>
      <c r="B89" s="5" t="s">
        <v>253</v>
      </c>
      <c r="C89" s="1"/>
      <c r="D89" s="424">
        <v>-26552262.640000001</v>
      </c>
      <c r="E89" s="424">
        <v>-23947615.52</v>
      </c>
      <c r="F89" s="424">
        <v>-48049527.840000004</v>
      </c>
      <c r="G89" s="424">
        <v>-16350167.77</v>
      </c>
      <c r="H89" s="424">
        <v>-9596657.2699999996</v>
      </c>
      <c r="I89" s="424">
        <v>-20643464.210000001</v>
      </c>
      <c r="J89" s="424">
        <v>-15086704.779999999</v>
      </c>
      <c r="K89" s="424">
        <v>-25378911.399999999</v>
      </c>
      <c r="L89" s="424">
        <v>-48999689.880000003</v>
      </c>
      <c r="M89" s="424">
        <v>-16124903.970000001</v>
      </c>
      <c r="N89" s="424">
        <v>-37361628.630000003</v>
      </c>
      <c r="O89" s="424">
        <v>-51301679.840000004</v>
      </c>
      <c r="P89" s="424">
        <v>-119547608.28</v>
      </c>
      <c r="Q89" s="424">
        <v>-17287482.890000001</v>
      </c>
      <c r="R89" s="424">
        <v>-25190849.57</v>
      </c>
      <c r="S89" s="424">
        <v>-15621595.119999999</v>
      </c>
      <c r="T89" s="424">
        <v>-18981382.530000001</v>
      </c>
      <c r="U89" s="424">
        <v>-20724232.18</v>
      </c>
      <c r="V89" s="424">
        <v>-37853058.810000002</v>
      </c>
      <c r="W89" s="424">
        <v>-12965062.65</v>
      </c>
      <c r="X89" s="424">
        <v>-61371608.829999998</v>
      </c>
      <c r="Y89" s="424">
        <v>-64575470.670000002</v>
      </c>
      <c r="Z89" s="424">
        <v>-28785822.640000001</v>
      </c>
      <c r="AA89" s="424">
        <v>-45541600.530000001</v>
      </c>
      <c r="AB89" s="424">
        <v>-14150120.92</v>
      </c>
      <c r="AC89" s="424">
        <v>-13047500.359999999</v>
      </c>
      <c r="AD89" s="424">
        <v>-20285708.629999999</v>
      </c>
      <c r="AE89" s="424">
        <v>-12431818.210000001</v>
      </c>
      <c r="AF89" s="424">
        <v>-34900214.450000003</v>
      </c>
      <c r="AG89" s="424">
        <v>-36991053.700000003</v>
      </c>
      <c r="AH89" s="424">
        <v>-8164508.96</v>
      </c>
      <c r="AI89" s="424">
        <v>-12324009</v>
      </c>
      <c r="AJ89" s="424">
        <v>-10468497.880000001</v>
      </c>
      <c r="AK89" s="424">
        <v>-716770.55</v>
      </c>
      <c r="AL89" s="424">
        <v>-10191192.390000001</v>
      </c>
      <c r="AM89" s="424">
        <v>-30536936.640000001</v>
      </c>
      <c r="AN89" s="424">
        <v>-6967446.9500000002</v>
      </c>
      <c r="AO89" s="424">
        <v>-16127151.43</v>
      </c>
      <c r="AP89" s="424">
        <v>-62126938.689999998</v>
      </c>
      <c r="AQ89" s="424">
        <v>-22859133.440000001</v>
      </c>
      <c r="AR89" s="424">
        <v>-22864058.829999998</v>
      </c>
      <c r="AS89" s="424">
        <v>-7511546.8200000003</v>
      </c>
      <c r="AT89" s="424">
        <v>-21975812.949999999</v>
      </c>
      <c r="AU89" s="424">
        <v>-12924883.300000001</v>
      </c>
      <c r="AV89" s="424">
        <v>-40683615.590000004</v>
      </c>
      <c r="AW89" s="424">
        <v>-12999128.029999999</v>
      </c>
      <c r="AX89" s="424">
        <v>-27093311.440000001</v>
      </c>
      <c r="AY89" s="424">
        <v>-15662165.25</v>
      </c>
      <c r="AZ89" s="424">
        <v>-18181309.219999999</v>
      </c>
      <c r="BA89" s="424">
        <v>-25583949.649999999</v>
      </c>
      <c r="BB89" s="424">
        <v>-22973907.23</v>
      </c>
      <c r="BC89" s="424">
        <v>-9682287.5500000007</v>
      </c>
      <c r="BD89" s="424">
        <v>-16082355.310000001</v>
      </c>
      <c r="BE89" s="424">
        <v>-172191621.69</v>
      </c>
      <c r="BF89" s="424">
        <v>-33427210.899999999</v>
      </c>
      <c r="BG89" s="424">
        <v>-11040177.43</v>
      </c>
      <c r="BH89" s="424">
        <v>-31687112.940000001</v>
      </c>
      <c r="BI89" s="424">
        <v>-12058815.84</v>
      </c>
      <c r="BJ89" s="424"/>
      <c r="BK89" s="352">
        <v>-1634751260.6199999</v>
      </c>
      <c r="BL89" s="352"/>
      <c r="BM89" s="424"/>
      <c r="BN89" s="424"/>
      <c r="BO89" s="424"/>
      <c r="BP89" s="424"/>
      <c r="BQ89" s="424"/>
      <c r="BR89" s="424"/>
      <c r="BS89" s="424"/>
      <c r="BT89" s="424"/>
      <c r="BU89" s="424"/>
      <c r="BV89" s="424"/>
      <c r="BW89" s="424"/>
      <c r="BX89" s="431">
        <f t="shared" si="33"/>
        <v>0</v>
      </c>
      <c r="BY89" s="431">
        <f t="shared" si="34"/>
        <v>-1634751260.6199999</v>
      </c>
      <c r="BZ89" s="1">
        <f>ROUND(BY89/1000,0)+CA89</f>
        <v>-1634751</v>
      </c>
      <c r="CB89" s="20"/>
    </row>
    <row r="90" spans="1:80" ht="10.8" thickBot="1">
      <c r="A90" s="422">
        <v>2190</v>
      </c>
      <c r="B90" s="5" t="s">
        <v>1903</v>
      </c>
      <c r="C90" s="5"/>
      <c r="D90" s="425">
        <v>41498609.57</v>
      </c>
      <c r="E90" s="425">
        <v>42740235.369999997</v>
      </c>
      <c r="F90" s="425">
        <v>107500847.11</v>
      </c>
      <c r="G90" s="425">
        <v>10812696.789999999</v>
      </c>
      <c r="H90" s="425">
        <v>6019140.6299999999</v>
      </c>
      <c r="I90" s="425">
        <v>51871126.049999997</v>
      </c>
      <c r="J90" s="425">
        <v>27390987.800000001</v>
      </c>
      <c r="K90" s="425">
        <v>39628823.890000001</v>
      </c>
      <c r="L90" s="425">
        <v>193428064.59999999</v>
      </c>
      <c r="M90" s="425">
        <v>19279972.27</v>
      </c>
      <c r="N90" s="425">
        <v>40469029.619999997</v>
      </c>
      <c r="O90" s="425">
        <v>10543281.699999999</v>
      </c>
      <c r="P90" s="425">
        <v>486742343.33999997</v>
      </c>
      <c r="Q90" s="425">
        <v>21110173.640000001</v>
      </c>
      <c r="R90" s="425">
        <v>30815231.789999999</v>
      </c>
      <c r="S90" s="425">
        <v>17591421.370000001</v>
      </c>
      <c r="T90" s="425">
        <v>22671407.02</v>
      </c>
      <c r="U90" s="425">
        <v>38954256.210000001</v>
      </c>
      <c r="V90" s="425">
        <v>30941429.690000001</v>
      </c>
      <c r="W90" s="425">
        <v>14678562.210000001</v>
      </c>
      <c r="X90" s="425">
        <v>80707454.299999997</v>
      </c>
      <c r="Y90" s="425">
        <v>65617102.630000003</v>
      </c>
      <c r="Z90" s="425">
        <v>57429811.509999998</v>
      </c>
      <c r="AA90" s="425">
        <v>223199212.83000001</v>
      </c>
      <c r="AB90" s="425">
        <v>4149008.98</v>
      </c>
      <c r="AC90" s="425">
        <v>42539367.969999999</v>
      </c>
      <c r="AD90" s="425">
        <v>23368453.609999999</v>
      </c>
      <c r="AE90" s="425">
        <v>13759028.65</v>
      </c>
      <c r="AF90" s="425">
        <v>39485898.329999998</v>
      </c>
      <c r="AG90" s="425">
        <v>6956133.2000000002</v>
      </c>
      <c r="AH90" s="425">
        <v>900113.6</v>
      </c>
      <c r="AI90" s="425">
        <v>11532036.189999999</v>
      </c>
      <c r="AJ90" s="425">
        <v>2494366.59</v>
      </c>
      <c r="AK90" s="425">
        <v>53400555.07</v>
      </c>
      <c r="AL90" s="425">
        <v>3826815.93</v>
      </c>
      <c r="AM90" s="425">
        <v>5394735.4900000002</v>
      </c>
      <c r="AN90" s="425">
        <v>5020412.91</v>
      </c>
      <c r="AO90" s="425">
        <v>1739.47</v>
      </c>
      <c r="AP90" s="425">
        <v>43442326.810000002</v>
      </c>
      <c r="AQ90" s="425">
        <v>25153761.949999999</v>
      </c>
      <c r="AR90" s="425">
        <v>7128616.0199999996</v>
      </c>
      <c r="AS90" s="425">
        <v>-577457.53</v>
      </c>
      <c r="AT90" s="425">
        <v>18625272.710000001</v>
      </c>
      <c r="AU90" s="425">
        <v>16662564.060000001</v>
      </c>
      <c r="AV90" s="425">
        <v>61187420.369999997</v>
      </c>
      <c r="AW90" s="425">
        <v>9419935.0299999993</v>
      </c>
      <c r="AX90" s="425">
        <v>77044337.340000004</v>
      </c>
      <c r="AY90" s="425">
        <v>24351560.960000001</v>
      </c>
      <c r="AZ90" s="425">
        <v>37161160.619999997</v>
      </c>
      <c r="BA90" s="425">
        <v>-5618170.8700000001</v>
      </c>
      <c r="BB90" s="425">
        <v>5243204.87</v>
      </c>
      <c r="BC90" s="425">
        <v>4614921.72</v>
      </c>
      <c r="BD90" s="425">
        <v>15812276.77</v>
      </c>
      <c r="BE90" s="425">
        <v>420322673.69999999</v>
      </c>
      <c r="BF90" s="425">
        <v>7784489.3700000001</v>
      </c>
      <c r="BG90" s="425">
        <v>24749428.890000001</v>
      </c>
      <c r="BH90" s="425">
        <v>18311965.050000001</v>
      </c>
      <c r="BI90" s="425">
        <v>3637001.4</v>
      </c>
      <c r="BJ90" s="426"/>
      <c r="BK90" s="425">
        <v>2708927177.1700001</v>
      </c>
      <c r="BL90" s="425"/>
      <c r="BM90" s="425">
        <f t="shared" ref="BM90:BS90" si="35">SUM(BM78,BM81:BM83,BM85:BM88,BM89)</f>
        <v>0</v>
      </c>
      <c r="BN90" s="425">
        <f t="shared" si="35"/>
        <v>0</v>
      </c>
      <c r="BO90" s="425">
        <f t="shared" si="35"/>
        <v>0</v>
      </c>
      <c r="BP90" s="425">
        <f t="shared" si="35"/>
        <v>0</v>
      </c>
      <c r="BQ90" s="425">
        <f t="shared" si="35"/>
        <v>0</v>
      </c>
      <c r="BR90" s="425">
        <f t="shared" si="35"/>
        <v>0</v>
      </c>
      <c r="BS90" s="425">
        <f t="shared" si="35"/>
        <v>0</v>
      </c>
      <c r="BT90" s="425">
        <f>SUM(BT78,BT81:BT83,BT85:BT88,BT89)</f>
        <v>0</v>
      </c>
      <c r="BU90" s="425"/>
      <c r="BV90" s="425"/>
      <c r="BW90" s="425"/>
      <c r="BX90" s="777">
        <f>(BX65-BX40)*-1</f>
        <v>-777817.76</v>
      </c>
      <c r="BY90" s="777">
        <f t="shared" si="34"/>
        <v>2708149359.4099998</v>
      </c>
      <c r="BZ90" s="486">
        <v>2025968</v>
      </c>
      <c r="CB90" s="20"/>
    </row>
    <row r="91" spans="1:80" ht="10.8" thickTop="1">
      <c r="A91" s="547"/>
      <c r="B91" s="5"/>
      <c r="C91" s="5"/>
      <c r="D91" s="1" t="s">
        <v>146</v>
      </c>
      <c r="E91" s="1" t="s">
        <v>146</v>
      </c>
      <c r="F91" s="1" t="s">
        <v>146</v>
      </c>
      <c r="G91" s="1" t="s">
        <v>146</v>
      </c>
      <c r="H91" s="1" t="s">
        <v>146</v>
      </c>
      <c r="I91" s="1" t="s">
        <v>146</v>
      </c>
      <c r="J91" s="1" t="s">
        <v>146</v>
      </c>
      <c r="K91" s="1" t="s">
        <v>146</v>
      </c>
      <c r="L91" s="1" t="s">
        <v>146</v>
      </c>
      <c r="M91" s="1" t="s">
        <v>146</v>
      </c>
      <c r="N91" s="1" t="s">
        <v>146</v>
      </c>
      <c r="O91" s="1" t="s">
        <v>146</v>
      </c>
      <c r="P91" s="1" t="s">
        <v>146</v>
      </c>
      <c r="Q91" s="1" t="s">
        <v>146</v>
      </c>
      <c r="R91" s="1" t="s">
        <v>146</v>
      </c>
      <c r="S91" s="1" t="s">
        <v>146</v>
      </c>
      <c r="T91" s="1" t="s">
        <v>146</v>
      </c>
      <c r="U91" s="1" t="s">
        <v>146</v>
      </c>
      <c r="V91" s="1" t="s">
        <v>146</v>
      </c>
      <c r="W91" s="1" t="s">
        <v>146</v>
      </c>
      <c r="X91" s="1" t="s">
        <v>146</v>
      </c>
      <c r="Y91" s="1" t="s">
        <v>146</v>
      </c>
      <c r="Z91" s="1" t="s">
        <v>146</v>
      </c>
      <c r="AA91" s="1" t="s">
        <v>146</v>
      </c>
      <c r="AB91" s="1" t="s">
        <v>146</v>
      </c>
      <c r="AC91" s="1" t="s">
        <v>146</v>
      </c>
      <c r="AD91" s="1" t="s">
        <v>146</v>
      </c>
      <c r="AE91" s="1" t="s">
        <v>146</v>
      </c>
      <c r="AF91" s="1" t="s">
        <v>146</v>
      </c>
      <c r="AG91" s="1" t="s">
        <v>146</v>
      </c>
      <c r="AH91" s="1" t="s">
        <v>146</v>
      </c>
      <c r="AI91" s="1" t="s">
        <v>146</v>
      </c>
      <c r="AJ91" s="1" t="s">
        <v>146</v>
      </c>
      <c r="AK91" s="1" t="s">
        <v>146</v>
      </c>
      <c r="AL91" s="1" t="s">
        <v>146</v>
      </c>
      <c r="AM91" s="1" t="s">
        <v>146</v>
      </c>
      <c r="AN91" s="1" t="s">
        <v>146</v>
      </c>
      <c r="AO91" s="1" t="s">
        <v>146</v>
      </c>
      <c r="AP91" s="1" t="s">
        <v>146</v>
      </c>
      <c r="AQ91" s="1" t="s">
        <v>146</v>
      </c>
      <c r="AR91" s="1" t="s">
        <v>146</v>
      </c>
      <c r="AS91" s="1" t="s">
        <v>146</v>
      </c>
      <c r="AT91" s="1" t="s">
        <v>146</v>
      </c>
      <c r="AU91" s="1" t="s">
        <v>146</v>
      </c>
      <c r="AV91" s="1" t="s">
        <v>146</v>
      </c>
      <c r="AW91" s="1" t="s">
        <v>146</v>
      </c>
      <c r="AX91" s="1" t="s">
        <v>146</v>
      </c>
      <c r="AY91" s="1" t="s">
        <v>146</v>
      </c>
      <c r="AZ91" s="1" t="s">
        <v>146</v>
      </c>
      <c r="BA91" s="1" t="s">
        <v>146</v>
      </c>
      <c r="BB91" s="1" t="s">
        <v>146</v>
      </c>
      <c r="BC91" s="1" t="s">
        <v>146</v>
      </c>
      <c r="BD91" s="1" t="s">
        <v>146</v>
      </c>
      <c r="BE91" s="1" t="s">
        <v>146</v>
      </c>
      <c r="BF91" s="1" t="s">
        <v>146</v>
      </c>
      <c r="BG91" s="1" t="s">
        <v>146</v>
      </c>
      <c r="BH91" s="1" t="s">
        <v>146</v>
      </c>
      <c r="BI91" s="1" t="s">
        <v>146</v>
      </c>
      <c r="BJ91" s="1"/>
      <c r="BK91" s="1" t="s">
        <v>146</v>
      </c>
      <c r="BL91" s="1"/>
      <c r="BM91" s="1" t="s">
        <v>146</v>
      </c>
      <c r="BN91" s="1">
        <f>+BN40+BN47+BN65+BN75+BN90</f>
        <v>0</v>
      </c>
      <c r="BO91" s="1">
        <f>+BO40+BO47+BO65+BO75+BO90</f>
        <v>0</v>
      </c>
      <c r="BP91" s="1">
        <f>+BP40+BP47+BP65+BP75+BP90</f>
        <v>0</v>
      </c>
      <c r="BQ91" s="1">
        <f>+BQ40+BQ47+BQ65+BQ75+BQ90</f>
        <v>0</v>
      </c>
      <c r="BR91" s="1"/>
      <c r="BS91" s="1"/>
      <c r="BT91" s="1"/>
      <c r="BU91" s="1"/>
      <c r="BV91" s="1"/>
      <c r="BW91" s="1"/>
      <c r="BX91" s="1" t="s">
        <v>146</v>
      </c>
      <c r="BY91" s="1" t="s">
        <v>146</v>
      </c>
      <c r="BZ91" s="1">
        <v>0</v>
      </c>
      <c r="CB91" s="20"/>
    </row>
    <row r="92" spans="1:80" ht="13.8">
      <c r="A92" s="547"/>
      <c r="B92" s="5">
        <v>0</v>
      </c>
      <c r="C92" s="5"/>
      <c r="D92" s="328" t="str">
        <f t="shared" ref="D92:AI92" si="36">IF((D40+D47)-(D65+D75+D90)&lt;0.00005,"In Bal.","NOT BALANCED")</f>
        <v>In Bal.</v>
      </c>
      <c r="E92" s="328" t="str">
        <f t="shared" si="36"/>
        <v>In Bal.</v>
      </c>
      <c r="F92" s="328" t="str">
        <f t="shared" si="36"/>
        <v>In Bal.</v>
      </c>
      <c r="G92" s="328" t="str">
        <f t="shared" si="36"/>
        <v>In Bal.</v>
      </c>
      <c r="H92" s="328" t="str">
        <f t="shared" si="36"/>
        <v>In Bal.</v>
      </c>
      <c r="I92" s="328" t="str">
        <f t="shared" si="36"/>
        <v>In Bal.</v>
      </c>
      <c r="J92" s="328" t="str">
        <f t="shared" si="36"/>
        <v>In Bal.</v>
      </c>
      <c r="K92" s="328" t="str">
        <f t="shared" si="36"/>
        <v>In Bal.</v>
      </c>
      <c r="L92" s="328" t="str">
        <f t="shared" si="36"/>
        <v>In Bal.</v>
      </c>
      <c r="M92" s="328" t="str">
        <f t="shared" si="36"/>
        <v>In Bal.</v>
      </c>
      <c r="N92" s="328" t="str">
        <f t="shared" si="36"/>
        <v>In Bal.</v>
      </c>
      <c r="O92" s="328" t="str">
        <f t="shared" si="36"/>
        <v>In Bal.</v>
      </c>
      <c r="P92" s="328" t="str">
        <f t="shared" si="36"/>
        <v>In Bal.</v>
      </c>
      <c r="Q92" s="328" t="str">
        <f t="shared" si="36"/>
        <v>In Bal.</v>
      </c>
      <c r="R92" s="328" t="str">
        <f t="shared" si="36"/>
        <v>In Bal.</v>
      </c>
      <c r="S92" s="328" t="str">
        <f t="shared" si="36"/>
        <v>In Bal.</v>
      </c>
      <c r="T92" s="328" t="str">
        <f t="shared" si="36"/>
        <v>In Bal.</v>
      </c>
      <c r="U92" s="328" t="str">
        <f t="shared" si="36"/>
        <v>In Bal.</v>
      </c>
      <c r="V92" s="328" t="str">
        <f t="shared" si="36"/>
        <v>In Bal.</v>
      </c>
      <c r="W92" s="328" t="str">
        <f t="shared" si="36"/>
        <v>In Bal.</v>
      </c>
      <c r="X92" s="328" t="str">
        <f t="shared" si="36"/>
        <v>In Bal.</v>
      </c>
      <c r="Y92" s="328" t="str">
        <f t="shared" si="36"/>
        <v>In Bal.</v>
      </c>
      <c r="Z92" s="328" t="str">
        <f t="shared" si="36"/>
        <v>In Bal.</v>
      </c>
      <c r="AA92" s="328" t="str">
        <f t="shared" si="36"/>
        <v>In Bal.</v>
      </c>
      <c r="AB92" s="328" t="str">
        <f t="shared" si="36"/>
        <v>In Bal.</v>
      </c>
      <c r="AC92" s="328" t="str">
        <f t="shared" si="36"/>
        <v>In Bal.</v>
      </c>
      <c r="AD92" s="328" t="str">
        <f t="shared" si="36"/>
        <v>In Bal.</v>
      </c>
      <c r="AE92" s="328" t="str">
        <f t="shared" si="36"/>
        <v>In Bal.</v>
      </c>
      <c r="AF92" s="328" t="str">
        <f t="shared" si="36"/>
        <v>In Bal.</v>
      </c>
      <c r="AG92" s="328" t="str">
        <f t="shared" si="36"/>
        <v>In Bal.</v>
      </c>
      <c r="AH92" s="328" t="str">
        <f t="shared" si="36"/>
        <v>In Bal.</v>
      </c>
      <c r="AI92" s="328" t="str">
        <f t="shared" si="36"/>
        <v>In Bal.</v>
      </c>
      <c r="AJ92" s="328" t="str">
        <f t="shared" ref="AJ92:BI92" si="37">IF((AJ40+AJ47)-(AJ65+AJ75+AJ90)&lt;0.00005,"In Bal.","NOT BALANCED")</f>
        <v>In Bal.</v>
      </c>
      <c r="AK92" s="328" t="str">
        <f t="shared" si="37"/>
        <v>In Bal.</v>
      </c>
      <c r="AL92" s="328" t="str">
        <f t="shared" si="37"/>
        <v>In Bal.</v>
      </c>
      <c r="AM92" s="328" t="str">
        <f t="shared" si="37"/>
        <v>In Bal.</v>
      </c>
      <c r="AN92" s="328" t="str">
        <f t="shared" si="37"/>
        <v>In Bal.</v>
      </c>
      <c r="AO92" s="328" t="str">
        <f t="shared" si="37"/>
        <v>In Bal.</v>
      </c>
      <c r="AP92" s="328" t="str">
        <f t="shared" si="37"/>
        <v>In Bal.</v>
      </c>
      <c r="AQ92" s="328" t="str">
        <f t="shared" si="37"/>
        <v>In Bal.</v>
      </c>
      <c r="AR92" s="328" t="str">
        <f t="shared" si="37"/>
        <v>In Bal.</v>
      </c>
      <c r="AS92" s="328" t="str">
        <f t="shared" si="37"/>
        <v>In Bal.</v>
      </c>
      <c r="AT92" s="328" t="str">
        <f t="shared" si="37"/>
        <v>In Bal.</v>
      </c>
      <c r="AU92" s="328" t="str">
        <f t="shared" si="37"/>
        <v>In Bal.</v>
      </c>
      <c r="AV92" s="328" t="str">
        <f t="shared" si="37"/>
        <v>In Bal.</v>
      </c>
      <c r="AW92" s="328" t="str">
        <f t="shared" si="37"/>
        <v>In Bal.</v>
      </c>
      <c r="AX92" s="328" t="str">
        <f t="shared" si="37"/>
        <v>In Bal.</v>
      </c>
      <c r="AY92" s="328" t="str">
        <f t="shared" si="37"/>
        <v>In Bal.</v>
      </c>
      <c r="AZ92" s="328" t="str">
        <f t="shared" si="37"/>
        <v>In Bal.</v>
      </c>
      <c r="BA92" s="328" t="str">
        <f t="shared" si="37"/>
        <v>In Bal.</v>
      </c>
      <c r="BB92" s="328" t="str">
        <f t="shared" si="37"/>
        <v>In Bal.</v>
      </c>
      <c r="BC92" s="328" t="str">
        <f t="shared" si="37"/>
        <v>In Bal.</v>
      </c>
      <c r="BD92" s="328" t="str">
        <f t="shared" si="37"/>
        <v>In Bal.</v>
      </c>
      <c r="BE92" s="328" t="str">
        <f t="shared" si="37"/>
        <v>In Bal.</v>
      </c>
      <c r="BF92" s="328" t="str">
        <f t="shared" si="37"/>
        <v>In Bal.</v>
      </c>
      <c r="BG92" s="328" t="str">
        <f t="shared" si="37"/>
        <v>In Bal.</v>
      </c>
      <c r="BH92" s="328" t="str">
        <f t="shared" si="37"/>
        <v>In Bal.</v>
      </c>
      <c r="BI92" s="328" t="str">
        <f t="shared" si="37"/>
        <v>In Bal.</v>
      </c>
      <c r="BJ92" s="328"/>
      <c r="BK92" s="328" t="str">
        <f t="shared" ref="BK92:BX92" si="38">IF((BK40+BK47)-(BK65+BK75+BK90)&lt;0.00005,"In Bal.","NOT BALANCED")</f>
        <v>In Bal.</v>
      </c>
      <c r="BL92" s="328"/>
      <c r="BM92" s="328" t="str">
        <f t="shared" si="38"/>
        <v>In Bal.</v>
      </c>
      <c r="BN92" s="328" t="str">
        <f t="shared" si="38"/>
        <v>In Bal.</v>
      </c>
      <c r="BO92" s="328" t="str">
        <f t="shared" si="38"/>
        <v>In Bal.</v>
      </c>
      <c r="BP92" s="328" t="str">
        <f t="shared" si="38"/>
        <v>In Bal.</v>
      </c>
      <c r="BQ92" s="328" t="str">
        <f t="shared" si="38"/>
        <v>In Bal.</v>
      </c>
      <c r="BR92" s="328" t="str">
        <f t="shared" si="38"/>
        <v>In Bal.</v>
      </c>
      <c r="BS92" s="328" t="str">
        <f t="shared" si="38"/>
        <v>In Bal.</v>
      </c>
      <c r="BT92" s="328" t="str">
        <f t="shared" si="38"/>
        <v>In Bal.</v>
      </c>
      <c r="BU92" s="328" t="str">
        <f t="shared" si="38"/>
        <v>In Bal.</v>
      </c>
      <c r="BV92" s="328" t="str">
        <f t="shared" si="38"/>
        <v>In Bal.</v>
      </c>
      <c r="BW92" s="328" t="str">
        <f t="shared" si="38"/>
        <v>In Bal.</v>
      </c>
      <c r="BX92" s="328" t="str">
        <f t="shared" si="38"/>
        <v>In Bal.</v>
      </c>
      <c r="BY92" s="328" t="s">
        <v>146</v>
      </c>
      <c r="BZ92" s="328" t="s">
        <v>146</v>
      </c>
      <c r="CB92" s="20"/>
    </row>
    <row r="93" spans="1:80" ht="13.8">
      <c r="A93" s="547"/>
      <c r="B93" s="5"/>
      <c r="C93" s="5"/>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c r="BZ93" s="438"/>
      <c r="CB93" s="20"/>
    </row>
    <row r="94" spans="1:80">
      <c r="A94" s="547"/>
      <c r="B94" s="5"/>
      <c r="C94" s="5"/>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9" t="s">
        <v>146</v>
      </c>
      <c r="BL94" s="429"/>
      <c r="CB94" s="20"/>
    </row>
    <row r="95" spans="1:80">
      <c r="A95" s="547"/>
      <c r="B95" s="7" t="s">
        <v>259</v>
      </c>
      <c r="C95" s="7"/>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9" t="s">
        <v>146</v>
      </c>
      <c r="BL95" s="429"/>
      <c r="CB95" s="20"/>
    </row>
    <row r="96" spans="1:80">
      <c r="A96" s="547"/>
      <c r="B96" s="7" t="s">
        <v>260</v>
      </c>
      <c r="C96" s="7"/>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9"/>
      <c r="BL96" s="429"/>
      <c r="CB96" s="20">
        <f>BY90-BY141</f>
        <v>49059125</v>
      </c>
    </row>
    <row r="97" spans="1:87">
      <c r="A97" s="422">
        <v>2320</v>
      </c>
      <c r="B97" s="5" t="s">
        <v>261</v>
      </c>
      <c r="C97" s="5"/>
      <c r="D97" s="424">
        <v>2223077.75</v>
      </c>
      <c r="E97" s="424">
        <v>2239012.3199999998</v>
      </c>
      <c r="F97" s="424">
        <v>4247529.96</v>
      </c>
      <c r="G97" s="424">
        <v>155417.95000000001</v>
      </c>
      <c r="H97" s="424">
        <v>612013.43000000005</v>
      </c>
      <c r="I97" s="424">
        <v>1825160.69</v>
      </c>
      <c r="J97" s="424">
        <v>848970.14</v>
      </c>
      <c r="K97" s="424">
        <v>2778940.63</v>
      </c>
      <c r="L97" s="424">
        <v>10424037.15</v>
      </c>
      <c r="M97" s="424">
        <v>912522.74</v>
      </c>
      <c r="N97" s="424">
        <v>4496207.91</v>
      </c>
      <c r="O97" s="424">
        <v>3712386.47</v>
      </c>
      <c r="P97" s="424">
        <v>22585834.260000002</v>
      </c>
      <c r="Q97" s="424">
        <v>2487707.38</v>
      </c>
      <c r="R97" s="424">
        <v>4090215.71</v>
      </c>
      <c r="S97" s="424">
        <v>1663324.6</v>
      </c>
      <c r="T97" s="424">
        <v>2121344.2000000002</v>
      </c>
      <c r="U97" s="424">
        <v>2375906.46</v>
      </c>
      <c r="V97" s="424">
        <v>9521031.6199999992</v>
      </c>
      <c r="W97" s="424">
        <v>760885.25</v>
      </c>
      <c r="X97" s="424">
        <v>12543825.970000001</v>
      </c>
      <c r="Y97" s="424">
        <v>8413000.6899999995</v>
      </c>
      <c r="Z97" s="424">
        <v>7983820.79</v>
      </c>
      <c r="AA97" s="424">
        <v>7337139.4500000002</v>
      </c>
      <c r="AB97" s="424">
        <v>522773.72</v>
      </c>
      <c r="AC97" s="424">
        <v>761105.6</v>
      </c>
      <c r="AD97" s="424">
        <v>703453.48</v>
      </c>
      <c r="AE97" s="424">
        <v>399368.91</v>
      </c>
      <c r="AF97" s="424">
        <v>3867116.52</v>
      </c>
      <c r="AG97" s="424">
        <v>1314858.48</v>
      </c>
      <c r="AH97" s="424">
        <v>254783.78</v>
      </c>
      <c r="AI97" s="424">
        <v>347059.06</v>
      </c>
      <c r="AJ97" s="424">
        <v>483017.55</v>
      </c>
      <c r="AK97" s="424">
        <v>2757712.26</v>
      </c>
      <c r="AL97" s="424">
        <v>708691.28</v>
      </c>
      <c r="AM97" s="424">
        <v>2306870.73</v>
      </c>
      <c r="AN97" s="424">
        <v>269023.53000000003</v>
      </c>
      <c r="AO97" s="424">
        <v>930628.32</v>
      </c>
      <c r="AP97" s="424">
        <v>6724805.0899999999</v>
      </c>
      <c r="AQ97" s="424">
        <v>1567328.09</v>
      </c>
      <c r="AR97" s="424">
        <v>822729.09</v>
      </c>
      <c r="AS97" s="424">
        <v>120428.91</v>
      </c>
      <c r="AT97" s="424">
        <v>1112912.8999999999</v>
      </c>
      <c r="AU97" s="424">
        <v>645112.81000000006</v>
      </c>
      <c r="AV97" s="424">
        <v>2313067.6800000002</v>
      </c>
      <c r="AW97" s="424">
        <v>427455.3</v>
      </c>
      <c r="AX97" s="424">
        <v>3817202.36</v>
      </c>
      <c r="AY97" s="424">
        <v>563393.68999999994</v>
      </c>
      <c r="AZ97" s="424">
        <v>1175483.29</v>
      </c>
      <c r="BA97" s="424">
        <v>1608223.05</v>
      </c>
      <c r="BB97" s="424">
        <v>1542463.43</v>
      </c>
      <c r="BC97" s="424">
        <v>475652.88</v>
      </c>
      <c r="BD97" s="424">
        <v>1821323.15</v>
      </c>
      <c r="BE97" s="424">
        <v>29814064.059999999</v>
      </c>
      <c r="BF97" s="424">
        <v>2645001.1800000002</v>
      </c>
      <c r="BG97" s="424">
        <v>1177858.68</v>
      </c>
      <c r="BH97" s="424">
        <v>1365904</v>
      </c>
      <c r="BI97" s="424">
        <v>984252.31</v>
      </c>
      <c r="BJ97" s="424"/>
      <c r="BK97" s="352">
        <v>192710438.69</v>
      </c>
      <c r="BL97" s="352"/>
      <c r="BX97" s="431">
        <f>SUM(BL97:BW97)</f>
        <v>0</v>
      </c>
      <c r="BY97" s="431">
        <f t="shared" ref="BY97:BY103" si="39">BK97+BX97</f>
        <v>192710438.69</v>
      </c>
      <c r="BZ97" s="1">
        <f>ROUND(BY97/1000,0)+CA97</f>
        <v>192710</v>
      </c>
      <c r="CB97" s="20"/>
    </row>
    <row r="98" spans="1:87">
      <c r="A98" s="422">
        <v>2360</v>
      </c>
      <c r="B98" s="5" t="s">
        <v>470</v>
      </c>
      <c r="C98" s="5"/>
      <c r="D98" s="424">
        <v>3958197.91</v>
      </c>
      <c r="E98" s="424">
        <v>0</v>
      </c>
      <c r="F98" s="424">
        <v>0</v>
      </c>
      <c r="G98" s="424">
        <v>0</v>
      </c>
      <c r="H98" s="424">
        <v>0</v>
      </c>
      <c r="I98" s="424">
        <v>0</v>
      </c>
      <c r="J98" s="424">
        <v>0</v>
      </c>
      <c r="K98" s="424">
        <v>0</v>
      </c>
      <c r="L98" s="424">
        <v>5076173</v>
      </c>
      <c r="M98" s="424">
        <v>0</v>
      </c>
      <c r="N98" s="424">
        <v>0</v>
      </c>
      <c r="O98" s="424">
        <v>0</v>
      </c>
      <c r="P98" s="424">
        <v>0</v>
      </c>
      <c r="Q98" s="424">
        <v>0</v>
      </c>
      <c r="R98" s="424">
        <v>0</v>
      </c>
      <c r="S98" s="424">
        <v>602601.06999999995</v>
      </c>
      <c r="T98" s="424">
        <v>0</v>
      </c>
      <c r="U98" s="424">
        <v>0</v>
      </c>
      <c r="V98" s="424">
        <v>166277.32</v>
      </c>
      <c r="W98" s="424">
        <v>0</v>
      </c>
      <c r="X98" s="424">
        <v>0</v>
      </c>
      <c r="Y98" s="424">
        <v>2539520.64</v>
      </c>
      <c r="Z98" s="424">
        <v>0</v>
      </c>
      <c r="AA98" s="424">
        <v>0</v>
      </c>
      <c r="AB98" s="424">
        <v>0</v>
      </c>
      <c r="AC98" s="424">
        <v>168072</v>
      </c>
      <c r="AD98" s="424">
        <v>0</v>
      </c>
      <c r="AE98" s="424">
        <v>0</v>
      </c>
      <c r="AF98" s="424">
        <v>0</v>
      </c>
      <c r="AG98" s="424">
        <v>1075241.28</v>
      </c>
      <c r="AH98" s="424">
        <v>0</v>
      </c>
      <c r="AI98" s="424">
        <v>0</v>
      </c>
      <c r="AJ98" s="424">
        <v>0</v>
      </c>
      <c r="AK98" s="424">
        <v>0</v>
      </c>
      <c r="AL98" s="424">
        <v>0</v>
      </c>
      <c r="AM98" s="424">
        <v>8704.76</v>
      </c>
      <c r="AN98" s="424">
        <v>0</v>
      </c>
      <c r="AO98" s="424">
        <v>0</v>
      </c>
      <c r="AP98" s="424">
        <v>0</v>
      </c>
      <c r="AQ98" s="424">
        <v>0</v>
      </c>
      <c r="AR98" s="424">
        <v>1147547.17</v>
      </c>
      <c r="AS98" s="424">
        <v>0</v>
      </c>
      <c r="AT98" s="424">
        <v>90764.86</v>
      </c>
      <c r="AU98" s="424">
        <v>0</v>
      </c>
      <c r="AV98" s="424">
        <v>0</v>
      </c>
      <c r="AW98" s="424">
        <v>60538.6</v>
      </c>
      <c r="AX98" s="424">
        <v>0</v>
      </c>
      <c r="AY98" s="424">
        <v>0</v>
      </c>
      <c r="AZ98" s="424">
        <v>117228.86</v>
      </c>
      <c r="BA98" s="424">
        <v>42791.56</v>
      </c>
      <c r="BB98" s="424">
        <v>0</v>
      </c>
      <c r="BC98" s="424">
        <v>0</v>
      </c>
      <c r="BD98" s="424">
        <v>445161.76</v>
      </c>
      <c r="BE98" s="424">
        <v>935565.72</v>
      </c>
      <c r="BF98" s="424">
        <v>0</v>
      </c>
      <c r="BG98" s="424">
        <v>0</v>
      </c>
      <c r="BH98" s="424">
        <v>123238.63</v>
      </c>
      <c r="BI98" s="424">
        <v>0</v>
      </c>
      <c r="BJ98" s="424"/>
      <c r="BK98" s="352">
        <v>16557625.140000001</v>
      </c>
      <c r="BL98" s="352"/>
      <c r="BM98" s="352"/>
      <c r="BN98" s="352"/>
      <c r="BO98" s="352"/>
      <c r="BP98" s="352"/>
      <c r="BQ98" s="352"/>
      <c r="BR98" s="352"/>
      <c r="BS98" s="352"/>
      <c r="BT98" s="352"/>
      <c r="BU98" s="352"/>
      <c r="BV98" s="352"/>
      <c r="BW98" s="352"/>
      <c r="BX98" s="431">
        <f>SUM(BL98:BW98)</f>
        <v>0</v>
      </c>
      <c r="BY98" s="431">
        <f t="shared" si="39"/>
        <v>16557625.140000001</v>
      </c>
      <c r="BZ98" s="1">
        <f>ROUND(BY98/1000,0)+CA98</f>
        <v>16558</v>
      </c>
      <c r="CA98" s="1"/>
      <c r="CB98" s="20"/>
    </row>
    <row r="99" spans="1:87">
      <c r="A99" s="422">
        <v>2380</v>
      </c>
      <c r="B99" s="5" t="s">
        <v>264</v>
      </c>
      <c r="C99" s="5"/>
      <c r="D99" s="424">
        <v>0</v>
      </c>
      <c r="E99" s="424">
        <v>202261.34</v>
      </c>
      <c r="F99" s="424">
        <v>0</v>
      </c>
      <c r="G99" s="424">
        <v>0</v>
      </c>
      <c r="H99" s="424">
        <v>0</v>
      </c>
      <c r="I99" s="424">
        <v>309205</v>
      </c>
      <c r="J99" s="424">
        <v>1115563</v>
      </c>
      <c r="K99" s="424">
        <v>2428151.35</v>
      </c>
      <c r="L99" s="424">
        <v>1253108.04</v>
      </c>
      <c r="M99" s="424">
        <v>126305.19</v>
      </c>
      <c r="N99" s="424">
        <v>85000</v>
      </c>
      <c r="O99" s="424">
        <v>0</v>
      </c>
      <c r="P99" s="424">
        <v>0</v>
      </c>
      <c r="Q99" s="424">
        <v>0</v>
      </c>
      <c r="R99" s="424">
        <v>0</v>
      </c>
      <c r="S99" s="424">
        <v>156289.38</v>
      </c>
      <c r="T99" s="424">
        <v>0</v>
      </c>
      <c r="U99" s="424">
        <v>453808.09</v>
      </c>
      <c r="V99" s="424">
        <v>627673.62</v>
      </c>
      <c r="W99" s="424">
        <v>0</v>
      </c>
      <c r="X99" s="424">
        <v>0</v>
      </c>
      <c r="Y99" s="424">
        <v>838.26</v>
      </c>
      <c r="Z99" s="424">
        <v>3336292.36</v>
      </c>
      <c r="AA99" s="424">
        <v>0</v>
      </c>
      <c r="AB99" s="424">
        <v>0</v>
      </c>
      <c r="AC99" s="424">
        <v>381064.29</v>
      </c>
      <c r="AD99" s="424">
        <v>0</v>
      </c>
      <c r="AE99" s="424">
        <v>0</v>
      </c>
      <c r="AF99" s="424">
        <v>0</v>
      </c>
      <c r="AG99" s="424">
        <v>0</v>
      </c>
      <c r="AH99" s="424">
        <v>0</v>
      </c>
      <c r="AI99" s="424">
        <v>0</v>
      </c>
      <c r="AJ99" s="424">
        <v>0</v>
      </c>
      <c r="AK99" s="424">
        <v>0</v>
      </c>
      <c r="AL99" s="424">
        <v>3819.51</v>
      </c>
      <c r="AM99" s="424">
        <v>231610.35</v>
      </c>
      <c r="AN99" s="424">
        <v>0</v>
      </c>
      <c r="AO99" s="424">
        <v>0</v>
      </c>
      <c r="AP99" s="424">
        <v>0</v>
      </c>
      <c r="AQ99" s="424">
        <v>0</v>
      </c>
      <c r="AR99" s="424">
        <v>44645.18</v>
      </c>
      <c r="AS99" s="424">
        <v>54525.37</v>
      </c>
      <c r="AT99" s="424">
        <v>0</v>
      </c>
      <c r="AU99" s="424">
        <v>0</v>
      </c>
      <c r="AV99" s="424">
        <v>0</v>
      </c>
      <c r="AW99" s="424">
        <v>13897.37</v>
      </c>
      <c r="AX99" s="424">
        <v>0</v>
      </c>
      <c r="AY99" s="424">
        <v>0</v>
      </c>
      <c r="AZ99" s="424">
        <v>112428.16</v>
      </c>
      <c r="BA99" s="424">
        <v>429083.58</v>
      </c>
      <c r="BB99" s="424">
        <v>300000</v>
      </c>
      <c r="BC99" s="424">
        <v>39999.96</v>
      </c>
      <c r="BD99" s="424">
        <v>0</v>
      </c>
      <c r="BE99" s="424">
        <v>635398.09</v>
      </c>
      <c r="BF99" s="424">
        <v>0</v>
      </c>
      <c r="BG99" s="424">
        <v>0</v>
      </c>
      <c r="BH99" s="424">
        <v>0</v>
      </c>
      <c r="BI99" s="424">
        <v>0</v>
      </c>
      <c r="BJ99" s="424"/>
      <c r="BK99" s="352">
        <v>12340967.49</v>
      </c>
      <c r="BL99" s="352"/>
      <c r="BX99" s="431">
        <f t="shared" ref="BX99:BX103" si="40">SUM(BL99:BW99)</f>
        <v>0</v>
      </c>
      <c r="BY99" s="431">
        <f t="shared" si="39"/>
        <v>12340967.49</v>
      </c>
      <c r="BZ99" s="1">
        <f>ROUND(BY99/1000,0)+CA99</f>
        <v>12341</v>
      </c>
      <c r="CB99" s="20"/>
    </row>
    <row r="100" spans="1:87">
      <c r="A100" s="422">
        <v>2400</v>
      </c>
      <c r="B100" s="5" t="s">
        <v>266</v>
      </c>
      <c r="C100" s="5"/>
      <c r="D100" s="424">
        <v>0</v>
      </c>
      <c r="E100" s="424">
        <v>0</v>
      </c>
      <c r="F100" s="424">
        <v>0</v>
      </c>
      <c r="G100" s="424">
        <v>0</v>
      </c>
      <c r="H100" s="424">
        <v>0</v>
      </c>
      <c r="I100" s="424">
        <v>0</v>
      </c>
      <c r="J100" s="424">
        <v>0</v>
      </c>
      <c r="K100" s="424">
        <v>0</v>
      </c>
      <c r="L100" s="424">
        <v>0</v>
      </c>
      <c r="M100" s="424">
        <v>0</v>
      </c>
      <c r="N100" s="424">
        <v>0</v>
      </c>
      <c r="O100" s="424">
        <v>0</v>
      </c>
      <c r="P100" s="424">
        <v>0</v>
      </c>
      <c r="Q100" s="424">
        <v>0</v>
      </c>
      <c r="R100" s="424">
        <v>0</v>
      </c>
      <c r="S100" s="424">
        <v>0</v>
      </c>
      <c r="T100" s="424">
        <v>0</v>
      </c>
      <c r="U100" s="424">
        <v>0</v>
      </c>
      <c r="V100" s="424">
        <v>0</v>
      </c>
      <c r="W100" s="424">
        <v>0</v>
      </c>
      <c r="X100" s="424">
        <v>0</v>
      </c>
      <c r="Y100" s="424">
        <v>0</v>
      </c>
      <c r="Z100" s="424">
        <v>0</v>
      </c>
      <c r="AA100" s="424">
        <v>0</v>
      </c>
      <c r="AB100" s="424">
        <v>0</v>
      </c>
      <c r="AC100" s="424">
        <v>0</v>
      </c>
      <c r="AD100" s="424">
        <v>0</v>
      </c>
      <c r="AE100" s="424">
        <v>0</v>
      </c>
      <c r="AF100" s="424">
        <v>0</v>
      </c>
      <c r="AG100" s="424">
        <v>0</v>
      </c>
      <c r="AH100" s="424">
        <v>0</v>
      </c>
      <c r="AI100" s="424">
        <v>0</v>
      </c>
      <c r="AJ100" s="424">
        <v>0</v>
      </c>
      <c r="AK100" s="424">
        <v>0</v>
      </c>
      <c r="AL100" s="424">
        <v>0</v>
      </c>
      <c r="AM100" s="424">
        <v>70900</v>
      </c>
      <c r="AN100" s="424">
        <v>0</v>
      </c>
      <c r="AO100" s="424">
        <v>0</v>
      </c>
      <c r="AP100" s="424">
        <v>0</v>
      </c>
      <c r="AQ100" s="424">
        <v>0</v>
      </c>
      <c r="AR100" s="424">
        <v>0</v>
      </c>
      <c r="AS100" s="424">
        <v>0</v>
      </c>
      <c r="AT100" s="424">
        <v>0</v>
      </c>
      <c r="AU100" s="424">
        <v>0</v>
      </c>
      <c r="AV100" s="424">
        <v>0</v>
      </c>
      <c r="AW100" s="424">
        <v>0</v>
      </c>
      <c r="AX100" s="424">
        <v>0</v>
      </c>
      <c r="AY100" s="424">
        <v>0</v>
      </c>
      <c r="AZ100" s="424">
        <v>0</v>
      </c>
      <c r="BA100" s="424">
        <v>0</v>
      </c>
      <c r="BB100" s="424">
        <v>0</v>
      </c>
      <c r="BC100" s="424">
        <v>0</v>
      </c>
      <c r="BD100" s="424">
        <v>0</v>
      </c>
      <c r="BE100" s="424">
        <v>1372520.86</v>
      </c>
      <c r="BF100" s="424">
        <v>0</v>
      </c>
      <c r="BG100" s="424">
        <v>0</v>
      </c>
      <c r="BH100" s="424">
        <v>0</v>
      </c>
      <c r="BI100" s="424">
        <v>0</v>
      </c>
      <c r="BJ100" s="424"/>
      <c r="BK100" s="352">
        <v>1443420.86</v>
      </c>
      <c r="BL100" s="352"/>
      <c r="BX100" s="431">
        <f t="shared" si="40"/>
        <v>0</v>
      </c>
      <c r="BY100" s="431">
        <f t="shared" si="39"/>
        <v>1443420.86</v>
      </c>
      <c r="BZ100" s="1">
        <f>ROUND(BY100/1000,0)+CA100</f>
        <v>1443</v>
      </c>
      <c r="CB100" s="20"/>
    </row>
    <row r="101" spans="1:87">
      <c r="A101" s="422">
        <v>2310</v>
      </c>
      <c r="B101" s="5" t="s">
        <v>268</v>
      </c>
      <c r="C101" s="5"/>
      <c r="D101" s="424">
        <v>0</v>
      </c>
      <c r="E101" s="424">
        <v>350460.71</v>
      </c>
      <c r="F101" s="424">
        <v>1575071.92</v>
      </c>
      <c r="G101" s="424">
        <v>529961.53</v>
      </c>
      <c r="H101" s="424">
        <v>213998.24</v>
      </c>
      <c r="I101" s="424">
        <v>169777.19</v>
      </c>
      <c r="J101" s="424">
        <v>733599.01</v>
      </c>
      <c r="K101" s="424">
        <v>1813039.56</v>
      </c>
      <c r="L101" s="424">
        <v>8575397.8499999996</v>
      </c>
      <c r="M101" s="424">
        <v>129442.22</v>
      </c>
      <c r="N101" s="424">
        <v>2684569.77</v>
      </c>
      <c r="O101" s="424">
        <v>968300.56</v>
      </c>
      <c r="P101" s="424">
        <v>7136842.3099999996</v>
      </c>
      <c r="Q101" s="424">
        <v>185857.72</v>
      </c>
      <c r="R101" s="424">
        <v>1456923.32</v>
      </c>
      <c r="S101" s="424">
        <v>98066.71</v>
      </c>
      <c r="T101" s="424">
        <v>255375.81</v>
      </c>
      <c r="U101" s="424">
        <v>933421.05</v>
      </c>
      <c r="V101" s="424">
        <v>1103040.3899999999</v>
      </c>
      <c r="W101" s="424">
        <v>317680.57</v>
      </c>
      <c r="X101" s="424">
        <v>2107975.81</v>
      </c>
      <c r="Y101" s="424">
        <v>3490110.01</v>
      </c>
      <c r="Z101" s="424">
        <v>3240063.32</v>
      </c>
      <c r="AA101" s="424">
        <v>4478797.03</v>
      </c>
      <c r="AB101" s="424">
        <v>141590.57999999999</v>
      </c>
      <c r="AC101" s="424">
        <v>875397.91</v>
      </c>
      <c r="AD101" s="424">
        <v>1171101.52</v>
      </c>
      <c r="AE101" s="424">
        <v>170973.1</v>
      </c>
      <c r="AF101" s="424">
        <v>338948.5</v>
      </c>
      <c r="AG101" s="424">
        <v>293466.56</v>
      </c>
      <c r="AH101" s="424">
        <v>143505.54</v>
      </c>
      <c r="AI101" s="424">
        <v>32359.31</v>
      </c>
      <c r="AJ101" s="424">
        <v>618847.32999999996</v>
      </c>
      <c r="AK101" s="424">
        <v>657496.30000000005</v>
      </c>
      <c r="AL101" s="424">
        <v>21228.46</v>
      </c>
      <c r="AM101" s="424">
        <v>1504427.99</v>
      </c>
      <c r="AN101" s="424">
        <v>110996</v>
      </c>
      <c r="AO101" s="424">
        <v>348226.72</v>
      </c>
      <c r="AP101" s="424">
        <v>1921020.24</v>
      </c>
      <c r="AQ101" s="424">
        <v>783416.8</v>
      </c>
      <c r="AR101" s="424">
        <v>319102.40000000002</v>
      </c>
      <c r="AS101" s="424">
        <v>86912.56</v>
      </c>
      <c r="AT101" s="424">
        <v>214728.78</v>
      </c>
      <c r="AU101" s="424">
        <v>320768.8</v>
      </c>
      <c r="AV101" s="424">
        <v>454225.66</v>
      </c>
      <c r="AW101" s="424">
        <v>270770.98</v>
      </c>
      <c r="AX101" s="424">
        <v>393394.44</v>
      </c>
      <c r="AY101" s="424">
        <v>547771.28</v>
      </c>
      <c r="AZ101" s="424">
        <v>180739.79</v>
      </c>
      <c r="BA101" s="424">
        <v>774146.06</v>
      </c>
      <c r="BB101" s="424">
        <v>506767.87</v>
      </c>
      <c r="BC101" s="424">
        <v>3269.44</v>
      </c>
      <c r="BD101" s="424">
        <v>525492.36</v>
      </c>
      <c r="BE101" s="424">
        <v>1044054.38</v>
      </c>
      <c r="BF101" s="424">
        <v>525907.87</v>
      </c>
      <c r="BG101" s="424">
        <v>401221.62</v>
      </c>
      <c r="BH101" s="424">
        <v>1235964.76</v>
      </c>
      <c r="BI101" s="424">
        <v>493123.34</v>
      </c>
      <c r="BJ101" s="424"/>
      <c r="BK101" s="352">
        <v>59979137.859999999</v>
      </c>
      <c r="BL101" s="352"/>
      <c r="BX101" s="431">
        <f t="shared" si="40"/>
        <v>0</v>
      </c>
      <c r="BY101" s="431">
        <f t="shared" si="39"/>
        <v>59979137.859999999</v>
      </c>
      <c r="BZ101" s="1">
        <f>ROUND(BY101/1000,0)+CA101</f>
        <v>59979</v>
      </c>
      <c r="CB101" s="20"/>
    </row>
    <row r="102" spans="1:87">
      <c r="A102" s="422">
        <v>2311</v>
      </c>
      <c r="B102" s="5" t="s">
        <v>269</v>
      </c>
      <c r="C102" s="5"/>
      <c r="D102" s="424">
        <v>84471.84</v>
      </c>
      <c r="E102" s="424">
        <v>0</v>
      </c>
      <c r="F102" s="424">
        <v>228078.62</v>
      </c>
      <c r="G102" s="424">
        <v>0</v>
      </c>
      <c r="H102" s="424">
        <v>0</v>
      </c>
      <c r="I102" s="424">
        <v>0</v>
      </c>
      <c r="J102" s="424">
        <v>0</v>
      </c>
      <c r="K102" s="424">
        <v>0</v>
      </c>
      <c r="L102" s="424">
        <v>0</v>
      </c>
      <c r="M102" s="424">
        <v>0</v>
      </c>
      <c r="N102" s="424">
        <v>0</v>
      </c>
      <c r="O102" s="424">
        <v>0</v>
      </c>
      <c r="P102" s="424">
        <v>251271.72</v>
      </c>
      <c r="Q102" s="424">
        <v>0</v>
      </c>
      <c r="R102" s="424">
        <v>0</v>
      </c>
      <c r="S102" s="424">
        <v>0</v>
      </c>
      <c r="T102" s="424">
        <v>0</v>
      </c>
      <c r="U102" s="424">
        <v>0</v>
      </c>
      <c r="V102" s="424">
        <v>0</v>
      </c>
      <c r="W102" s="424">
        <v>0</v>
      </c>
      <c r="X102" s="424">
        <v>220653.43</v>
      </c>
      <c r="Y102" s="424">
        <v>0</v>
      </c>
      <c r="Z102" s="424">
        <v>0</v>
      </c>
      <c r="AA102" s="424">
        <v>18746.84</v>
      </c>
      <c r="AB102" s="424">
        <v>0</v>
      </c>
      <c r="AC102" s="424">
        <v>0</v>
      </c>
      <c r="AD102" s="424">
        <v>0</v>
      </c>
      <c r="AE102" s="424">
        <v>0</v>
      </c>
      <c r="AF102" s="424">
        <v>0</v>
      </c>
      <c r="AG102" s="424">
        <v>0</v>
      </c>
      <c r="AH102" s="424">
        <v>0</v>
      </c>
      <c r="AI102" s="424">
        <v>0</v>
      </c>
      <c r="AJ102" s="424">
        <v>0</v>
      </c>
      <c r="AK102" s="424">
        <v>0</v>
      </c>
      <c r="AL102" s="424">
        <v>0</v>
      </c>
      <c r="AM102" s="424">
        <v>0</v>
      </c>
      <c r="AN102" s="424">
        <v>0</v>
      </c>
      <c r="AO102" s="424">
        <v>0</v>
      </c>
      <c r="AP102" s="424">
        <v>0</v>
      </c>
      <c r="AQ102" s="424">
        <v>0</v>
      </c>
      <c r="AR102" s="424">
        <v>0</v>
      </c>
      <c r="AS102" s="424">
        <v>0</v>
      </c>
      <c r="AT102" s="424">
        <v>0</v>
      </c>
      <c r="AU102" s="424">
        <v>0</v>
      </c>
      <c r="AV102" s="424">
        <v>0</v>
      </c>
      <c r="AW102" s="424">
        <v>0</v>
      </c>
      <c r="AX102" s="424">
        <v>0</v>
      </c>
      <c r="AY102" s="424">
        <v>0</v>
      </c>
      <c r="AZ102" s="424">
        <v>0</v>
      </c>
      <c r="BA102" s="424">
        <v>0</v>
      </c>
      <c r="BB102" s="424">
        <v>0</v>
      </c>
      <c r="BC102" s="424">
        <v>0</v>
      </c>
      <c r="BD102" s="424">
        <v>0</v>
      </c>
      <c r="BE102" s="424">
        <v>0</v>
      </c>
      <c r="BF102" s="424">
        <v>0</v>
      </c>
      <c r="BG102" s="424">
        <v>0</v>
      </c>
      <c r="BH102" s="424">
        <v>0</v>
      </c>
      <c r="BI102" s="424">
        <v>0</v>
      </c>
      <c r="BJ102" s="424"/>
      <c r="BK102" s="352">
        <v>803222.45</v>
      </c>
      <c r="BL102" s="352"/>
      <c r="BX102" s="431">
        <f t="shared" si="40"/>
        <v>0</v>
      </c>
      <c r="BY102" s="431"/>
      <c r="BZ102" s="1"/>
      <c r="CB102" s="20"/>
    </row>
    <row r="103" spans="1:87">
      <c r="A103" s="422">
        <v>2450</v>
      </c>
      <c r="B103" s="5" t="s">
        <v>270</v>
      </c>
      <c r="C103" s="5"/>
      <c r="D103" s="424">
        <v>109936.5</v>
      </c>
      <c r="E103" s="424">
        <v>3359.85</v>
      </c>
      <c r="F103" s="424">
        <v>8067.43</v>
      </c>
      <c r="G103" s="424">
        <v>350.89</v>
      </c>
      <c r="H103" s="424">
        <v>43878.5</v>
      </c>
      <c r="I103" s="424">
        <v>308332.92</v>
      </c>
      <c r="J103" s="424">
        <v>126050.27</v>
      </c>
      <c r="K103" s="424">
        <v>764037.78</v>
      </c>
      <c r="L103" s="424">
        <v>644069.35</v>
      </c>
      <c r="M103" s="424">
        <v>128398.05</v>
      </c>
      <c r="N103" s="424">
        <v>74106.45</v>
      </c>
      <c r="O103" s="424">
        <v>0</v>
      </c>
      <c r="P103" s="424">
        <v>47455.82</v>
      </c>
      <c r="Q103" s="424">
        <v>3114.46</v>
      </c>
      <c r="R103" s="424">
        <v>119543.72</v>
      </c>
      <c r="S103" s="424">
        <v>4783.09</v>
      </c>
      <c r="T103" s="424">
        <v>452543.27</v>
      </c>
      <c r="U103" s="424">
        <v>208381.97</v>
      </c>
      <c r="V103" s="424">
        <v>1285398.83</v>
      </c>
      <c r="W103" s="424">
        <v>6213.12</v>
      </c>
      <c r="X103" s="424">
        <v>267921.31</v>
      </c>
      <c r="Y103" s="424">
        <v>205</v>
      </c>
      <c r="Z103" s="424">
        <v>226832</v>
      </c>
      <c r="AA103" s="424">
        <v>95765.31</v>
      </c>
      <c r="AB103" s="424">
        <v>95145.4</v>
      </c>
      <c r="AC103" s="424">
        <v>344535.57</v>
      </c>
      <c r="AD103" s="424">
        <v>6684</v>
      </c>
      <c r="AE103" s="424">
        <v>41279.42</v>
      </c>
      <c r="AF103" s="424">
        <v>151879.26999999999</v>
      </c>
      <c r="AG103" s="424">
        <v>51048.99</v>
      </c>
      <c r="AH103" s="424">
        <v>40098.28</v>
      </c>
      <c r="AI103" s="424">
        <v>6298.38</v>
      </c>
      <c r="AJ103" s="424">
        <v>45919.76</v>
      </c>
      <c r="AK103" s="424">
        <v>750</v>
      </c>
      <c r="AL103" s="424">
        <v>0</v>
      </c>
      <c r="AM103" s="424">
        <v>15495</v>
      </c>
      <c r="AN103" s="424">
        <v>-18329.060000000001</v>
      </c>
      <c r="AO103" s="424">
        <v>76070.62</v>
      </c>
      <c r="AP103" s="424">
        <v>194711.61</v>
      </c>
      <c r="AQ103" s="424">
        <v>204285.08</v>
      </c>
      <c r="AR103" s="424">
        <v>188000.94</v>
      </c>
      <c r="AS103" s="424">
        <v>2191.88</v>
      </c>
      <c r="AT103" s="424">
        <v>176563.86</v>
      </c>
      <c r="AU103" s="424">
        <v>30957.85</v>
      </c>
      <c r="AV103" s="424">
        <v>107715.09</v>
      </c>
      <c r="AW103" s="424">
        <v>3707.2</v>
      </c>
      <c r="AX103" s="424">
        <v>188737.38</v>
      </c>
      <c r="AY103" s="424">
        <v>97770.29</v>
      </c>
      <c r="AZ103" s="424">
        <v>84165.77</v>
      </c>
      <c r="BA103" s="424">
        <v>601592.97</v>
      </c>
      <c r="BB103" s="424">
        <v>220.84</v>
      </c>
      <c r="BC103" s="424">
        <v>99242.559999999998</v>
      </c>
      <c r="BD103" s="424">
        <v>116913.66</v>
      </c>
      <c r="BE103" s="424">
        <v>19225.71</v>
      </c>
      <c r="BF103" s="424">
        <v>9263.77</v>
      </c>
      <c r="BG103" s="424">
        <v>0</v>
      </c>
      <c r="BH103" s="424">
        <v>12967.57</v>
      </c>
      <c r="BI103" s="424">
        <v>70867.05</v>
      </c>
      <c r="BJ103" s="424"/>
      <c r="BK103" s="352">
        <v>7994722.5999999996</v>
      </c>
      <c r="BL103" s="352"/>
      <c r="BX103" s="431">
        <f t="shared" si="40"/>
        <v>0</v>
      </c>
      <c r="BY103" s="431">
        <f t="shared" si="39"/>
        <v>7994722.5999999996</v>
      </c>
      <c r="BZ103" s="1">
        <f>ROUND(BY103/1000,0)+CA103</f>
        <v>7995</v>
      </c>
      <c r="CB103" s="20"/>
    </row>
    <row r="104" spans="1:87">
      <c r="B104" s="5" t="s">
        <v>271</v>
      </c>
      <c r="C104" s="5"/>
      <c r="D104" s="428">
        <v>6375684</v>
      </c>
      <c r="E104" s="428">
        <v>2795094.22</v>
      </c>
      <c r="F104" s="428">
        <v>6058747.9299999997</v>
      </c>
      <c r="G104" s="428">
        <v>685730.37</v>
      </c>
      <c r="H104" s="428">
        <v>869890.17</v>
      </c>
      <c r="I104" s="428">
        <v>2612475.7999999998</v>
      </c>
      <c r="J104" s="428">
        <v>2824182.42</v>
      </c>
      <c r="K104" s="428">
        <v>7784169.3200000003</v>
      </c>
      <c r="L104" s="428">
        <v>25972785.390000001</v>
      </c>
      <c r="M104" s="428">
        <v>1296668.2</v>
      </c>
      <c r="N104" s="428">
        <v>7339884.1299999999</v>
      </c>
      <c r="O104" s="428">
        <v>4680687.03</v>
      </c>
      <c r="P104" s="428">
        <v>30021404.109999999</v>
      </c>
      <c r="Q104" s="428">
        <v>2676679.56</v>
      </c>
      <c r="R104" s="428">
        <v>5666682.75</v>
      </c>
      <c r="S104" s="428">
        <v>2525064.85</v>
      </c>
      <c r="T104" s="428">
        <v>2829263.28</v>
      </c>
      <c r="U104" s="428">
        <v>3971517.57</v>
      </c>
      <c r="V104" s="428">
        <v>12703421.779999999</v>
      </c>
      <c r="W104" s="428">
        <v>1084778.94</v>
      </c>
      <c r="X104" s="428">
        <v>15140376.52</v>
      </c>
      <c r="Y104" s="428">
        <v>14443674.6</v>
      </c>
      <c r="Z104" s="428">
        <v>14787008.470000001</v>
      </c>
      <c r="AA104" s="428">
        <v>11930448.630000001</v>
      </c>
      <c r="AB104" s="428">
        <v>759509.7</v>
      </c>
      <c r="AC104" s="428">
        <v>2530175.37</v>
      </c>
      <c r="AD104" s="428">
        <v>1881239</v>
      </c>
      <c r="AE104" s="428">
        <v>611621.43000000005</v>
      </c>
      <c r="AF104" s="428">
        <v>4357944.29</v>
      </c>
      <c r="AG104" s="428">
        <v>2734615.31</v>
      </c>
      <c r="AH104" s="428">
        <v>438387.6</v>
      </c>
      <c r="AI104" s="428">
        <v>385716.75</v>
      </c>
      <c r="AJ104" s="428">
        <v>1147784.6399999999</v>
      </c>
      <c r="AK104" s="428">
        <v>3415958.56</v>
      </c>
      <c r="AL104" s="428">
        <v>733739.25</v>
      </c>
      <c r="AM104" s="428">
        <v>4138008.83</v>
      </c>
      <c r="AN104" s="428">
        <v>361690.47</v>
      </c>
      <c r="AO104" s="428">
        <v>1354925.66</v>
      </c>
      <c r="AP104" s="428">
        <v>8840536.9399999995</v>
      </c>
      <c r="AQ104" s="428">
        <v>2555029.9700000002</v>
      </c>
      <c r="AR104" s="428">
        <v>2522024.7799999998</v>
      </c>
      <c r="AS104" s="428">
        <v>264058.71999999997</v>
      </c>
      <c r="AT104" s="428">
        <v>1594970.4</v>
      </c>
      <c r="AU104" s="428">
        <v>996839.46</v>
      </c>
      <c r="AV104" s="428">
        <v>2875008.43</v>
      </c>
      <c r="AW104" s="428">
        <v>776369.45</v>
      </c>
      <c r="AX104" s="428">
        <v>4399334.18</v>
      </c>
      <c r="AY104" s="428">
        <v>1208935.26</v>
      </c>
      <c r="AZ104" s="428">
        <v>1670045.87</v>
      </c>
      <c r="BA104" s="428">
        <v>3455837.22</v>
      </c>
      <c r="BB104" s="428">
        <v>2349452.14</v>
      </c>
      <c r="BC104" s="428">
        <v>618164.84</v>
      </c>
      <c r="BD104" s="428">
        <v>2908890.93</v>
      </c>
      <c r="BE104" s="428">
        <v>33820828.82</v>
      </c>
      <c r="BF104" s="428">
        <v>3180172.82</v>
      </c>
      <c r="BG104" s="428">
        <v>1579080.3</v>
      </c>
      <c r="BH104" s="428">
        <v>2738074.96</v>
      </c>
      <c r="BI104" s="428">
        <v>1548242.7</v>
      </c>
      <c r="BJ104" s="424"/>
      <c r="BK104" s="428">
        <v>291829535.08999997</v>
      </c>
      <c r="BL104" s="428"/>
      <c r="BM104" s="428">
        <f t="shared" ref="BM104:BZ104" si="41">SUM(BM97:BM103)</f>
        <v>0</v>
      </c>
      <c r="BN104" s="428">
        <f t="shared" si="41"/>
        <v>0</v>
      </c>
      <c r="BO104" s="428">
        <f t="shared" si="41"/>
        <v>0</v>
      </c>
      <c r="BP104" s="428">
        <f t="shared" si="41"/>
        <v>0</v>
      </c>
      <c r="BQ104" s="428">
        <f t="shared" si="41"/>
        <v>0</v>
      </c>
      <c r="BR104" s="428">
        <f t="shared" si="41"/>
        <v>0</v>
      </c>
      <c r="BS104" s="428">
        <f t="shared" si="41"/>
        <v>0</v>
      </c>
      <c r="BT104" s="428">
        <f t="shared" si="41"/>
        <v>0</v>
      </c>
      <c r="BU104" s="428">
        <f t="shared" si="41"/>
        <v>0</v>
      </c>
      <c r="BV104" s="428">
        <f t="shared" si="41"/>
        <v>0</v>
      </c>
      <c r="BW104" s="428">
        <f t="shared" si="41"/>
        <v>0</v>
      </c>
      <c r="BX104" s="428">
        <f t="shared" si="41"/>
        <v>0</v>
      </c>
      <c r="BY104" s="428">
        <f t="shared" si="41"/>
        <v>291026312.63999999</v>
      </c>
      <c r="BZ104" s="485">
        <f t="shared" si="41"/>
        <v>291026</v>
      </c>
      <c r="CB104" s="20"/>
    </row>
    <row r="105" spans="1:87">
      <c r="B105" s="7" t="s">
        <v>272</v>
      </c>
      <c r="C105" s="5"/>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352"/>
      <c r="BL105" s="352"/>
      <c r="BX105" s="431"/>
      <c r="BY105" s="431"/>
      <c r="CB105" s="20"/>
    </row>
    <row r="106" spans="1:87">
      <c r="B106" s="7" t="s">
        <v>273</v>
      </c>
      <c r="C106" s="5"/>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352"/>
      <c r="BL106" s="352"/>
      <c r="BX106" s="431"/>
      <c r="BY106" s="431"/>
      <c r="CB106" s="20"/>
    </row>
    <row r="107" spans="1:87">
      <c r="A107" s="422">
        <v>2490</v>
      </c>
      <c r="B107" s="5" t="s">
        <v>274</v>
      </c>
      <c r="C107" s="5"/>
      <c r="D107" s="424">
        <v>23895211.690000001</v>
      </c>
      <c r="E107" s="424">
        <v>16667918.58</v>
      </c>
      <c r="F107" s="424">
        <v>37687931.270000003</v>
      </c>
      <c r="G107" s="424">
        <v>11568595.210000001</v>
      </c>
      <c r="H107" s="424">
        <v>8342841.4100000001</v>
      </c>
      <c r="I107" s="424">
        <v>17682003.829999998</v>
      </c>
      <c r="J107" s="424">
        <v>12977287.25</v>
      </c>
      <c r="K107" s="424">
        <v>23915768.170000002</v>
      </c>
      <c r="L107" s="424">
        <v>48394894.439999998</v>
      </c>
      <c r="M107" s="424">
        <v>13107773.630000001</v>
      </c>
      <c r="N107" s="424">
        <v>32605692.710000001</v>
      </c>
      <c r="O107" s="424">
        <v>35082714.840000004</v>
      </c>
      <c r="P107" s="424">
        <v>97027938.590000004</v>
      </c>
      <c r="Q107" s="424">
        <v>14947248.09</v>
      </c>
      <c r="R107" s="424">
        <v>24676296.199999999</v>
      </c>
      <c r="S107" s="424">
        <v>15864610.380000001</v>
      </c>
      <c r="T107" s="424">
        <v>19466354.800000001</v>
      </c>
      <c r="U107" s="424">
        <v>22701342.93</v>
      </c>
      <c r="V107" s="424">
        <v>33399106.960000001</v>
      </c>
      <c r="W107" s="424">
        <v>10674382.529999999</v>
      </c>
      <c r="X107" s="424">
        <v>71400702.260000005</v>
      </c>
      <c r="Y107" s="424">
        <v>45815542.649999999</v>
      </c>
      <c r="Z107" s="424">
        <v>33063378.329999998</v>
      </c>
      <c r="AA107" s="424">
        <v>54206566.710000001</v>
      </c>
      <c r="AB107" s="424">
        <v>8755596.1699999999</v>
      </c>
      <c r="AC107" s="424">
        <v>10897973.59</v>
      </c>
      <c r="AD107" s="424">
        <v>14155225.550000001</v>
      </c>
      <c r="AE107" s="424">
        <v>9982769.3800000008</v>
      </c>
      <c r="AF107" s="424">
        <v>25487247.18</v>
      </c>
      <c r="AG107" s="424">
        <v>20042638.489999998</v>
      </c>
      <c r="AH107" s="424">
        <v>7172384.3200000003</v>
      </c>
      <c r="AI107" s="424">
        <v>7509326.3300000001</v>
      </c>
      <c r="AJ107" s="424">
        <v>8436522.3000000007</v>
      </c>
      <c r="AK107" s="424">
        <v>16799750.41</v>
      </c>
      <c r="AL107" s="424">
        <v>6780434.5599999996</v>
      </c>
      <c r="AM107" s="424">
        <v>16890138.579999998</v>
      </c>
      <c r="AN107" s="424">
        <v>5913552.0199999996</v>
      </c>
      <c r="AO107" s="424">
        <v>10267070.6</v>
      </c>
      <c r="AP107" s="424">
        <v>41758130.090000004</v>
      </c>
      <c r="AQ107" s="424">
        <v>17065476.27</v>
      </c>
      <c r="AR107" s="424">
        <v>17089400.879999999</v>
      </c>
      <c r="AS107" s="424">
        <v>4561040</v>
      </c>
      <c r="AT107" s="424">
        <v>15592428.18</v>
      </c>
      <c r="AU107" s="424">
        <v>11690694.630000001</v>
      </c>
      <c r="AV107" s="424">
        <v>36777513.770000003</v>
      </c>
      <c r="AW107" s="424">
        <v>10852398.58</v>
      </c>
      <c r="AX107" s="424">
        <v>25934999.300000001</v>
      </c>
      <c r="AY107" s="424">
        <v>11387880.51</v>
      </c>
      <c r="AZ107" s="424">
        <v>14925942.91</v>
      </c>
      <c r="BA107" s="424">
        <v>15515845.449999999</v>
      </c>
      <c r="BB107" s="424">
        <v>17511577.199999999</v>
      </c>
      <c r="BC107" s="424">
        <v>8096375.3200000003</v>
      </c>
      <c r="BD107" s="424">
        <v>15048950.039999999</v>
      </c>
      <c r="BE107" s="424">
        <v>135180757.19999999</v>
      </c>
      <c r="BF107" s="424">
        <v>22026360.91</v>
      </c>
      <c r="BG107" s="424">
        <v>12297948.210000001</v>
      </c>
      <c r="BH107" s="424">
        <v>21532187.050000001</v>
      </c>
      <c r="BI107" s="424">
        <v>10844479.189999999</v>
      </c>
      <c r="BJ107" s="424"/>
      <c r="BK107" s="352">
        <v>1359953118.6300001</v>
      </c>
      <c r="BL107" s="352"/>
      <c r="BX107" s="431">
        <f t="shared" ref="BX107:BX112" si="42">SUM(BL107:BW107)</f>
        <v>0</v>
      </c>
      <c r="BY107" s="431">
        <f t="shared" ref="BY107:BY140" si="43">BK107+BX107</f>
        <v>1359953118.6300001</v>
      </c>
      <c r="BZ107" s="1">
        <f t="shared" ref="BZ107:BZ114" si="44">ROUND(BY107/1000,0)+CA107</f>
        <v>1359953</v>
      </c>
      <c r="CB107" s="20"/>
    </row>
    <row r="108" spans="1:87">
      <c r="A108" s="422">
        <v>2510</v>
      </c>
      <c r="B108" s="5" t="s">
        <v>275</v>
      </c>
      <c r="C108" s="5"/>
      <c r="D108" s="424">
        <v>6142720.9500000002</v>
      </c>
      <c r="E108" s="424">
        <v>2960603.32</v>
      </c>
      <c r="F108" s="424">
        <v>6177349.5999999996</v>
      </c>
      <c r="G108" s="424">
        <v>392303.76</v>
      </c>
      <c r="H108" s="424">
        <v>1911531.19</v>
      </c>
      <c r="I108" s="424">
        <v>2740764.59</v>
      </c>
      <c r="J108" s="424">
        <v>1950229.11</v>
      </c>
      <c r="K108" s="424">
        <v>3751023.48</v>
      </c>
      <c r="L108" s="424">
        <v>14359362.630000001</v>
      </c>
      <c r="M108" s="424">
        <v>2016682.14</v>
      </c>
      <c r="N108" s="424">
        <v>6763132.6200000001</v>
      </c>
      <c r="O108" s="424">
        <v>4553475.55</v>
      </c>
      <c r="P108" s="424">
        <v>17098865.379999999</v>
      </c>
      <c r="Q108" s="424">
        <v>2734948.84</v>
      </c>
      <c r="R108" s="424">
        <v>4076457.8</v>
      </c>
      <c r="S108" s="424">
        <v>3120357.25</v>
      </c>
      <c r="T108" s="424">
        <v>2259120.06</v>
      </c>
      <c r="U108" s="424">
        <v>3810017.04</v>
      </c>
      <c r="V108" s="424">
        <v>4964069.95</v>
      </c>
      <c r="W108" s="424">
        <v>1954637.62</v>
      </c>
      <c r="X108" s="424">
        <v>16805185.359999999</v>
      </c>
      <c r="Y108" s="424">
        <v>8357549.0700000003</v>
      </c>
      <c r="Z108" s="424">
        <v>5545982.8300000001</v>
      </c>
      <c r="AA108" s="424">
        <v>15413185.609999999</v>
      </c>
      <c r="AB108" s="424">
        <v>1009818.02</v>
      </c>
      <c r="AC108" s="424">
        <v>1377632.25</v>
      </c>
      <c r="AD108" s="424">
        <v>2054992.49</v>
      </c>
      <c r="AE108" s="424">
        <v>1793891.33</v>
      </c>
      <c r="AF108" s="424">
        <v>2090533.92</v>
      </c>
      <c r="AG108" s="424">
        <v>6082273.6399999997</v>
      </c>
      <c r="AH108" s="424">
        <v>822996.79</v>
      </c>
      <c r="AI108" s="424">
        <v>1000721.88</v>
      </c>
      <c r="AJ108" s="424">
        <v>1660692.69</v>
      </c>
      <c r="AK108" s="424">
        <v>4876881.3</v>
      </c>
      <c r="AL108" s="424">
        <v>1073850.94</v>
      </c>
      <c r="AM108" s="424">
        <v>3819453.76</v>
      </c>
      <c r="AN108" s="424">
        <v>755890.07</v>
      </c>
      <c r="AO108" s="424">
        <v>1810080.95</v>
      </c>
      <c r="AP108" s="424">
        <v>7472087.2300000004</v>
      </c>
      <c r="AQ108" s="424">
        <v>3224799.2</v>
      </c>
      <c r="AR108" s="424">
        <v>4752428.0199999996</v>
      </c>
      <c r="AS108" s="424">
        <v>653323.97</v>
      </c>
      <c r="AT108" s="424">
        <v>1976406.61</v>
      </c>
      <c r="AU108" s="424">
        <v>3469010.19</v>
      </c>
      <c r="AV108" s="424">
        <v>4177259.54</v>
      </c>
      <c r="AW108" s="424">
        <v>2297187.04</v>
      </c>
      <c r="AX108" s="424">
        <v>2447202.1</v>
      </c>
      <c r="AY108" s="424">
        <v>2640523.2200000002</v>
      </c>
      <c r="AZ108" s="424">
        <v>2457782.3199999998</v>
      </c>
      <c r="BA108" s="424">
        <v>1221546.02</v>
      </c>
      <c r="BB108" s="424">
        <v>3156571.95</v>
      </c>
      <c r="BC108" s="424">
        <v>1540025.84</v>
      </c>
      <c r="BD108" s="424">
        <v>2325814.42</v>
      </c>
      <c r="BE108" s="424">
        <v>15086086.880000001</v>
      </c>
      <c r="BF108" s="424">
        <v>4782725.5999999996</v>
      </c>
      <c r="BG108" s="424">
        <v>2001964.85</v>
      </c>
      <c r="BH108" s="424">
        <v>3363500.57</v>
      </c>
      <c r="BI108" s="424">
        <v>2084445.43</v>
      </c>
      <c r="BJ108" s="424"/>
      <c r="BK108" s="352">
        <v>241219956.78</v>
      </c>
      <c r="BL108" s="352"/>
      <c r="BX108" s="431">
        <f t="shared" si="42"/>
        <v>0</v>
      </c>
      <c r="BY108" s="431">
        <f t="shared" si="43"/>
        <v>241219956.78</v>
      </c>
      <c r="BZ108" s="1">
        <f t="shared" si="44"/>
        <v>241220</v>
      </c>
      <c r="CB108" s="20"/>
    </row>
    <row r="109" spans="1:87">
      <c r="A109" s="422">
        <v>2520</v>
      </c>
      <c r="B109" s="5" t="s">
        <v>276</v>
      </c>
      <c r="C109" s="5"/>
      <c r="D109" s="424">
        <v>4761622.33</v>
      </c>
      <c r="E109" s="424">
        <v>4452883.74</v>
      </c>
      <c r="F109" s="424">
        <v>7596430.3200000003</v>
      </c>
      <c r="G109" s="424">
        <v>1485164.92</v>
      </c>
      <c r="H109" s="424">
        <v>1986175.03</v>
      </c>
      <c r="I109" s="424">
        <v>3291972.72</v>
      </c>
      <c r="J109" s="424">
        <v>3278850.05</v>
      </c>
      <c r="K109" s="424">
        <v>7471555.3200000003</v>
      </c>
      <c r="L109" s="424">
        <v>15685920.6</v>
      </c>
      <c r="M109" s="424">
        <v>2619697.65</v>
      </c>
      <c r="N109" s="424">
        <v>5907412.75</v>
      </c>
      <c r="O109" s="424">
        <v>5188691.82</v>
      </c>
      <c r="P109" s="424">
        <v>30990779.140000001</v>
      </c>
      <c r="Q109" s="424">
        <v>4062685.07</v>
      </c>
      <c r="R109" s="424">
        <v>5171474.76</v>
      </c>
      <c r="S109" s="424">
        <v>3705809.35</v>
      </c>
      <c r="T109" s="424">
        <v>4885825.08</v>
      </c>
      <c r="U109" s="424">
        <v>5986028.54</v>
      </c>
      <c r="V109" s="424">
        <v>5101803.8099999996</v>
      </c>
      <c r="W109" s="424">
        <v>2487309.5299999998</v>
      </c>
      <c r="X109" s="424">
        <v>14620457.380000001</v>
      </c>
      <c r="Y109" s="424">
        <v>10588621.59</v>
      </c>
      <c r="Z109" s="424">
        <v>9481022.4600000009</v>
      </c>
      <c r="AA109" s="424">
        <v>13778250.33</v>
      </c>
      <c r="AB109" s="424">
        <v>1526329.39</v>
      </c>
      <c r="AC109" s="424">
        <v>3056391.45</v>
      </c>
      <c r="AD109" s="424">
        <v>2604706.27</v>
      </c>
      <c r="AE109" s="424">
        <v>1943404.69</v>
      </c>
      <c r="AF109" s="424">
        <v>3622999.41</v>
      </c>
      <c r="AG109" s="424">
        <v>4743858.5199999996</v>
      </c>
      <c r="AH109" s="424">
        <v>1066029.8799999999</v>
      </c>
      <c r="AI109" s="424">
        <v>1896028.13</v>
      </c>
      <c r="AJ109" s="424">
        <v>2143674.2799999998</v>
      </c>
      <c r="AK109" s="424">
        <v>3859375.53</v>
      </c>
      <c r="AL109" s="424">
        <v>1151272.98</v>
      </c>
      <c r="AM109" s="424">
        <v>2356346.4</v>
      </c>
      <c r="AN109" s="424">
        <v>986233.61</v>
      </c>
      <c r="AO109" s="424">
        <v>2268267.7599999998</v>
      </c>
      <c r="AP109" s="424">
        <v>6244904.21</v>
      </c>
      <c r="AQ109" s="424">
        <v>3284815.99</v>
      </c>
      <c r="AR109" s="424">
        <v>1962947.82</v>
      </c>
      <c r="AS109" s="424">
        <v>1343715.19</v>
      </c>
      <c r="AT109" s="424">
        <v>4172413.66</v>
      </c>
      <c r="AU109" s="424">
        <v>1511021.71</v>
      </c>
      <c r="AV109" s="424">
        <v>7973946.0800000001</v>
      </c>
      <c r="AW109" s="424">
        <v>1766588.69</v>
      </c>
      <c r="AX109" s="424">
        <v>4780171.3899999997</v>
      </c>
      <c r="AY109" s="424">
        <v>2700971.59</v>
      </c>
      <c r="AZ109" s="424">
        <v>2313256.77</v>
      </c>
      <c r="BA109" s="424">
        <v>3719026.08</v>
      </c>
      <c r="BB109" s="424">
        <v>2862200.86</v>
      </c>
      <c r="BC109" s="424">
        <v>1196964.27</v>
      </c>
      <c r="BD109" s="424">
        <v>4316925.26</v>
      </c>
      <c r="BE109" s="424">
        <v>22157371.440000001</v>
      </c>
      <c r="BF109" s="424">
        <v>3653870.83</v>
      </c>
      <c r="BG109" s="424">
        <v>2429746.8199999998</v>
      </c>
      <c r="BH109" s="424">
        <v>3825402.39</v>
      </c>
      <c r="BI109" s="424">
        <v>2767653.63</v>
      </c>
      <c r="BJ109" s="424"/>
      <c r="BK109" s="352">
        <v>292795277.26999998</v>
      </c>
      <c r="BL109" s="352"/>
      <c r="BX109" s="431">
        <f t="shared" si="42"/>
        <v>0</v>
      </c>
      <c r="BY109" s="431">
        <f t="shared" si="43"/>
        <v>292795277.26999998</v>
      </c>
      <c r="BZ109" s="1">
        <f t="shared" si="44"/>
        <v>292795</v>
      </c>
      <c r="CB109" s="20"/>
    </row>
    <row r="110" spans="1:87">
      <c r="A110" s="422">
        <v>2590</v>
      </c>
      <c r="B110" s="5" t="s">
        <v>277</v>
      </c>
      <c r="C110" s="5"/>
      <c r="D110" s="424">
        <v>8121352.9000000004</v>
      </c>
      <c r="E110" s="424">
        <v>2494466.69</v>
      </c>
      <c r="F110" s="424">
        <v>9520928.7699999996</v>
      </c>
      <c r="G110" s="424">
        <v>3210805.59</v>
      </c>
      <c r="H110" s="424">
        <v>3418347.52</v>
      </c>
      <c r="I110" s="424">
        <v>4285930.93</v>
      </c>
      <c r="J110" s="424">
        <v>2615154.02</v>
      </c>
      <c r="K110" s="424">
        <v>8130017.6100000003</v>
      </c>
      <c r="L110" s="424">
        <v>16778106.530000001</v>
      </c>
      <c r="M110" s="424">
        <v>3786236.53</v>
      </c>
      <c r="N110" s="424">
        <v>4154542.13</v>
      </c>
      <c r="O110" s="424">
        <v>9593084.6799999997</v>
      </c>
      <c r="P110" s="424">
        <v>35557555.82</v>
      </c>
      <c r="Q110" s="424">
        <v>6155665.4000000004</v>
      </c>
      <c r="R110" s="424">
        <v>8338567.3200000003</v>
      </c>
      <c r="S110" s="424">
        <v>1949125.9</v>
      </c>
      <c r="T110" s="424">
        <v>6812609.5499999998</v>
      </c>
      <c r="U110" s="424">
        <v>9856118.6699999999</v>
      </c>
      <c r="V110" s="424">
        <v>11038847.630000001</v>
      </c>
      <c r="W110" s="424">
        <v>5257900.04</v>
      </c>
      <c r="X110" s="424">
        <v>24737812.27</v>
      </c>
      <c r="Y110" s="424">
        <v>19901949.870000001</v>
      </c>
      <c r="Z110" s="424">
        <v>8894926.6199999992</v>
      </c>
      <c r="AA110" s="424">
        <v>33949957.090000004</v>
      </c>
      <c r="AB110" s="424">
        <v>2268447.9900000002</v>
      </c>
      <c r="AC110" s="424">
        <v>3100513.36</v>
      </c>
      <c r="AD110" s="424">
        <v>3938669.59</v>
      </c>
      <c r="AE110" s="424">
        <v>3535409.61</v>
      </c>
      <c r="AF110" s="424">
        <v>7306340.0899999999</v>
      </c>
      <c r="AG110" s="424">
        <v>4635147.2</v>
      </c>
      <c r="AH110" s="424">
        <v>1050286.4099999999</v>
      </c>
      <c r="AI110" s="424">
        <v>1959478.94</v>
      </c>
      <c r="AJ110" s="424">
        <v>2069788.92</v>
      </c>
      <c r="AK110" s="424">
        <v>5050766.8099999996</v>
      </c>
      <c r="AL110" s="424">
        <v>1894221.86</v>
      </c>
      <c r="AM110" s="424">
        <v>4266870.99</v>
      </c>
      <c r="AN110" s="424">
        <v>782836.91</v>
      </c>
      <c r="AO110" s="424">
        <v>2566268.14</v>
      </c>
      <c r="AP110" s="424">
        <v>18676229.859999999</v>
      </c>
      <c r="AQ110" s="424">
        <v>5457839.29</v>
      </c>
      <c r="AR110" s="424">
        <v>6842105.3899999997</v>
      </c>
      <c r="AS110" s="424">
        <v>1731199.3</v>
      </c>
      <c r="AT110" s="424">
        <v>5692459.6399999997</v>
      </c>
      <c r="AU110" s="424">
        <v>3213301.28</v>
      </c>
      <c r="AV110" s="424">
        <v>8539080.3599999994</v>
      </c>
      <c r="AW110" s="424">
        <v>3572618.89</v>
      </c>
      <c r="AX110" s="424">
        <v>10860303.039999999</v>
      </c>
      <c r="AY110" s="424">
        <v>3644118.67</v>
      </c>
      <c r="AZ110" s="424">
        <v>4405702.1100000003</v>
      </c>
      <c r="BA110" s="424">
        <v>4439070.63</v>
      </c>
      <c r="BB110" s="424">
        <v>4573894.2</v>
      </c>
      <c r="BC110" s="424">
        <v>2239114.17</v>
      </c>
      <c r="BD110" s="424">
        <v>5677298.4400000004</v>
      </c>
      <c r="BE110" s="424">
        <v>40090523.810000002</v>
      </c>
      <c r="BF110" s="424">
        <v>5478174.4000000004</v>
      </c>
      <c r="BG110" s="424">
        <v>3963185.64</v>
      </c>
      <c r="BH110" s="424">
        <v>5580579.4000000004</v>
      </c>
      <c r="BI110" s="424">
        <v>2889346.76</v>
      </c>
      <c r="BJ110" s="424"/>
      <c r="BK110" s="352">
        <v>440551202.18000001</v>
      </c>
      <c r="BL110" s="352"/>
      <c r="BX110" s="431">
        <f t="shared" si="42"/>
        <v>0</v>
      </c>
      <c r="BY110" s="431">
        <f t="shared" si="43"/>
        <v>440551202.18000001</v>
      </c>
      <c r="BZ110" s="1">
        <f t="shared" si="44"/>
        <v>440551</v>
      </c>
      <c r="CB110" s="20"/>
    </row>
    <row r="111" spans="1:87">
      <c r="A111" s="422">
        <v>2522</v>
      </c>
      <c r="B111" s="5" t="s">
        <v>278</v>
      </c>
      <c r="C111" s="5"/>
      <c r="D111" s="424">
        <v>941572.46</v>
      </c>
      <c r="E111" s="424">
        <v>716974.03</v>
      </c>
      <c r="F111" s="424">
        <v>1386350.88</v>
      </c>
      <c r="G111" s="424">
        <v>470369.58</v>
      </c>
      <c r="H111" s="424">
        <v>241486.35</v>
      </c>
      <c r="I111" s="424">
        <v>624832.28</v>
      </c>
      <c r="J111" s="424">
        <v>744398.79</v>
      </c>
      <c r="K111" s="424">
        <v>811309.86</v>
      </c>
      <c r="L111" s="424">
        <v>2919674.87</v>
      </c>
      <c r="M111" s="424">
        <v>545356.91</v>
      </c>
      <c r="N111" s="424">
        <v>917474.08</v>
      </c>
      <c r="O111" s="424">
        <v>1152946.02</v>
      </c>
      <c r="P111" s="424">
        <v>4327693.3600000003</v>
      </c>
      <c r="Q111" s="424">
        <v>394638.97</v>
      </c>
      <c r="R111" s="424">
        <v>759685.67</v>
      </c>
      <c r="S111" s="424">
        <v>706542.77</v>
      </c>
      <c r="T111" s="424">
        <v>919817.16</v>
      </c>
      <c r="U111" s="424">
        <v>784355.13</v>
      </c>
      <c r="V111" s="424">
        <v>891495.2</v>
      </c>
      <c r="W111" s="424">
        <v>554198.1</v>
      </c>
      <c r="X111" s="424">
        <v>2399405.7799999998</v>
      </c>
      <c r="Y111" s="424">
        <v>1748679.97</v>
      </c>
      <c r="Z111" s="424">
        <v>1253738.21</v>
      </c>
      <c r="AA111" s="424">
        <v>2626151.4500000002</v>
      </c>
      <c r="AB111" s="424">
        <v>428533.94</v>
      </c>
      <c r="AC111" s="424">
        <v>418778.87</v>
      </c>
      <c r="AD111" s="424">
        <v>644769.51</v>
      </c>
      <c r="AE111" s="424">
        <v>295002.45</v>
      </c>
      <c r="AF111" s="424">
        <v>816842.02</v>
      </c>
      <c r="AG111" s="424">
        <v>740489.22</v>
      </c>
      <c r="AH111" s="424">
        <v>246057.81</v>
      </c>
      <c r="AI111" s="424">
        <v>321031.49</v>
      </c>
      <c r="AJ111" s="424">
        <v>272303.67</v>
      </c>
      <c r="AK111" s="424">
        <v>589903.21</v>
      </c>
      <c r="AL111" s="424">
        <v>277292.49</v>
      </c>
      <c r="AM111" s="424">
        <v>653536.06999999995</v>
      </c>
      <c r="AN111" s="424">
        <v>110475.23</v>
      </c>
      <c r="AO111" s="424">
        <v>356827.72</v>
      </c>
      <c r="AP111" s="424">
        <v>1236655.55</v>
      </c>
      <c r="AQ111" s="424">
        <v>421618.97</v>
      </c>
      <c r="AR111" s="424">
        <v>549923.79</v>
      </c>
      <c r="AS111" s="424">
        <v>261389.08</v>
      </c>
      <c r="AT111" s="424">
        <v>508529.39</v>
      </c>
      <c r="AU111" s="424">
        <v>559390.13</v>
      </c>
      <c r="AV111" s="424">
        <v>1038762.92</v>
      </c>
      <c r="AW111" s="424">
        <v>410311.32</v>
      </c>
      <c r="AX111" s="424">
        <v>1061542.21</v>
      </c>
      <c r="AY111" s="424">
        <v>407373.93</v>
      </c>
      <c r="AZ111" s="424">
        <v>578599.06999999995</v>
      </c>
      <c r="BA111" s="424">
        <v>304272.5</v>
      </c>
      <c r="BB111" s="424">
        <v>438263.83</v>
      </c>
      <c r="BC111" s="424">
        <v>312121.52</v>
      </c>
      <c r="BD111" s="424">
        <v>550532.54</v>
      </c>
      <c r="BE111" s="424">
        <v>3612119.89</v>
      </c>
      <c r="BF111" s="424">
        <v>714612.85</v>
      </c>
      <c r="BG111" s="424">
        <v>533277.30000000005</v>
      </c>
      <c r="BH111" s="424">
        <v>898696.5</v>
      </c>
      <c r="BI111" s="424">
        <v>383309.84</v>
      </c>
      <c r="BJ111" s="424"/>
      <c r="BK111" s="352">
        <v>49792294.710000001</v>
      </c>
      <c r="BL111" s="352"/>
      <c r="BM111" s="352"/>
      <c r="BN111" s="352"/>
      <c r="BO111" s="352"/>
      <c r="BQ111" s="352"/>
      <c r="BR111" s="352"/>
      <c r="BS111" s="352"/>
      <c r="BT111" s="352"/>
      <c r="BU111" s="352"/>
      <c r="BV111" s="352"/>
      <c r="BW111" s="352"/>
      <c r="BX111" s="431">
        <f t="shared" si="42"/>
        <v>0</v>
      </c>
      <c r="BY111" s="431">
        <f t="shared" si="43"/>
        <v>49792294.710000001</v>
      </c>
      <c r="BZ111" s="1">
        <f t="shared" si="44"/>
        <v>49792</v>
      </c>
      <c r="CB111" s="20"/>
    </row>
    <row r="112" spans="1:87">
      <c r="A112" s="422">
        <v>2560</v>
      </c>
      <c r="B112" s="5" t="s">
        <v>279</v>
      </c>
      <c r="C112" s="5"/>
      <c r="D112" s="424">
        <v>1653561.86</v>
      </c>
      <c r="E112" s="424">
        <v>2144763.21</v>
      </c>
      <c r="F112" s="424">
        <v>4086377.09</v>
      </c>
      <c r="G112" s="424">
        <v>936345.99</v>
      </c>
      <c r="H112" s="424">
        <v>513026.12</v>
      </c>
      <c r="I112" s="424">
        <v>1903484.49</v>
      </c>
      <c r="J112" s="424">
        <v>1581213.62</v>
      </c>
      <c r="K112" s="424">
        <v>1990279.11</v>
      </c>
      <c r="L112" s="424">
        <v>5823141.9900000002</v>
      </c>
      <c r="M112" s="424">
        <v>808463.18</v>
      </c>
      <c r="N112" s="424">
        <v>2105365.54</v>
      </c>
      <c r="O112" s="424">
        <v>2781884.08</v>
      </c>
      <c r="P112" s="424">
        <v>17647177.77</v>
      </c>
      <c r="Q112" s="424">
        <v>1084939.0900000001</v>
      </c>
      <c r="R112" s="424">
        <v>2213976.39</v>
      </c>
      <c r="S112" s="424">
        <v>1591114.41</v>
      </c>
      <c r="T112" s="424">
        <v>1437567.95</v>
      </c>
      <c r="U112" s="424">
        <v>1777848.35</v>
      </c>
      <c r="V112" s="424">
        <v>3975570.45</v>
      </c>
      <c r="W112" s="424">
        <v>1248949.6299999999</v>
      </c>
      <c r="X112" s="424">
        <v>2713261.07</v>
      </c>
      <c r="Y112" s="424">
        <v>4061283.72</v>
      </c>
      <c r="Z112" s="424">
        <v>2117779.2599999998</v>
      </c>
      <c r="AA112" s="424">
        <v>7844143.4100000001</v>
      </c>
      <c r="AB112" s="424">
        <v>693670.44</v>
      </c>
      <c r="AC112" s="424">
        <v>1347788.5</v>
      </c>
      <c r="AD112" s="424">
        <v>1215753.46</v>
      </c>
      <c r="AE112" s="424">
        <v>617064.81999999995</v>
      </c>
      <c r="AF112" s="424">
        <v>2511769.84</v>
      </c>
      <c r="AG112" s="424">
        <v>1733022.02</v>
      </c>
      <c r="AH112" s="424">
        <v>522939.32</v>
      </c>
      <c r="AI112" s="424">
        <v>471170.8</v>
      </c>
      <c r="AJ112" s="424">
        <v>410651.97</v>
      </c>
      <c r="AK112" s="424">
        <v>1289504.47</v>
      </c>
      <c r="AL112" s="424">
        <v>376625.29</v>
      </c>
      <c r="AM112" s="424">
        <v>1436441.81</v>
      </c>
      <c r="AN112" s="424">
        <v>294460.95</v>
      </c>
      <c r="AO112" s="424">
        <v>607188.24</v>
      </c>
      <c r="AP112" s="424">
        <v>2249984.09</v>
      </c>
      <c r="AQ112" s="424">
        <v>1404097.19</v>
      </c>
      <c r="AR112" s="424">
        <v>634420.06999999995</v>
      </c>
      <c r="AS112" s="424">
        <v>400288.51</v>
      </c>
      <c r="AT112" s="424">
        <v>1040603.62</v>
      </c>
      <c r="AU112" s="424">
        <v>905313.23</v>
      </c>
      <c r="AV112" s="424">
        <v>2439969.2000000002</v>
      </c>
      <c r="AW112" s="424">
        <v>943461.82</v>
      </c>
      <c r="AX112" s="424">
        <v>2050807.57</v>
      </c>
      <c r="AY112" s="424">
        <v>853186.16</v>
      </c>
      <c r="AZ112" s="424">
        <v>1237876.02</v>
      </c>
      <c r="BA112" s="424">
        <v>974326.35</v>
      </c>
      <c r="BB112" s="424">
        <v>1044151.62</v>
      </c>
      <c r="BC112" s="424">
        <v>548842.88</v>
      </c>
      <c r="BD112" s="424">
        <v>1119786.51</v>
      </c>
      <c r="BE112" s="424">
        <v>14172460.99</v>
      </c>
      <c r="BF112" s="424">
        <v>1978904.63</v>
      </c>
      <c r="BG112" s="424">
        <v>768246.76</v>
      </c>
      <c r="BH112" s="424">
        <v>1791951.09</v>
      </c>
      <c r="BI112" s="424">
        <v>625297.66</v>
      </c>
      <c r="BJ112" s="427"/>
      <c r="BK112" s="352">
        <v>124753545.68000001</v>
      </c>
      <c r="BL112" s="352"/>
      <c r="BM112" s="427" t="s">
        <v>146</v>
      </c>
      <c r="BN112" s="427" t="s">
        <v>146</v>
      </c>
      <c r="BO112" s="427"/>
      <c r="BP112" s="427"/>
      <c r="BQ112" s="427"/>
      <c r="BR112" s="427"/>
      <c r="BS112" s="427"/>
      <c r="BT112" s="427"/>
      <c r="BU112" s="427"/>
      <c r="BV112" s="427"/>
      <c r="BW112" s="427"/>
      <c r="BX112" s="431">
        <f t="shared" si="42"/>
        <v>0</v>
      </c>
      <c r="BY112" s="431">
        <f t="shared" si="43"/>
        <v>124753545.68000001</v>
      </c>
      <c r="BZ112" s="1">
        <f t="shared" si="44"/>
        <v>124754</v>
      </c>
      <c r="CA112" s="1"/>
      <c r="CB112" s="20"/>
      <c r="CC112" s="1"/>
      <c r="CD112" s="1"/>
      <c r="CE112" s="1"/>
      <c r="CF112" s="1"/>
      <c r="CG112" s="1"/>
      <c r="CH112" s="1"/>
      <c r="CI112" s="1"/>
    </row>
    <row r="113" spans="1:87">
      <c r="A113" s="547"/>
      <c r="B113" s="5" t="s">
        <v>280</v>
      </c>
      <c r="C113" s="7"/>
      <c r="D113" s="910">
        <v>45516042.189999998</v>
      </c>
      <c r="E113" s="910">
        <v>29437609.57</v>
      </c>
      <c r="F113" s="910">
        <v>66455367.93</v>
      </c>
      <c r="G113" s="910">
        <v>18063585.050000001</v>
      </c>
      <c r="H113" s="910">
        <v>16413407.619999999</v>
      </c>
      <c r="I113" s="910">
        <v>30528988.84</v>
      </c>
      <c r="J113" s="910">
        <v>23147132.84</v>
      </c>
      <c r="K113" s="910">
        <v>46069953.549999997</v>
      </c>
      <c r="L113" s="910">
        <v>103961101.06</v>
      </c>
      <c r="M113" s="910">
        <v>22884210.039999999</v>
      </c>
      <c r="N113" s="910">
        <v>52453619.829999998</v>
      </c>
      <c r="O113" s="910">
        <v>58352796.990000002</v>
      </c>
      <c r="P113" s="910">
        <v>202650010.06</v>
      </c>
      <c r="Q113" s="910">
        <v>29380125.460000001</v>
      </c>
      <c r="R113" s="910">
        <v>45236458.140000001</v>
      </c>
      <c r="S113" s="910">
        <v>26937560.059999999</v>
      </c>
      <c r="T113" s="910">
        <v>35781294.600000001</v>
      </c>
      <c r="U113" s="910">
        <v>44915710.659999996</v>
      </c>
      <c r="V113" s="910">
        <v>59370894</v>
      </c>
      <c r="W113" s="910">
        <v>22177377.449999999</v>
      </c>
      <c r="X113" s="910">
        <v>132676824.12</v>
      </c>
      <c r="Y113" s="910">
        <v>90473626.870000005</v>
      </c>
      <c r="Z113" s="910">
        <v>60356827.710000001</v>
      </c>
      <c r="AA113" s="910">
        <v>127818254.59999999</v>
      </c>
      <c r="AB113" s="910">
        <v>14682395.949999999</v>
      </c>
      <c r="AC113" s="910">
        <v>20199078.02</v>
      </c>
      <c r="AD113" s="910">
        <v>24614116.870000001</v>
      </c>
      <c r="AE113" s="910">
        <v>18167542.280000001</v>
      </c>
      <c r="AF113" s="910">
        <v>41835732.460000001</v>
      </c>
      <c r="AG113" s="910">
        <v>37977429.090000004</v>
      </c>
      <c r="AH113" s="910">
        <v>10880694.529999999</v>
      </c>
      <c r="AI113" s="910">
        <v>13157757.57</v>
      </c>
      <c r="AJ113" s="910">
        <v>14993633.83</v>
      </c>
      <c r="AK113" s="910">
        <v>32466181.73</v>
      </c>
      <c r="AL113" s="910">
        <v>11553698.119999999</v>
      </c>
      <c r="AM113" s="910">
        <v>29422787.609999999</v>
      </c>
      <c r="AN113" s="910">
        <v>8843448.7899999991</v>
      </c>
      <c r="AO113" s="910">
        <v>17875703.41</v>
      </c>
      <c r="AP113" s="910">
        <v>77637991.030000001</v>
      </c>
      <c r="AQ113" s="910">
        <v>30858646.91</v>
      </c>
      <c r="AR113" s="910">
        <v>31831225.969999999</v>
      </c>
      <c r="AS113" s="910">
        <v>8950956.0500000007</v>
      </c>
      <c r="AT113" s="910">
        <v>28982841.100000001</v>
      </c>
      <c r="AU113" s="910">
        <v>21348731.170000002</v>
      </c>
      <c r="AV113" s="910">
        <v>60946531.869999997</v>
      </c>
      <c r="AW113" s="910">
        <v>19842566.34</v>
      </c>
      <c r="AX113" s="910">
        <v>47135025.609999999</v>
      </c>
      <c r="AY113" s="910">
        <v>21634054.079999998</v>
      </c>
      <c r="AZ113" s="910">
        <v>25919159.199999999</v>
      </c>
      <c r="BA113" s="910">
        <v>26174087.030000001</v>
      </c>
      <c r="BB113" s="910">
        <v>29586659.66</v>
      </c>
      <c r="BC113" s="910">
        <v>13933444</v>
      </c>
      <c r="BD113" s="910">
        <v>29039307.210000001</v>
      </c>
      <c r="BE113" s="910">
        <v>230299320.21000001</v>
      </c>
      <c r="BF113" s="910">
        <v>38634649.219999999</v>
      </c>
      <c r="BG113" s="910">
        <v>21994369.579999998</v>
      </c>
      <c r="BH113" s="910">
        <v>36992317</v>
      </c>
      <c r="BI113" s="910">
        <v>19594532.510000002</v>
      </c>
      <c r="BJ113" s="427"/>
      <c r="BK113" s="910">
        <v>2509065395.25</v>
      </c>
      <c r="BL113" s="910"/>
      <c r="BM113" s="910">
        <f t="shared" ref="BM113:BW113" si="45">SUM(BM107:BM112)</f>
        <v>0</v>
      </c>
      <c r="BN113" s="910">
        <f t="shared" si="45"/>
        <v>0</v>
      </c>
      <c r="BO113" s="910">
        <f t="shared" si="45"/>
        <v>0</v>
      </c>
      <c r="BP113" s="910">
        <f t="shared" si="45"/>
        <v>0</v>
      </c>
      <c r="BQ113" s="910">
        <f t="shared" si="45"/>
        <v>0</v>
      </c>
      <c r="BR113" s="910">
        <f t="shared" ref="BR113:BT113" si="46">SUM(BR107:BR112)</f>
        <v>0</v>
      </c>
      <c r="BS113" s="910">
        <f t="shared" si="46"/>
        <v>0</v>
      </c>
      <c r="BT113" s="910">
        <f t="shared" si="46"/>
        <v>0</v>
      </c>
      <c r="BU113" s="910">
        <f t="shared" si="45"/>
        <v>0</v>
      </c>
      <c r="BV113" s="910">
        <f t="shared" si="45"/>
        <v>0</v>
      </c>
      <c r="BW113" s="910">
        <f t="shared" si="45"/>
        <v>0</v>
      </c>
      <c r="BX113" s="910">
        <f>SUM(BX107:BX112)</f>
        <v>0</v>
      </c>
      <c r="BY113" s="910">
        <f t="shared" si="43"/>
        <v>2509065395.25</v>
      </c>
      <c r="BZ113" s="911">
        <f t="shared" si="44"/>
        <v>2509065</v>
      </c>
      <c r="CA113" s="1"/>
      <c r="CB113" s="20"/>
      <c r="CC113" s="1"/>
      <c r="CD113" s="1"/>
      <c r="CE113" s="1"/>
      <c r="CF113" s="1"/>
      <c r="CG113" s="1"/>
      <c r="CH113" s="1"/>
      <c r="CI113" s="1"/>
    </row>
    <row r="114" spans="1:87">
      <c r="A114" s="547"/>
      <c r="B114" s="5" t="s">
        <v>1904</v>
      </c>
      <c r="C114" s="7"/>
      <c r="D114" s="428">
        <v>-39140358.189999998</v>
      </c>
      <c r="E114" s="428">
        <v>-26642515.350000001</v>
      </c>
      <c r="F114" s="428">
        <v>-60396620</v>
      </c>
      <c r="G114" s="428">
        <v>-17377854.68</v>
      </c>
      <c r="H114" s="428">
        <v>-15543517.449999999</v>
      </c>
      <c r="I114" s="428">
        <v>-27916513.039999999</v>
      </c>
      <c r="J114" s="428">
        <v>-20322950.420000002</v>
      </c>
      <c r="K114" s="428">
        <v>-38285784.229999997</v>
      </c>
      <c r="L114" s="428">
        <v>-77988315.670000002</v>
      </c>
      <c r="M114" s="428">
        <v>-21587541.84</v>
      </c>
      <c r="N114" s="428">
        <v>-45113735.700000003</v>
      </c>
      <c r="O114" s="428">
        <v>-53672109.960000001</v>
      </c>
      <c r="P114" s="428">
        <v>-172628605.94999999</v>
      </c>
      <c r="Q114" s="428">
        <v>-26703445.899999999</v>
      </c>
      <c r="R114" s="428">
        <v>-39569775.390000001</v>
      </c>
      <c r="S114" s="428">
        <v>-24412495.210000001</v>
      </c>
      <c r="T114" s="428">
        <v>-32952031.32</v>
      </c>
      <c r="U114" s="428">
        <v>-40944193.090000004</v>
      </c>
      <c r="V114" s="428">
        <v>-46667472.219999999</v>
      </c>
      <c r="W114" s="428">
        <v>-21092598.510000002</v>
      </c>
      <c r="X114" s="428">
        <v>-117536447.59999999</v>
      </c>
      <c r="Y114" s="428">
        <v>-76029952.269999996</v>
      </c>
      <c r="Z114" s="428">
        <v>-45569819.240000002</v>
      </c>
      <c r="AA114" s="428">
        <v>-115887805.97</v>
      </c>
      <c r="AB114" s="428">
        <v>-13922886.25</v>
      </c>
      <c r="AC114" s="428">
        <v>-17668902.649999999</v>
      </c>
      <c r="AD114" s="428">
        <v>-22732877.870000001</v>
      </c>
      <c r="AE114" s="428">
        <v>-17555920.850000001</v>
      </c>
      <c r="AF114" s="428">
        <v>-37477788.170000002</v>
      </c>
      <c r="AG114" s="428">
        <v>-35242813.780000001</v>
      </c>
      <c r="AH114" s="428">
        <v>-10442306.93</v>
      </c>
      <c r="AI114" s="428">
        <v>-12772040.82</v>
      </c>
      <c r="AJ114" s="428">
        <v>-13845849.189999999</v>
      </c>
      <c r="AK114" s="428">
        <v>-29050223.170000002</v>
      </c>
      <c r="AL114" s="428">
        <v>-10819958.869999999</v>
      </c>
      <c r="AM114" s="428">
        <v>-25284778.780000001</v>
      </c>
      <c r="AN114" s="428">
        <v>-8481758.3200000003</v>
      </c>
      <c r="AO114" s="428">
        <v>-16520777.75</v>
      </c>
      <c r="AP114" s="428">
        <v>-68797454.090000004</v>
      </c>
      <c r="AQ114" s="428">
        <v>-28303616.940000001</v>
      </c>
      <c r="AR114" s="428">
        <v>-29309201.190000001</v>
      </c>
      <c r="AS114" s="428">
        <v>-8686897.3300000001</v>
      </c>
      <c r="AT114" s="428">
        <v>-27387870.699999999</v>
      </c>
      <c r="AU114" s="428">
        <v>-20351891.710000001</v>
      </c>
      <c r="AV114" s="428">
        <v>-58071523.439999998</v>
      </c>
      <c r="AW114" s="428">
        <v>-19066196.890000001</v>
      </c>
      <c r="AX114" s="428">
        <v>-42735691.43</v>
      </c>
      <c r="AY114" s="428">
        <v>-20425118.82</v>
      </c>
      <c r="AZ114" s="428">
        <v>-24249113.329999998</v>
      </c>
      <c r="BA114" s="428">
        <v>-22718249.809999999</v>
      </c>
      <c r="BB114" s="428">
        <v>-27237207.52</v>
      </c>
      <c r="BC114" s="428">
        <v>-13315279.16</v>
      </c>
      <c r="BD114" s="428">
        <v>-26130416.280000001</v>
      </c>
      <c r="BE114" s="428">
        <v>-196478491.38999999</v>
      </c>
      <c r="BF114" s="428">
        <v>-35454476.399999999</v>
      </c>
      <c r="BG114" s="428">
        <v>-20415289.280000001</v>
      </c>
      <c r="BH114" s="428">
        <v>-34254242.039999999</v>
      </c>
      <c r="BI114" s="428">
        <v>-18046289.809999999</v>
      </c>
      <c r="BJ114" s="424"/>
      <c r="BK114" s="428">
        <v>-2217235860.1599998</v>
      </c>
      <c r="BL114" s="428"/>
      <c r="BM114" s="428">
        <f t="shared" ref="BM114:BW114" si="47">BM104+BM113</f>
        <v>0</v>
      </c>
      <c r="BN114" s="428">
        <f t="shared" si="47"/>
        <v>0</v>
      </c>
      <c r="BO114" s="428">
        <f t="shared" si="47"/>
        <v>0</v>
      </c>
      <c r="BP114" s="428">
        <f t="shared" si="47"/>
        <v>0</v>
      </c>
      <c r="BQ114" s="428">
        <f t="shared" si="47"/>
        <v>0</v>
      </c>
      <c r="BR114" s="428">
        <f t="shared" ref="BR114:BT114" si="48">BR104+BR113</f>
        <v>0</v>
      </c>
      <c r="BS114" s="428">
        <f t="shared" si="48"/>
        <v>0</v>
      </c>
      <c r="BT114" s="428">
        <f t="shared" si="48"/>
        <v>0</v>
      </c>
      <c r="BU114" s="428">
        <f t="shared" si="47"/>
        <v>0</v>
      </c>
      <c r="BV114" s="428">
        <f t="shared" si="47"/>
        <v>0</v>
      </c>
      <c r="BW114" s="428">
        <f t="shared" si="47"/>
        <v>0</v>
      </c>
      <c r="BX114" s="428">
        <f>BX104+BX113</f>
        <v>0</v>
      </c>
      <c r="BY114" s="428">
        <f t="shared" si="43"/>
        <v>-2217235860.1599998</v>
      </c>
      <c r="BZ114" s="485">
        <f t="shared" si="44"/>
        <v>-2217236</v>
      </c>
      <c r="CA114" s="1"/>
      <c r="CB114" s="20"/>
      <c r="CC114" s="1"/>
      <c r="CD114" s="1"/>
      <c r="CE114" s="1"/>
      <c r="CF114" s="1"/>
      <c r="CG114" s="1"/>
      <c r="CH114" s="1"/>
      <c r="CI114" s="1"/>
    </row>
    <row r="115" spans="1:87">
      <c r="A115" s="547"/>
      <c r="B115" s="7" t="s">
        <v>282</v>
      </c>
      <c r="C115" s="5"/>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352"/>
      <c r="BL115" s="352"/>
      <c r="BX115" s="431"/>
      <c r="BY115" s="431"/>
      <c r="CB115" s="20"/>
    </row>
    <row r="116" spans="1:87">
      <c r="A116" s="422">
        <v>2690</v>
      </c>
      <c r="B116" s="5" t="s">
        <v>473</v>
      </c>
      <c r="C116" s="5"/>
      <c r="D116" s="424">
        <v>22679559.18</v>
      </c>
      <c r="E116" s="424">
        <v>16701827.550000001</v>
      </c>
      <c r="F116" s="424">
        <v>31561874.98</v>
      </c>
      <c r="G116" s="424">
        <v>9709735.3499999996</v>
      </c>
      <c r="H116" s="424">
        <v>8869163.9800000004</v>
      </c>
      <c r="I116" s="424">
        <v>13157832.810000001</v>
      </c>
      <c r="J116" s="424">
        <v>9814578.4399999995</v>
      </c>
      <c r="K116" s="424">
        <v>22040793.280000001</v>
      </c>
      <c r="L116" s="424">
        <v>38970026.990000002</v>
      </c>
      <c r="M116" s="424">
        <v>9310306.4800000004</v>
      </c>
      <c r="N116" s="424">
        <v>24290563.52</v>
      </c>
      <c r="O116" s="424">
        <v>25703527.469999999</v>
      </c>
      <c r="P116" s="424">
        <v>70834420.980000004</v>
      </c>
      <c r="Q116" s="424">
        <v>15609953.960000001</v>
      </c>
      <c r="R116" s="424">
        <v>20011946.75</v>
      </c>
      <c r="S116" s="424">
        <v>16131616.91</v>
      </c>
      <c r="T116" s="424">
        <v>16841883.370000001</v>
      </c>
      <c r="U116" s="424">
        <v>20536765.440000001</v>
      </c>
      <c r="V116" s="424">
        <v>23969566.359999999</v>
      </c>
      <c r="W116" s="424">
        <v>13946394.720000001</v>
      </c>
      <c r="X116" s="424">
        <v>65106290.899999999</v>
      </c>
      <c r="Y116" s="424">
        <v>36266781.240000002</v>
      </c>
      <c r="Z116" s="424">
        <v>26425186.489999998</v>
      </c>
      <c r="AA116" s="424">
        <v>47347059.700000003</v>
      </c>
      <c r="AB116" s="424">
        <v>7485036.9699999997</v>
      </c>
      <c r="AC116" s="424">
        <v>9744537.1699999999</v>
      </c>
      <c r="AD116" s="424">
        <v>11942354.51</v>
      </c>
      <c r="AE116" s="424">
        <v>8810437.9000000004</v>
      </c>
      <c r="AF116" s="424">
        <v>21861293.620000001</v>
      </c>
      <c r="AG116" s="424">
        <v>22144856.969999999</v>
      </c>
      <c r="AH116" s="424">
        <v>6632354.6100000003</v>
      </c>
      <c r="AI116" s="424">
        <v>8005281.25</v>
      </c>
      <c r="AJ116" s="424">
        <v>7614021.5700000003</v>
      </c>
      <c r="AK116" s="424">
        <v>15349961.58</v>
      </c>
      <c r="AL116" s="424">
        <v>6793233.9000000004</v>
      </c>
      <c r="AM116" s="424">
        <v>16224682.050000001</v>
      </c>
      <c r="AN116" s="424">
        <v>6206082.8200000003</v>
      </c>
      <c r="AO116" s="424">
        <v>10413755.01</v>
      </c>
      <c r="AP116" s="424">
        <v>36920928.159999996</v>
      </c>
      <c r="AQ116" s="424">
        <v>15608599.48</v>
      </c>
      <c r="AR116" s="424">
        <v>15748805.810000001</v>
      </c>
      <c r="AS116" s="424">
        <v>5286896.8</v>
      </c>
      <c r="AT116" s="424">
        <v>15786947.49</v>
      </c>
      <c r="AU116" s="424">
        <v>10434108.039999999</v>
      </c>
      <c r="AV116" s="424">
        <v>39330758.210000001</v>
      </c>
      <c r="AW116" s="424">
        <v>12027987.640000001</v>
      </c>
      <c r="AX116" s="424">
        <v>20453911.359999999</v>
      </c>
      <c r="AY116" s="424">
        <v>11271525.949999999</v>
      </c>
      <c r="AZ116" s="424">
        <v>13724129.189999999</v>
      </c>
      <c r="BA116" s="424">
        <v>17135949.239999998</v>
      </c>
      <c r="BB116" s="424">
        <v>17544294.18</v>
      </c>
      <c r="BC116" s="424">
        <v>8146747.8200000003</v>
      </c>
      <c r="BD116" s="424">
        <v>16187905.279999999</v>
      </c>
      <c r="BE116" s="424">
        <v>94514334.450000003</v>
      </c>
      <c r="BF116" s="424">
        <v>17650478.34</v>
      </c>
      <c r="BG116" s="424">
        <v>11951557.52</v>
      </c>
      <c r="BH116" s="424">
        <v>15911835.17</v>
      </c>
      <c r="BI116" s="925">
        <v>10417624.43</v>
      </c>
      <c r="BJ116" s="424"/>
      <c r="BK116" s="352">
        <v>1171120871.3399999</v>
      </c>
      <c r="BL116" s="352"/>
      <c r="BW116" s="26">
        <v>-2500000</v>
      </c>
      <c r="BX116" s="431">
        <f t="shared" ref="BX116:BX127" si="49">SUM(BL116:BW116)</f>
        <v>-2500000</v>
      </c>
      <c r="BY116" s="431">
        <f t="shared" si="43"/>
        <v>1168620871.3399999</v>
      </c>
      <c r="BZ116" s="1">
        <f t="shared" ref="BZ116:BZ124" si="50">ROUND(BY116/1000,0)+CA116</f>
        <v>1168621</v>
      </c>
      <c r="CB116" s="20"/>
    </row>
    <row r="117" spans="1:87">
      <c r="A117" s="774" t="s">
        <v>284</v>
      </c>
      <c r="B117" s="5" t="s">
        <v>285</v>
      </c>
      <c r="C117" s="5"/>
      <c r="D117" s="424">
        <v>0</v>
      </c>
      <c r="E117" s="424">
        <v>206825.28</v>
      </c>
      <c r="F117" s="424">
        <v>0</v>
      </c>
      <c r="G117" s="424">
        <v>120782</v>
      </c>
      <c r="H117" s="424">
        <v>0</v>
      </c>
      <c r="I117" s="424">
        <v>0</v>
      </c>
      <c r="J117" s="424">
        <v>77893</v>
      </c>
      <c r="K117" s="424">
        <v>0</v>
      </c>
      <c r="L117" s="424">
        <v>397372.92</v>
      </c>
      <c r="M117" s="424">
        <v>0</v>
      </c>
      <c r="N117" s="424">
        <v>2668154.9300000002</v>
      </c>
      <c r="O117" s="424">
        <v>3182131</v>
      </c>
      <c r="P117" s="424">
        <v>420433.46</v>
      </c>
      <c r="Q117" s="424">
        <v>124174.2</v>
      </c>
      <c r="R117" s="424">
        <v>18734</v>
      </c>
      <c r="S117" s="424">
        <v>0</v>
      </c>
      <c r="T117" s="424">
        <v>394497</v>
      </c>
      <c r="U117" s="424">
        <v>178229.67</v>
      </c>
      <c r="V117" s="424">
        <v>829113.1</v>
      </c>
      <c r="W117" s="424">
        <v>379709.84</v>
      </c>
      <c r="X117" s="424">
        <v>1881061.11</v>
      </c>
      <c r="Y117" s="424">
        <v>0</v>
      </c>
      <c r="Z117" s="424">
        <v>290135.07</v>
      </c>
      <c r="AA117" s="424">
        <v>0</v>
      </c>
      <c r="AB117" s="424">
        <v>253509.8</v>
      </c>
      <c r="AC117" s="424">
        <v>89915.29</v>
      </c>
      <c r="AD117" s="424">
        <v>74949</v>
      </c>
      <c r="AE117" s="424">
        <v>349882.82</v>
      </c>
      <c r="AF117" s="424">
        <v>0</v>
      </c>
      <c r="AG117" s="424">
        <v>0</v>
      </c>
      <c r="AH117" s="424">
        <v>162346.94</v>
      </c>
      <c r="AI117" s="424">
        <v>98656.53</v>
      </c>
      <c r="AJ117" s="424">
        <v>1781</v>
      </c>
      <c r="AK117" s="424">
        <v>0</v>
      </c>
      <c r="AL117" s="424">
        <v>146593.78</v>
      </c>
      <c r="AM117" s="424">
        <v>9880</v>
      </c>
      <c r="AN117" s="424">
        <v>266016.13</v>
      </c>
      <c r="AO117" s="424">
        <v>0</v>
      </c>
      <c r="AP117" s="424">
        <v>0</v>
      </c>
      <c r="AQ117" s="424">
        <v>0</v>
      </c>
      <c r="AR117" s="424">
        <v>201580.68</v>
      </c>
      <c r="AS117" s="424">
        <v>0</v>
      </c>
      <c r="AT117" s="424">
        <v>42000</v>
      </c>
      <c r="AU117" s="424">
        <v>0</v>
      </c>
      <c r="AV117" s="424">
        <v>0</v>
      </c>
      <c r="AW117" s="424">
        <v>0</v>
      </c>
      <c r="AX117" s="424">
        <v>0</v>
      </c>
      <c r="AY117" s="424">
        <v>14000000</v>
      </c>
      <c r="AZ117" s="424">
        <v>109024.24</v>
      </c>
      <c r="BA117" s="424">
        <v>225282.41</v>
      </c>
      <c r="BB117" s="424">
        <v>0</v>
      </c>
      <c r="BC117" s="424">
        <v>173349.02</v>
      </c>
      <c r="BD117" s="424">
        <v>109759.46</v>
      </c>
      <c r="BE117" s="424">
        <v>2127695.2200000002</v>
      </c>
      <c r="BF117" s="424">
        <v>148442.18</v>
      </c>
      <c r="BG117" s="424">
        <v>0</v>
      </c>
      <c r="BH117" s="424">
        <v>618366.31000000006</v>
      </c>
      <c r="BI117" s="424">
        <v>0</v>
      </c>
      <c r="BJ117" s="424"/>
      <c r="BK117" s="352">
        <v>30378277.390000001</v>
      </c>
      <c r="BL117" s="352"/>
      <c r="BW117" s="26">
        <v>-14000000</v>
      </c>
      <c r="BX117" s="431">
        <f t="shared" si="49"/>
        <v>-14000000</v>
      </c>
      <c r="BY117" s="431">
        <f t="shared" si="43"/>
        <v>16378277.390000001</v>
      </c>
      <c r="BZ117" s="1">
        <f t="shared" si="50"/>
        <v>16378</v>
      </c>
      <c r="CB117" s="20"/>
    </row>
    <row r="118" spans="1:87">
      <c r="A118" s="422">
        <v>2691</v>
      </c>
      <c r="B118" s="5" t="s">
        <v>286</v>
      </c>
      <c r="C118" s="5"/>
      <c r="D118" s="424">
        <v>3533556</v>
      </c>
      <c r="E118" s="424">
        <v>4832361.84</v>
      </c>
      <c r="F118" s="424">
        <v>7390104</v>
      </c>
      <c r="G118" s="424">
        <v>2737797.74</v>
      </c>
      <c r="H118" s="424">
        <v>1069551</v>
      </c>
      <c r="I118" s="424">
        <v>5326916</v>
      </c>
      <c r="J118" s="424">
        <v>4088054</v>
      </c>
      <c r="K118" s="424">
        <v>4295391.51</v>
      </c>
      <c r="L118" s="424">
        <v>11571232</v>
      </c>
      <c r="M118" s="424">
        <v>2775000</v>
      </c>
      <c r="N118" s="424">
        <v>5113172.7699999996</v>
      </c>
      <c r="O118" s="424">
        <v>5950466.5199999996</v>
      </c>
      <c r="P118" s="424">
        <v>40564852</v>
      </c>
      <c r="Q118" s="424">
        <v>2279884</v>
      </c>
      <c r="R118" s="424">
        <v>5481089.8499999996</v>
      </c>
      <c r="S118" s="424">
        <v>2788166</v>
      </c>
      <c r="T118" s="424">
        <v>4101425</v>
      </c>
      <c r="U118" s="424">
        <v>4146820</v>
      </c>
      <c r="V118" s="424">
        <v>9869258.0399999991</v>
      </c>
      <c r="W118" s="424">
        <v>1794260</v>
      </c>
      <c r="X118" s="424">
        <v>13278659</v>
      </c>
      <c r="Y118" s="424">
        <v>10937699</v>
      </c>
      <c r="Z118" s="424">
        <v>5887560.96</v>
      </c>
      <c r="AA118" s="424">
        <v>17507500</v>
      </c>
      <c r="AB118" s="424">
        <v>1435152.17</v>
      </c>
      <c r="AC118" s="424">
        <v>3107205</v>
      </c>
      <c r="AD118" s="424">
        <v>2775131.61</v>
      </c>
      <c r="AE118" s="424">
        <v>1894200</v>
      </c>
      <c r="AF118" s="424">
        <v>6448036.2800000003</v>
      </c>
      <c r="AG118" s="424">
        <v>2763767.08</v>
      </c>
      <c r="AH118" s="424">
        <v>1117025</v>
      </c>
      <c r="AI118" s="424">
        <v>1163349</v>
      </c>
      <c r="AJ118" s="424">
        <v>1157000</v>
      </c>
      <c r="AK118" s="424">
        <v>4217105</v>
      </c>
      <c r="AL118" s="424">
        <v>1255574.1499999999</v>
      </c>
      <c r="AM118" s="424">
        <v>2395226</v>
      </c>
      <c r="AN118" s="424">
        <v>610997.37</v>
      </c>
      <c r="AO118" s="424">
        <v>1585676.92</v>
      </c>
      <c r="AP118" s="424">
        <v>6253326</v>
      </c>
      <c r="AQ118" s="424">
        <v>2756537.85</v>
      </c>
      <c r="AR118" s="424">
        <v>2820449</v>
      </c>
      <c r="AS118" s="424">
        <v>1030422.96</v>
      </c>
      <c r="AT118" s="424">
        <v>2650000</v>
      </c>
      <c r="AU118" s="424">
        <v>4721700.8899999997</v>
      </c>
      <c r="AV118" s="424">
        <v>6568573</v>
      </c>
      <c r="AW118" s="424">
        <v>1620443</v>
      </c>
      <c r="AX118" s="424">
        <v>5207735.38</v>
      </c>
      <c r="AY118" s="424">
        <v>1498490.41</v>
      </c>
      <c r="AZ118" s="424">
        <v>2825113</v>
      </c>
      <c r="BA118" s="424">
        <v>1530268.79</v>
      </c>
      <c r="BB118" s="424">
        <v>2934264.04</v>
      </c>
      <c r="BC118" s="424">
        <v>1198458.83</v>
      </c>
      <c r="BD118" s="424">
        <v>2500268.96</v>
      </c>
      <c r="BE118" s="424">
        <v>28175802.329999998</v>
      </c>
      <c r="BF118" s="424">
        <v>4408251</v>
      </c>
      <c r="BG118" s="424">
        <v>2627610</v>
      </c>
      <c r="BH118" s="424">
        <v>4812360.32</v>
      </c>
      <c r="BI118" s="926">
        <v>2606883</v>
      </c>
      <c r="BJ118" s="424"/>
      <c r="BK118" s="352">
        <v>297993181.56999999</v>
      </c>
      <c r="BL118" s="352"/>
      <c r="BX118" s="431">
        <f t="shared" si="49"/>
        <v>0</v>
      </c>
      <c r="BY118" s="431">
        <f t="shared" si="43"/>
        <v>297993181.56999999</v>
      </c>
      <c r="BZ118" s="1">
        <f t="shared" si="50"/>
        <v>297993</v>
      </c>
      <c r="CB118" s="20"/>
    </row>
    <row r="119" spans="1:87">
      <c r="A119" s="422">
        <v>2692</v>
      </c>
      <c r="B119" s="5" t="s">
        <v>475</v>
      </c>
      <c r="C119" s="5"/>
      <c r="D119" s="424">
        <v>6024770.5</v>
      </c>
      <c r="E119" s="424">
        <v>3934334.37</v>
      </c>
      <c r="F119" s="424">
        <v>11941379.41</v>
      </c>
      <c r="G119" s="424">
        <v>7978294.71</v>
      </c>
      <c r="H119" s="424">
        <v>5651660.54</v>
      </c>
      <c r="I119" s="424">
        <v>6128173.8700000001</v>
      </c>
      <c r="J119" s="424">
        <v>3708511.43</v>
      </c>
      <c r="K119" s="424">
        <v>15136932.57</v>
      </c>
      <c r="L119" s="424">
        <v>15274272.09</v>
      </c>
      <c r="M119" s="424">
        <v>5047902.8</v>
      </c>
      <c r="N119" s="424">
        <v>7076727.2699999996</v>
      </c>
      <c r="O119" s="424">
        <v>14670650.27</v>
      </c>
      <c r="P119" s="424">
        <v>36432136.909999996</v>
      </c>
      <c r="Q119" s="424">
        <v>5929877.8399999999</v>
      </c>
      <c r="R119" s="424">
        <v>8661054.6300000008</v>
      </c>
      <c r="S119" s="424">
        <v>2716324.35</v>
      </c>
      <c r="T119" s="424">
        <v>6404643.3099999996</v>
      </c>
      <c r="U119" s="424">
        <v>8873930.6400000006</v>
      </c>
      <c r="V119" s="424">
        <v>9244077.8499999996</v>
      </c>
      <c r="W119" s="424">
        <v>4745340.05</v>
      </c>
      <c r="X119" s="424">
        <v>32213671.390000001</v>
      </c>
      <c r="Y119" s="424">
        <v>32874689.649999999</v>
      </c>
      <c r="Z119" s="424">
        <v>9555944.2400000002</v>
      </c>
      <c r="AA119" s="424">
        <v>25926577.440000001</v>
      </c>
      <c r="AB119" s="424">
        <v>3717053.84</v>
      </c>
      <c r="AC119" s="424">
        <v>2065221.88</v>
      </c>
      <c r="AD119" s="424">
        <v>5181075.67</v>
      </c>
      <c r="AE119" s="424">
        <v>4342257.45</v>
      </c>
      <c r="AF119" s="424">
        <v>7948538.0899999999</v>
      </c>
      <c r="AG119" s="424">
        <v>6771882.6399999997</v>
      </c>
      <c r="AH119" s="424">
        <v>1422741.77</v>
      </c>
      <c r="AI119" s="424">
        <v>3022766.57</v>
      </c>
      <c r="AJ119" s="424">
        <v>3878572.8</v>
      </c>
      <c r="AK119" s="424">
        <v>4876210.46</v>
      </c>
      <c r="AL119" s="424">
        <v>1779930.03</v>
      </c>
      <c r="AM119" s="424">
        <v>4933858.55</v>
      </c>
      <c r="AN119" s="424">
        <v>558849.37</v>
      </c>
      <c r="AO119" s="424">
        <v>6778954.04</v>
      </c>
      <c r="AP119" s="424">
        <v>17836594.539999999</v>
      </c>
      <c r="AQ119" s="424">
        <v>6038437.2999999998</v>
      </c>
      <c r="AR119" s="424">
        <v>4372441.34</v>
      </c>
      <c r="AS119" s="424">
        <v>1157781.3899999999</v>
      </c>
      <c r="AT119" s="424">
        <v>7365883.6699999999</v>
      </c>
      <c r="AU119" s="424">
        <v>4292890.42</v>
      </c>
      <c r="AV119" s="424">
        <v>8237338.4699999997</v>
      </c>
      <c r="AW119" s="424">
        <v>4146809.96</v>
      </c>
      <c r="AX119" s="424">
        <v>7325118.46</v>
      </c>
      <c r="AY119" s="424">
        <v>6203873.8300000001</v>
      </c>
      <c r="AZ119" s="424">
        <v>6098872.5999999996</v>
      </c>
      <c r="BA119" s="424">
        <v>3902875.91</v>
      </c>
      <c r="BB119" s="424">
        <v>6137932.3300000001</v>
      </c>
      <c r="BC119" s="424">
        <v>2366733.52</v>
      </c>
      <c r="BD119" s="424">
        <v>5723059.9500000002</v>
      </c>
      <c r="BE119" s="424">
        <v>33322547.809999999</v>
      </c>
      <c r="BF119" s="424">
        <v>6835516.3700000001</v>
      </c>
      <c r="BG119" s="424">
        <v>3160743.18</v>
      </c>
      <c r="BH119" s="424">
        <v>6901846.3099999996</v>
      </c>
      <c r="BI119" s="926">
        <v>6499713.3499999996</v>
      </c>
      <c r="BJ119" s="424"/>
      <c r="BK119" s="352">
        <v>491356802</v>
      </c>
      <c r="BL119" s="352"/>
      <c r="BS119" s="383">
        <v>6945662</v>
      </c>
      <c r="BV119" s="26">
        <v>144279</v>
      </c>
      <c r="BW119" s="26">
        <v>-6632725</v>
      </c>
      <c r="BX119" s="431">
        <f t="shared" si="49"/>
        <v>457216</v>
      </c>
      <c r="BY119" s="431">
        <f t="shared" si="43"/>
        <v>491814018</v>
      </c>
      <c r="BZ119" s="1">
        <f t="shared" si="50"/>
        <v>491814</v>
      </c>
      <c r="CB119" s="20"/>
    </row>
    <row r="120" spans="1:87">
      <c r="A120" s="422">
        <v>2701</v>
      </c>
      <c r="B120" s="5" t="s">
        <v>1905</v>
      </c>
      <c r="C120" s="5"/>
      <c r="D120" s="424">
        <v>10709120.25</v>
      </c>
      <c r="E120" s="424">
        <v>3394635.97</v>
      </c>
      <c r="F120" s="424">
        <v>12694889.439999999</v>
      </c>
      <c r="G120" s="424">
        <v>0</v>
      </c>
      <c r="H120" s="424">
        <v>2727149.27</v>
      </c>
      <c r="I120" s="424">
        <v>5505676.79</v>
      </c>
      <c r="J120" s="424">
        <v>3749963.54</v>
      </c>
      <c r="K120" s="424">
        <v>0</v>
      </c>
      <c r="L120" s="424">
        <v>15352701.439999999</v>
      </c>
      <c r="M120" s="424">
        <v>3364437.71</v>
      </c>
      <c r="N120" s="424">
        <v>6001945.0800000001</v>
      </c>
      <c r="O120" s="424">
        <v>6643904.21</v>
      </c>
      <c r="P120" s="424">
        <v>36398439.590000004</v>
      </c>
      <c r="Q120" s="424">
        <v>4164334.15</v>
      </c>
      <c r="R120" s="424">
        <v>9993923.75</v>
      </c>
      <c r="S120" s="424">
        <v>1231577.54</v>
      </c>
      <c r="T120" s="424">
        <v>6781660.96</v>
      </c>
      <c r="U120" s="424">
        <v>8743494.8499999996</v>
      </c>
      <c r="V120" s="424">
        <v>9403966.2699999996</v>
      </c>
      <c r="W120" s="424">
        <v>6964311.7699999996</v>
      </c>
      <c r="X120" s="424">
        <v>16852949.440000001</v>
      </c>
      <c r="Y120" s="424">
        <v>0</v>
      </c>
      <c r="Z120" s="424">
        <v>8144191.4500000002</v>
      </c>
      <c r="AA120" s="424">
        <v>35479967.5</v>
      </c>
      <c r="AB120" s="424">
        <v>1983084.5</v>
      </c>
      <c r="AC120" s="424">
        <v>3149969.38</v>
      </c>
      <c r="AD120" s="424">
        <v>3189574.69</v>
      </c>
      <c r="AE120" s="424">
        <v>2696540.57</v>
      </c>
      <c r="AF120" s="424">
        <v>5995821.5800000001</v>
      </c>
      <c r="AG120" s="424">
        <v>4286951.26</v>
      </c>
      <c r="AH120" s="424">
        <v>877942.51</v>
      </c>
      <c r="AI120" s="424">
        <v>1385131.53</v>
      </c>
      <c r="AJ120" s="424">
        <v>2704791.27</v>
      </c>
      <c r="AK120" s="424">
        <v>5981939.3200000003</v>
      </c>
      <c r="AL120" s="424">
        <v>1565539.92</v>
      </c>
      <c r="AM120" s="424">
        <v>3787696.21</v>
      </c>
      <c r="AN120" s="424">
        <v>996174.43</v>
      </c>
      <c r="AO120" s="424">
        <v>0</v>
      </c>
      <c r="AP120" s="424">
        <v>16398387.359999999</v>
      </c>
      <c r="AQ120" s="424">
        <v>6179864.4100000001</v>
      </c>
      <c r="AR120" s="424">
        <v>8865796.9299999997</v>
      </c>
      <c r="AS120" s="424">
        <v>1906123.07</v>
      </c>
      <c r="AT120" s="424">
        <v>3220827.58</v>
      </c>
      <c r="AU120" s="424">
        <v>3641069.73</v>
      </c>
      <c r="AV120" s="424">
        <v>13748747.57</v>
      </c>
      <c r="AW120" s="424">
        <v>3092995.3</v>
      </c>
      <c r="AX120" s="424">
        <v>9124119.1099999994</v>
      </c>
      <c r="AY120" s="424">
        <v>3928860.85</v>
      </c>
      <c r="AZ120" s="424">
        <v>5019185.29</v>
      </c>
      <c r="BA120" s="424">
        <v>3035681.68</v>
      </c>
      <c r="BB120" s="424">
        <v>3438979.54</v>
      </c>
      <c r="BC120" s="424">
        <v>2513350.2799999998</v>
      </c>
      <c r="BD120" s="424">
        <v>6522297.4199999999</v>
      </c>
      <c r="BE120" s="424">
        <v>38078833.060000002</v>
      </c>
      <c r="BF120" s="424">
        <v>6157987.0300000003</v>
      </c>
      <c r="BG120" s="424">
        <v>5352555.78</v>
      </c>
      <c r="BH120" s="424">
        <v>5686317.7699999996</v>
      </c>
      <c r="BI120" s="424">
        <v>0</v>
      </c>
      <c r="BJ120" s="424"/>
      <c r="BK120" s="352">
        <v>398816377.89999998</v>
      </c>
      <c r="BL120" s="352"/>
      <c r="BX120" s="431">
        <f t="shared" si="49"/>
        <v>0</v>
      </c>
      <c r="BY120" s="431">
        <f t="shared" si="43"/>
        <v>398816377.89999998</v>
      </c>
      <c r="BZ120" s="1">
        <f t="shared" si="50"/>
        <v>398816</v>
      </c>
      <c r="CB120" s="20"/>
    </row>
    <row r="121" spans="1:87">
      <c r="A121" s="422">
        <v>2710</v>
      </c>
      <c r="B121" s="5" t="s">
        <v>291</v>
      </c>
      <c r="C121" s="5"/>
      <c r="D121" s="424">
        <v>1009037.46</v>
      </c>
      <c r="E121" s="424">
        <v>267279.88</v>
      </c>
      <c r="F121" s="424">
        <v>592417.13</v>
      </c>
      <c r="G121" s="424">
        <v>241093.53</v>
      </c>
      <c r="H121" s="424">
        <v>0</v>
      </c>
      <c r="I121" s="424">
        <v>1033682.93</v>
      </c>
      <c r="J121" s="424">
        <v>251765.71</v>
      </c>
      <c r="K121" s="424">
        <v>869662.78</v>
      </c>
      <c r="L121" s="424">
        <v>827741.67</v>
      </c>
      <c r="M121" s="424">
        <v>1154359.27</v>
      </c>
      <c r="N121" s="424">
        <v>110197.47</v>
      </c>
      <c r="O121" s="424">
        <v>0</v>
      </c>
      <c r="P121" s="424">
        <v>5081778.82</v>
      </c>
      <c r="Q121" s="424">
        <v>0</v>
      </c>
      <c r="R121" s="424">
        <v>33563</v>
      </c>
      <c r="S121" s="424">
        <v>1692974.5</v>
      </c>
      <c r="T121" s="424">
        <v>738017.44</v>
      </c>
      <c r="U121" s="424">
        <v>617622.67000000004</v>
      </c>
      <c r="V121" s="424">
        <v>0</v>
      </c>
      <c r="W121" s="424">
        <v>104722.2</v>
      </c>
      <c r="X121" s="424">
        <v>16000</v>
      </c>
      <c r="Y121" s="424">
        <v>1420243.67</v>
      </c>
      <c r="Z121" s="424">
        <v>693584.75</v>
      </c>
      <c r="AA121" s="424">
        <v>109000</v>
      </c>
      <c r="AB121" s="424">
        <v>132186.88</v>
      </c>
      <c r="AC121" s="424">
        <v>1374395.93</v>
      </c>
      <c r="AD121" s="424">
        <v>764959.4</v>
      </c>
      <c r="AE121" s="424">
        <v>0</v>
      </c>
      <c r="AF121" s="424">
        <v>5605.76</v>
      </c>
      <c r="AG121" s="424">
        <v>37419</v>
      </c>
      <c r="AH121" s="424">
        <v>18200</v>
      </c>
      <c r="AI121" s="424">
        <v>14984</v>
      </c>
      <c r="AJ121" s="424">
        <v>73302.259999999995</v>
      </c>
      <c r="AK121" s="424">
        <v>297373.24</v>
      </c>
      <c r="AL121" s="424">
        <v>270146.3</v>
      </c>
      <c r="AM121" s="424">
        <v>393465.13</v>
      </c>
      <c r="AN121" s="424">
        <v>308811.56</v>
      </c>
      <c r="AO121" s="424">
        <v>0</v>
      </c>
      <c r="AP121" s="424">
        <v>164190.95000000001</v>
      </c>
      <c r="AQ121" s="424">
        <v>355473.23</v>
      </c>
      <c r="AR121" s="424">
        <v>319552.44</v>
      </c>
      <c r="AS121" s="424">
        <v>485613.88</v>
      </c>
      <c r="AT121" s="424">
        <v>82618.67</v>
      </c>
      <c r="AU121" s="424">
        <v>29102</v>
      </c>
      <c r="AV121" s="424">
        <v>224248.91</v>
      </c>
      <c r="AW121" s="424">
        <v>138935.01</v>
      </c>
      <c r="AX121" s="424">
        <v>2420509.12</v>
      </c>
      <c r="AY121" s="424">
        <v>446265.61</v>
      </c>
      <c r="AZ121" s="424">
        <v>85680</v>
      </c>
      <c r="BA121" s="424">
        <v>77889.279999999999</v>
      </c>
      <c r="BB121" s="424">
        <v>173916.36</v>
      </c>
      <c r="BC121" s="424">
        <v>15500</v>
      </c>
      <c r="BD121" s="424">
        <v>0</v>
      </c>
      <c r="BE121" s="424">
        <v>2923421.09</v>
      </c>
      <c r="BF121" s="424">
        <v>510355.02</v>
      </c>
      <c r="BG121" s="424">
        <v>1440200.44</v>
      </c>
      <c r="BH121" s="424">
        <v>3478416.49</v>
      </c>
      <c r="BI121" s="424">
        <v>0</v>
      </c>
      <c r="BJ121" s="424"/>
      <c r="BK121" s="352">
        <v>33927482.840000004</v>
      </c>
      <c r="BL121" s="352"/>
      <c r="BX121" s="431">
        <f t="shared" si="49"/>
        <v>0</v>
      </c>
      <c r="BY121" s="431">
        <f t="shared" si="43"/>
        <v>33927482.840000004</v>
      </c>
      <c r="BZ121" s="1">
        <f t="shared" si="50"/>
        <v>33927</v>
      </c>
      <c r="CB121" s="20"/>
    </row>
    <row r="122" spans="1:87">
      <c r="A122" s="422">
        <v>2711</v>
      </c>
      <c r="B122" s="5" t="s">
        <v>292</v>
      </c>
      <c r="C122" s="5"/>
      <c r="D122" s="424">
        <v>129872</v>
      </c>
      <c r="E122" s="424">
        <v>115042</v>
      </c>
      <c r="F122" s="424">
        <v>241286</v>
      </c>
      <c r="G122" s="424">
        <v>76764</v>
      </c>
      <c r="H122" s="424">
        <v>46189</v>
      </c>
      <c r="I122" s="424">
        <v>109414</v>
      </c>
      <c r="J122" s="424">
        <v>71471</v>
      </c>
      <c r="K122" s="424">
        <v>138137</v>
      </c>
      <c r="L122" s="424">
        <v>315843</v>
      </c>
      <c r="M122" s="424">
        <v>77886</v>
      </c>
      <c r="N122" s="424">
        <v>186813</v>
      </c>
      <c r="O122" s="424">
        <v>240033</v>
      </c>
      <c r="P122" s="424">
        <v>956232.4</v>
      </c>
      <c r="Q122" s="424">
        <v>94977</v>
      </c>
      <c r="R122" s="424">
        <v>159829</v>
      </c>
      <c r="S122" s="424">
        <v>90527</v>
      </c>
      <c r="T122" s="424">
        <v>117099</v>
      </c>
      <c r="U122" s="424">
        <v>140905</v>
      </c>
      <c r="V122" s="424">
        <v>200857</v>
      </c>
      <c r="W122" s="424">
        <v>69171</v>
      </c>
      <c r="X122" s="424">
        <v>449997</v>
      </c>
      <c r="Y122" s="424">
        <v>296208</v>
      </c>
      <c r="Z122" s="424">
        <v>196500</v>
      </c>
      <c r="AA122" s="424">
        <v>346305</v>
      </c>
      <c r="AB122" s="424">
        <v>65487</v>
      </c>
      <c r="AC122" s="424">
        <v>81551</v>
      </c>
      <c r="AD122" s="424">
        <v>93425</v>
      </c>
      <c r="AE122" s="424">
        <v>62757</v>
      </c>
      <c r="AF122" s="424">
        <v>187262</v>
      </c>
      <c r="AG122" s="424">
        <v>151825</v>
      </c>
      <c r="AH122" s="424">
        <v>40168</v>
      </c>
      <c r="AI122" s="424">
        <v>56306</v>
      </c>
      <c r="AJ122" s="424">
        <v>41795</v>
      </c>
      <c r="AK122" s="424">
        <v>107506</v>
      </c>
      <c r="AL122" s="424">
        <v>48770</v>
      </c>
      <c r="AM122" s="424">
        <v>128058</v>
      </c>
      <c r="AN122" s="424">
        <v>36166</v>
      </c>
      <c r="AO122" s="424">
        <v>69919</v>
      </c>
      <c r="AP122" s="424">
        <v>294787</v>
      </c>
      <c r="AQ122" s="424">
        <v>116034</v>
      </c>
      <c r="AR122" s="424">
        <v>119717</v>
      </c>
      <c r="AS122" s="424">
        <v>28817</v>
      </c>
      <c r="AT122" s="424">
        <v>95389</v>
      </c>
      <c r="AU122" s="424">
        <v>73285</v>
      </c>
      <c r="AV122" s="424">
        <v>226588</v>
      </c>
      <c r="AW122" s="424">
        <v>71247</v>
      </c>
      <c r="AX122" s="424">
        <v>151377</v>
      </c>
      <c r="AY122" s="424">
        <v>0</v>
      </c>
      <c r="AZ122" s="424">
        <v>99671</v>
      </c>
      <c r="BA122" s="424">
        <v>112574</v>
      </c>
      <c r="BB122" s="424">
        <v>119400</v>
      </c>
      <c r="BC122" s="424">
        <v>52323</v>
      </c>
      <c r="BD122" s="424">
        <v>116277</v>
      </c>
      <c r="BE122" s="424">
        <v>914467</v>
      </c>
      <c r="BF122" s="424">
        <v>153938</v>
      </c>
      <c r="BG122" s="424">
        <v>75493</v>
      </c>
      <c r="BH122" s="424">
        <v>140456</v>
      </c>
      <c r="BI122" s="925">
        <v>70761</v>
      </c>
      <c r="BJ122" s="424"/>
      <c r="BK122" s="352">
        <v>9070953.4000000004</v>
      </c>
      <c r="BL122" s="352"/>
      <c r="BX122" s="431">
        <f t="shared" si="49"/>
        <v>0</v>
      </c>
      <c r="BY122" s="431">
        <f t="shared" si="43"/>
        <v>9070953.4000000004</v>
      </c>
      <c r="BZ122" s="1">
        <f t="shared" si="50"/>
        <v>9071</v>
      </c>
      <c r="CB122" s="20"/>
    </row>
    <row r="123" spans="1:87">
      <c r="A123" s="422">
        <v>2760</v>
      </c>
      <c r="B123" s="5" t="s">
        <v>293</v>
      </c>
      <c r="C123" s="5"/>
      <c r="D123" s="424">
        <v>4331.4799999999996</v>
      </c>
      <c r="E123" s="424">
        <v>15549.64</v>
      </c>
      <c r="F123" s="424">
        <v>26237.63</v>
      </c>
      <c r="G123" s="424">
        <v>-379821.82</v>
      </c>
      <c r="H123" s="424">
        <v>0</v>
      </c>
      <c r="I123" s="424">
        <v>3655.83</v>
      </c>
      <c r="J123" s="424">
        <v>4237.1899999999996</v>
      </c>
      <c r="K123" s="424">
        <v>8641.83</v>
      </c>
      <c r="L123" s="424">
        <v>29322.63</v>
      </c>
      <c r="M123" s="424">
        <v>1429.69</v>
      </c>
      <c r="N123" s="424">
        <v>5712.43</v>
      </c>
      <c r="O123" s="424">
        <v>3628.56</v>
      </c>
      <c r="P123" s="424">
        <v>84022.65</v>
      </c>
      <c r="Q123" s="424">
        <v>11182.7</v>
      </c>
      <c r="R123" s="424">
        <v>419649.92</v>
      </c>
      <c r="S123" s="424">
        <v>1177.01</v>
      </c>
      <c r="T123" s="424">
        <v>-472703.75</v>
      </c>
      <c r="U123" s="424">
        <v>52515.35</v>
      </c>
      <c r="V123" s="424">
        <v>186.79</v>
      </c>
      <c r="W123" s="424">
        <v>14782.13</v>
      </c>
      <c r="X123" s="424">
        <v>99175.31</v>
      </c>
      <c r="Y123" s="424">
        <v>7474.98</v>
      </c>
      <c r="Z123" s="424">
        <v>1627779.18</v>
      </c>
      <c r="AA123" s="424">
        <v>67967.47</v>
      </c>
      <c r="AB123" s="424">
        <v>-299450.8</v>
      </c>
      <c r="AC123" s="424">
        <v>-2209416.8199999998</v>
      </c>
      <c r="AD123" s="424">
        <v>-3196869.38</v>
      </c>
      <c r="AE123" s="424">
        <v>11188.6</v>
      </c>
      <c r="AF123" s="424">
        <v>15979.2</v>
      </c>
      <c r="AG123" s="424">
        <v>14479.91</v>
      </c>
      <c r="AH123" s="424">
        <v>2503.66</v>
      </c>
      <c r="AI123" s="424">
        <v>1668.38</v>
      </c>
      <c r="AJ123" s="424">
        <v>28355.31</v>
      </c>
      <c r="AK123" s="424">
        <v>-3424887.64</v>
      </c>
      <c r="AL123" s="424">
        <v>418.96</v>
      </c>
      <c r="AM123" s="424">
        <v>9369.81</v>
      </c>
      <c r="AN123" s="424">
        <v>-71074.86</v>
      </c>
      <c r="AO123" s="424">
        <v>260.51</v>
      </c>
      <c r="AP123" s="424">
        <v>25780.19</v>
      </c>
      <c r="AQ123" s="424">
        <v>4678.8</v>
      </c>
      <c r="AR123" s="424">
        <v>5089.1000000000004</v>
      </c>
      <c r="AS123" s="424">
        <v>0</v>
      </c>
      <c r="AT123" s="424">
        <v>782.06</v>
      </c>
      <c r="AU123" s="424">
        <v>8985.18</v>
      </c>
      <c r="AV123" s="424">
        <v>-65341.89</v>
      </c>
      <c r="AW123" s="424">
        <v>1075.07</v>
      </c>
      <c r="AX123" s="424">
        <v>-4446219.66</v>
      </c>
      <c r="AY123" s="424">
        <v>-7045.93</v>
      </c>
      <c r="AZ123" s="424">
        <v>13797.09</v>
      </c>
      <c r="BA123" s="424">
        <v>302.02</v>
      </c>
      <c r="BB123" s="424">
        <v>2828.22</v>
      </c>
      <c r="BC123" s="424">
        <v>696.67</v>
      </c>
      <c r="BD123" s="424">
        <v>-422373.49</v>
      </c>
      <c r="BE123" s="424">
        <v>51260.480000000003</v>
      </c>
      <c r="BF123" s="424">
        <v>8397.89</v>
      </c>
      <c r="BG123" s="424">
        <v>-141549.49</v>
      </c>
      <c r="BH123" s="424">
        <v>0</v>
      </c>
      <c r="BI123" s="926">
        <v>5098</v>
      </c>
      <c r="BJ123" s="424"/>
      <c r="BK123" s="352">
        <v>-12435100.02</v>
      </c>
      <c r="BL123" s="352"/>
      <c r="BM123" s="352">
        <v>10911</v>
      </c>
      <c r="BV123" s="26">
        <v>-144279</v>
      </c>
      <c r="BX123" s="431">
        <f t="shared" si="49"/>
        <v>-133368</v>
      </c>
      <c r="BY123" s="431">
        <f t="shared" si="43"/>
        <v>-12568468.02</v>
      </c>
      <c r="BZ123" s="1">
        <f t="shared" si="50"/>
        <v>-12568</v>
      </c>
      <c r="CB123" s="20"/>
    </row>
    <row r="124" spans="1:87">
      <c r="A124" s="422">
        <v>2720</v>
      </c>
      <c r="B124" s="5" t="s">
        <v>1906</v>
      </c>
      <c r="C124" s="5"/>
      <c r="D124" s="424">
        <v>0</v>
      </c>
      <c r="E124" s="424">
        <v>0</v>
      </c>
      <c r="F124" s="424">
        <v>-16312.09</v>
      </c>
      <c r="G124" s="424">
        <v>0</v>
      </c>
      <c r="H124" s="424">
        <v>0</v>
      </c>
      <c r="I124" s="424">
        <v>0</v>
      </c>
      <c r="J124" s="424">
        <v>0</v>
      </c>
      <c r="K124" s="424">
        <v>0</v>
      </c>
      <c r="L124" s="424">
        <v>0</v>
      </c>
      <c r="M124" s="424">
        <v>0</v>
      </c>
      <c r="N124" s="424">
        <v>-85211.29</v>
      </c>
      <c r="O124" s="424">
        <v>0</v>
      </c>
      <c r="P124" s="424">
        <v>-326468.09999999998</v>
      </c>
      <c r="Q124" s="424">
        <v>-6999</v>
      </c>
      <c r="R124" s="424">
        <v>0</v>
      </c>
      <c r="S124" s="424">
        <v>0</v>
      </c>
      <c r="T124" s="424">
        <v>-39835.83</v>
      </c>
      <c r="U124" s="424">
        <v>0</v>
      </c>
      <c r="V124" s="424">
        <v>0</v>
      </c>
      <c r="W124" s="424">
        <v>-4399</v>
      </c>
      <c r="X124" s="424">
        <v>0</v>
      </c>
      <c r="Y124" s="424">
        <v>0</v>
      </c>
      <c r="Z124" s="424">
        <v>0</v>
      </c>
      <c r="AA124" s="424">
        <v>-62670.73</v>
      </c>
      <c r="AB124" s="424">
        <v>-3424.75</v>
      </c>
      <c r="AC124" s="424">
        <v>0</v>
      </c>
      <c r="AD124" s="424">
        <v>-10483.969999999999</v>
      </c>
      <c r="AE124" s="424">
        <v>0</v>
      </c>
      <c r="AF124" s="424">
        <v>-136234.12</v>
      </c>
      <c r="AG124" s="424">
        <v>-81148.31</v>
      </c>
      <c r="AH124" s="424">
        <v>-872</v>
      </c>
      <c r="AI124" s="424">
        <v>-1646.21</v>
      </c>
      <c r="AJ124" s="424">
        <v>0</v>
      </c>
      <c r="AK124" s="424">
        <v>-9219</v>
      </c>
      <c r="AL124" s="424">
        <v>0</v>
      </c>
      <c r="AM124" s="424">
        <v>0</v>
      </c>
      <c r="AN124" s="424">
        <v>-1075</v>
      </c>
      <c r="AO124" s="424">
        <v>0</v>
      </c>
      <c r="AP124" s="424">
        <v>0</v>
      </c>
      <c r="AQ124" s="424">
        <v>0</v>
      </c>
      <c r="AR124" s="424">
        <v>0</v>
      </c>
      <c r="AS124" s="424">
        <v>0</v>
      </c>
      <c r="AT124" s="424">
        <v>0</v>
      </c>
      <c r="AU124" s="424">
        <v>0</v>
      </c>
      <c r="AV124" s="424">
        <v>0</v>
      </c>
      <c r="AW124" s="424">
        <v>-5688</v>
      </c>
      <c r="AX124" s="424">
        <v>-140726.84</v>
      </c>
      <c r="AY124" s="424">
        <v>0</v>
      </c>
      <c r="AZ124" s="424">
        <v>-52017</v>
      </c>
      <c r="BA124" s="424">
        <v>0</v>
      </c>
      <c r="BB124" s="424">
        <v>0</v>
      </c>
      <c r="BC124" s="424">
        <v>-1470</v>
      </c>
      <c r="BD124" s="424">
        <v>0</v>
      </c>
      <c r="BE124" s="424">
        <v>-1493247.02</v>
      </c>
      <c r="BF124" s="424">
        <v>-98004</v>
      </c>
      <c r="BG124" s="424">
        <v>0</v>
      </c>
      <c r="BH124" s="424">
        <v>-8499.52</v>
      </c>
      <c r="BI124" s="424">
        <v>0</v>
      </c>
      <c r="BJ124" s="424"/>
      <c r="BK124" s="352">
        <v>-2585651.7799999998</v>
      </c>
      <c r="BL124" s="352"/>
      <c r="BX124" s="431">
        <f t="shared" si="49"/>
        <v>0</v>
      </c>
      <c r="BY124" s="431">
        <f t="shared" si="43"/>
        <v>-2585651.7799999998</v>
      </c>
      <c r="BZ124" s="1">
        <f t="shared" si="50"/>
        <v>-2586</v>
      </c>
      <c r="CB124" s="20"/>
    </row>
    <row r="125" spans="1:87">
      <c r="A125" s="422">
        <v>2721</v>
      </c>
      <c r="B125" s="5" t="s">
        <v>295</v>
      </c>
      <c r="C125" s="5"/>
      <c r="D125" s="424">
        <v>0</v>
      </c>
      <c r="E125" s="424">
        <v>0</v>
      </c>
      <c r="F125" s="424">
        <v>66598.960000000006</v>
      </c>
      <c r="G125" s="424">
        <v>0</v>
      </c>
      <c r="H125" s="424">
        <v>0</v>
      </c>
      <c r="I125" s="424">
        <v>0</v>
      </c>
      <c r="J125" s="424">
        <v>0</v>
      </c>
      <c r="K125" s="424">
        <v>0</v>
      </c>
      <c r="L125" s="424">
        <v>0</v>
      </c>
      <c r="M125" s="424">
        <v>0</v>
      </c>
      <c r="N125" s="424">
        <v>0</v>
      </c>
      <c r="O125" s="424">
        <v>0</v>
      </c>
      <c r="P125" s="424">
        <v>42771.28</v>
      </c>
      <c r="Q125" s="424">
        <v>0</v>
      </c>
      <c r="R125" s="424">
        <v>0</v>
      </c>
      <c r="S125" s="424">
        <v>0</v>
      </c>
      <c r="T125" s="424">
        <v>0</v>
      </c>
      <c r="U125" s="424">
        <v>0</v>
      </c>
      <c r="V125" s="424">
        <v>0</v>
      </c>
      <c r="W125" s="424">
        <v>0</v>
      </c>
      <c r="X125" s="424">
        <v>2806</v>
      </c>
      <c r="Y125" s="424">
        <v>0</v>
      </c>
      <c r="Z125" s="424">
        <v>0</v>
      </c>
      <c r="AA125" s="424">
        <v>177.16</v>
      </c>
      <c r="AB125" s="424">
        <v>0</v>
      </c>
      <c r="AC125" s="424">
        <v>0</v>
      </c>
      <c r="AD125" s="424">
        <v>0</v>
      </c>
      <c r="AE125" s="424">
        <v>0</v>
      </c>
      <c r="AF125" s="424">
        <v>0</v>
      </c>
      <c r="AG125" s="424">
        <v>0</v>
      </c>
      <c r="AH125" s="424">
        <v>0</v>
      </c>
      <c r="AI125" s="424">
        <v>0</v>
      </c>
      <c r="AJ125" s="424">
        <v>0</v>
      </c>
      <c r="AK125" s="424">
        <v>0</v>
      </c>
      <c r="AL125" s="424">
        <v>0</v>
      </c>
      <c r="AM125" s="424">
        <v>0</v>
      </c>
      <c r="AN125" s="424">
        <v>0</v>
      </c>
      <c r="AO125" s="424">
        <v>0</v>
      </c>
      <c r="AP125" s="424">
        <v>0</v>
      </c>
      <c r="AQ125" s="424">
        <v>0</v>
      </c>
      <c r="AR125" s="424">
        <v>0</v>
      </c>
      <c r="AS125" s="424">
        <v>0</v>
      </c>
      <c r="AT125" s="424">
        <v>0</v>
      </c>
      <c r="AU125" s="424">
        <v>0</v>
      </c>
      <c r="AV125" s="424">
        <v>0</v>
      </c>
      <c r="AW125" s="424">
        <v>0</v>
      </c>
      <c r="AX125" s="424">
        <v>0</v>
      </c>
      <c r="AY125" s="424">
        <v>0</v>
      </c>
      <c r="AZ125" s="424">
        <v>0</v>
      </c>
      <c r="BA125" s="424">
        <v>0</v>
      </c>
      <c r="BB125" s="424">
        <v>0</v>
      </c>
      <c r="BC125" s="424">
        <v>0</v>
      </c>
      <c r="BD125" s="424">
        <v>0</v>
      </c>
      <c r="BE125" s="424">
        <v>0</v>
      </c>
      <c r="BF125" s="424">
        <v>0</v>
      </c>
      <c r="BG125" s="424">
        <v>0</v>
      </c>
      <c r="BH125" s="424">
        <v>0</v>
      </c>
      <c r="BI125" s="424">
        <v>0</v>
      </c>
      <c r="BJ125" s="424"/>
      <c r="BK125" s="352">
        <v>112353.4</v>
      </c>
      <c r="BL125" s="352"/>
      <c r="BX125" s="431">
        <f t="shared" si="49"/>
        <v>0</v>
      </c>
      <c r="BY125" s="431"/>
      <c r="BZ125" s="1"/>
      <c r="CB125" s="20"/>
    </row>
    <row r="126" spans="1:87">
      <c r="A126" s="422">
        <v>2800</v>
      </c>
      <c r="B126" s="5" t="s">
        <v>296</v>
      </c>
      <c r="C126" s="5"/>
      <c r="D126" s="424">
        <v>0</v>
      </c>
      <c r="E126" s="424">
        <v>44658.3</v>
      </c>
      <c r="F126" s="424">
        <v>0</v>
      </c>
      <c r="G126" s="424">
        <v>11702.03</v>
      </c>
      <c r="H126" s="424">
        <v>0</v>
      </c>
      <c r="I126" s="424">
        <v>37609.32</v>
      </c>
      <c r="J126" s="424">
        <v>136348.01999999999</v>
      </c>
      <c r="K126" s="424">
        <v>0</v>
      </c>
      <c r="L126" s="424">
        <v>72960.679999999993</v>
      </c>
      <c r="M126" s="424">
        <v>0</v>
      </c>
      <c r="N126" s="424">
        <v>0</v>
      </c>
      <c r="O126" s="424">
        <v>22834.62</v>
      </c>
      <c r="P126" s="424">
        <v>4430933.16</v>
      </c>
      <c r="Q126" s="424">
        <v>0</v>
      </c>
      <c r="R126" s="424">
        <v>0</v>
      </c>
      <c r="S126" s="424">
        <v>14935.56</v>
      </c>
      <c r="T126" s="424">
        <v>0</v>
      </c>
      <c r="U126" s="424">
        <v>31161.26</v>
      </c>
      <c r="V126" s="424">
        <v>0</v>
      </c>
      <c r="W126" s="424">
        <v>29298.38</v>
      </c>
      <c r="X126" s="424">
        <v>35539.65</v>
      </c>
      <c r="Y126" s="424">
        <v>0</v>
      </c>
      <c r="Z126" s="424">
        <v>40116.589999999997</v>
      </c>
      <c r="AA126" s="424">
        <v>0</v>
      </c>
      <c r="AB126" s="424">
        <v>16433.48</v>
      </c>
      <c r="AC126" s="424">
        <v>0</v>
      </c>
      <c r="AD126" s="424">
        <v>0</v>
      </c>
      <c r="AE126" s="424">
        <v>23971.46</v>
      </c>
      <c r="AF126" s="424">
        <v>323280.44</v>
      </c>
      <c r="AG126" s="424">
        <v>0</v>
      </c>
      <c r="AH126" s="424">
        <v>0</v>
      </c>
      <c r="AI126" s="424">
        <v>27.33</v>
      </c>
      <c r="AJ126" s="424">
        <v>0</v>
      </c>
      <c r="AK126" s="424">
        <v>53342.26</v>
      </c>
      <c r="AL126" s="424">
        <v>0</v>
      </c>
      <c r="AM126" s="424">
        <v>200808.81</v>
      </c>
      <c r="AN126" s="424">
        <v>0</v>
      </c>
      <c r="AO126" s="424">
        <v>5053.8</v>
      </c>
      <c r="AP126" s="424">
        <v>22156.93</v>
      </c>
      <c r="AQ126" s="424">
        <v>2096.0300000000002</v>
      </c>
      <c r="AR126" s="424">
        <v>203767.71</v>
      </c>
      <c r="AS126" s="424">
        <v>32477.46</v>
      </c>
      <c r="AT126" s="424">
        <v>0</v>
      </c>
      <c r="AU126" s="424">
        <v>0</v>
      </c>
      <c r="AV126" s="424">
        <v>0</v>
      </c>
      <c r="AW126" s="424">
        <v>0</v>
      </c>
      <c r="AX126" s="424">
        <v>109220.54</v>
      </c>
      <c r="AY126" s="424">
        <v>0</v>
      </c>
      <c r="AZ126" s="424">
        <v>0</v>
      </c>
      <c r="BA126" s="424">
        <v>262275.18</v>
      </c>
      <c r="BB126" s="424">
        <v>0</v>
      </c>
      <c r="BC126" s="424">
        <v>32744.26</v>
      </c>
      <c r="BD126" s="424">
        <v>27212.32</v>
      </c>
      <c r="BE126" s="424">
        <v>155235.21</v>
      </c>
      <c r="BF126" s="424">
        <v>86773.02</v>
      </c>
      <c r="BG126" s="424">
        <v>0</v>
      </c>
      <c r="BH126" s="424">
        <v>0</v>
      </c>
      <c r="BI126" s="926">
        <v>695301.21</v>
      </c>
      <c r="BJ126" s="424"/>
      <c r="BK126" s="352">
        <v>7160275.0199999996</v>
      </c>
      <c r="BL126" s="352"/>
      <c r="BX126" s="431">
        <f t="shared" si="49"/>
        <v>0</v>
      </c>
      <c r="BY126" s="431">
        <f t="shared" si="43"/>
        <v>7160275.0199999996</v>
      </c>
      <c r="BZ126" s="1">
        <f t="shared" ref="BZ126:BZ137" si="51">ROUND(BY126/1000,0)+CA126</f>
        <v>7160</v>
      </c>
      <c r="CB126" s="20"/>
    </row>
    <row r="127" spans="1:87">
      <c r="A127" s="422">
        <v>2810</v>
      </c>
      <c r="B127" s="5" t="s">
        <v>297</v>
      </c>
      <c r="C127" s="5"/>
      <c r="D127" s="424">
        <v>-7695.47</v>
      </c>
      <c r="E127" s="424">
        <v>-65578.929999999993</v>
      </c>
      <c r="F127" s="424">
        <v>-107475.65</v>
      </c>
      <c r="G127" s="424">
        <v>0</v>
      </c>
      <c r="H127" s="424">
        <v>-11797.27</v>
      </c>
      <c r="I127" s="424">
        <v>-94477.98</v>
      </c>
      <c r="J127" s="424">
        <v>0</v>
      </c>
      <c r="K127" s="424">
        <v>-9521.56</v>
      </c>
      <c r="L127" s="424">
        <v>-156984.89000000001</v>
      </c>
      <c r="M127" s="424">
        <v>-1792.76</v>
      </c>
      <c r="N127" s="424">
        <v>-26946.880000000001</v>
      </c>
      <c r="O127" s="424">
        <v>0</v>
      </c>
      <c r="P127" s="424">
        <v>-367871.78</v>
      </c>
      <c r="Q127" s="424">
        <v>-110406.03</v>
      </c>
      <c r="R127" s="424">
        <v>-47908.78</v>
      </c>
      <c r="S127" s="424">
        <v>0</v>
      </c>
      <c r="T127" s="424">
        <v>-618482.41</v>
      </c>
      <c r="U127" s="424">
        <v>-26796.75</v>
      </c>
      <c r="V127" s="424">
        <v>0</v>
      </c>
      <c r="W127" s="424">
        <v>-505242.44</v>
      </c>
      <c r="X127" s="424">
        <v>-279414.03000000003</v>
      </c>
      <c r="Y127" s="424">
        <v>-312348.83</v>
      </c>
      <c r="Z127" s="424">
        <v>-110752.91</v>
      </c>
      <c r="AA127" s="424">
        <v>-333961.08</v>
      </c>
      <c r="AB127" s="424">
        <v>0</v>
      </c>
      <c r="AC127" s="424">
        <v>-28750.76</v>
      </c>
      <c r="AD127" s="424">
        <v>-43293.24</v>
      </c>
      <c r="AE127" s="424">
        <v>0</v>
      </c>
      <c r="AF127" s="424">
        <v>0</v>
      </c>
      <c r="AG127" s="424">
        <v>-92309.95</v>
      </c>
      <c r="AH127" s="424">
        <v>-75408.5</v>
      </c>
      <c r="AI127" s="424">
        <v>0</v>
      </c>
      <c r="AJ127" s="424">
        <v>-0.56000000000000005</v>
      </c>
      <c r="AK127" s="424">
        <v>-157772.25</v>
      </c>
      <c r="AL127" s="424">
        <v>-108368.76</v>
      </c>
      <c r="AM127" s="424">
        <v>0</v>
      </c>
      <c r="AN127" s="424">
        <v>-22603.38</v>
      </c>
      <c r="AO127" s="424">
        <v>-36947.360000000001</v>
      </c>
      <c r="AP127" s="424">
        <v>0</v>
      </c>
      <c r="AQ127" s="424">
        <v>0</v>
      </c>
      <c r="AR127" s="424">
        <v>0</v>
      </c>
      <c r="AS127" s="424">
        <v>0</v>
      </c>
      <c r="AT127" s="424">
        <v>-48400.21</v>
      </c>
      <c r="AU127" s="424">
        <v>0</v>
      </c>
      <c r="AV127" s="424">
        <v>-1105482.92</v>
      </c>
      <c r="AW127" s="424">
        <v>0</v>
      </c>
      <c r="AX127" s="424">
        <v>0</v>
      </c>
      <c r="AY127" s="424">
        <v>-84284.99</v>
      </c>
      <c r="AZ127" s="424">
        <v>-53007.21</v>
      </c>
      <c r="BA127" s="424">
        <v>-19950.39</v>
      </c>
      <c r="BB127" s="424">
        <v>-30180.43</v>
      </c>
      <c r="BC127" s="424">
        <v>0</v>
      </c>
      <c r="BD127" s="424">
        <v>-274657.73</v>
      </c>
      <c r="BE127" s="424">
        <v>-1351368.09</v>
      </c>
      <c r="BF127" s="424">
        <v>-82596.39</v>
      </c>
      <c r="BG127" s="424">
        <v>-24429.26</v>
      </c>
      <c r="BH127" s="424">
        <v>-2368454.9700000002</v>
      </c>
      <c r="BI127" s="424">
        <v>-688712.87</v>
      </c>
      <c r="BJ127" s="424"/>
      <c r="BK127" s="352">
        <v>-9892436.6500000004</v>
      </c>
      <c r="BL127" s="352"/>
      <c r="BM127" s="432">
        <v>-10911</v>
      </c>
      <c r="BN127" s="432"/>
      <c r="BO127" s="432"/>
      <c r="BP127" s="432"/>
      <c r="BQ127" s="432"/>
      <c r="BR127" s="352"/>
      <c r="BS127" s="352"/>
      <c r="BT127" s="352"/>
      <c r="BU127" s="352"/>
      <c r="BV127" s="352"/>
      <c r="BW127" s="352"/>
      <c r="BX127" s="431">
        <f t="shared" si="49"/>
        <v>-10911</v>
      </c>
      <c r="BY127" s="431">
        <f t="shared" si="43"/>
        <v>-9903347.6500000004</v>
      </c>
      <c r="BZ127" s="1">
        <f t="shared" si="51"/>
        <v>-9903</v>
      </c>
      <c r="CB127" s="20"/>
    </row>
    <row r="128" spans="1:87">
      <c r="B128" s="5" t="s">
        <v>1907</v>
      </c>
      <c r="C128" s="419"/>
      <c r="D128" s="428">
        <v>44082551.399999999</v>
      </c>
      <c r="E128" s="428">
        <v>29446935.899999999</v>
      </c>
      <c r="F128" s="428">
        <v>64390999.810000002</v>
      </c>
      <c r="G128" s="428">
        <v>20496347.539999999</v>
      </c>
      <c r="H128" s="428">
        <v>18351916.52</v>
      </c>
      <c r="I128" s="428">
        <v>31208483.57</v>
      </c>
      <c r="J128" s="428">
        <v>21902822.329999998</v>
      </c>
      <c r="K128" s="428">
        <v>42480037.409999996</v>
      </c>
      <c r="L128" s="428">
        <v>82654488.530000001</v>
      </c>
      <c r="M128" s="428">
        <v>21729529.190000001</v>
      </c>
      <c r="N128" s="428">
        <v>45341128.299999997</v>
      </c>
      <c r="O128" s="428">
        <v>56417175.649999999</v>
      </c>
      <c r="P128" s="428">
        <v>194551681.37</v>
      </c>
      <c r="Q128" s="428">
        <v>28096978.82</v>
      </c>
      <c r="R128" s="428">
        <v>44731882.119999997</v>
      </c>
      <c r="S128" s="428">
        <v>24667298.870000001</v>
      </c>
      <c r="T128" s="428">
        <v>34248204.090000004</v>
      </c>
      <c r="U128" s="428">
        <v>43294648.130000003</v>
      </c>
      <c r="V128" s="428">
        <v>53517025.409999996</v>
      </c>
      <c r="W128" s="428">
        <v>27538348.649999999</v>
      </c>
      <c r="X128" s="428">
        <v>129656735.77</v>
      </c>
      <c r="Y128" s="428">
        <v>81490747.709999993</v>
      </c>
      <c r="Z128" s="428">
        <v>52750245.82</v>
      </c>
      <c r="AA128" s="428">
        <v>126387922.45999999</v>
      </c>
      <c r="AB128" s="428">
        <v>14785069.09</v>
      </c>
      <c r="AC128" s="428">
        <v>17374628.07</v>
      </c>
      <c r="AD128" s="428">
        <v>20770823.289999999</v>
      </c>
      <c r="AE128" s="428">
        <v>18191235.800000001</v>
      </c>
      <c r="AF128" s="428">
        <v>42649582.850000001</v>
      </c>
      <c r="AG128" s="428">
        <v>35997723.600000001</v>
      </c>
      <c r="AH128" s="428">
        <v>10197001.99</v>
      </c>
      <c r="AI128" s="428">
        <v>13746524.380000001</v>
      </c>
      <c r="AJ128" s="428">
        <v>15499618.65</v>
      </c>
      <c r="AK128" s="428">
        <v>27291558.969999999</v>
      </c>
      <c r="AL128" s="428">
        <v>11751838.279999999</v>
      </c>
      <c r="AM128" s="428">
        <v>28083044.559999999</v>
      </c>
      <c r="AN128" s="428">
        <v>8888344.4399999995</v>
      </c>
      <c r="AO128" s="428">
        <v>18816671.920000002</v>
      </c>
      <c r="AP128" s="428">
        <v>77916151.129999995</v>
      </c>
      <c r="AQ128" s="428">
        <v>31061721.100000001</v>
      </c>
      <c r="AR128" s="428">
        <v>32657200.010000002</v>
      </c>
      <c r="AS128" s="428">
        <v>9928132.5600000005</v>
      </c>
      <c r="AT128" s="428">
        <v>29196048.260000002</v>
      </c>
      <c r="AU128" s="428">
        <v>23201141.260000002</v>
      </c>
      <c r="AV128" s="428">
        <v>67165429.349999994</v>
      </c>
      <c r="AW128" s="428">
        <v>21093804.98</v>
      </c>
      <c r="AX128" s="428">
        <v>40205044.469999999</v>
      </c>
      <c r="AY128" s="428">
        <v>37257685.729999997</v>
      </c>
      <c r="AZ128" s="428">
        <v>27870448.199999999</v>
      </c>
      <c r="BA128" s="428">
        <v>26263148.120000001</v>
      </c>
      <c r="BB128" s="428">
        <v>30321434.239999998</v>
      </c>
      <c r="BC128" s="428">
        <v>14498433.4</v>
      </c>
      <c r="BD128" s="428">
        <v>30489749.170000002</v>
      </c>
      <c r="BE128" s="428">
        <v>197418981.53999999</v>
      </c>
      <c r="BF128" s="428">
        <v>35779538.460000001</v>
      </c>
      <c r="BG128" s="428">
        <v>24442181.170000002</v>
      </c>
      <c r="BH128" s="428">
        <v>35172643.880000003</v>
      </c>
      <c r="BI128" s="428">
        <v>19606668.120000001</v>
      </c>
      <c r="BJ128" s="424"/>
      <c r="BK128" s="428">
        <v>2415023386.4099998</v>
      </c>
      <c r="BL128" s="428"/>
      <c r="BM128" s="428">
        <f t="shared" ref="BM128:BX128" si="52">SUM(BM116:BM127)</f>
        <v>0</v>
      </c>
      <c r="BN128" s="428">
        <f t="shared" si="52"/>
        <v>0</v>
      </c>
      <c r="BO128" s="428">
        <f t="shared" si="52"/>
        <v>0</v>
      </c>
      <c r="BP128" s="428">
        <f t="shared" si="52"/>
        <v>0</v>
      </c>
      <c r="BQ128" s="428">
        <f t="shared" si="52"/>
        <v>0</v>
      </c>
      <c r="BR128" s="428"/>
      <c r="BS128" s="428">
        <f>SUM(BS116:BS127)</f>
        <v>6945662</v>
      </c>
      <c r="BT128" s="428">
        <f t="shared" ref="BT128:BW128" si="53">SUM(BT116:BT127)</f>
        <v>0</v>
      </c>
      <c r="BU128" s="428">
        <f t="shared" si="53"/>
        <v>0</v>
      </c>
      <c r="BV128" s="428">
        <f t="shared" si="53"/>
        <v>0</v>
      </c>
      <c r="BW128" s="428">
        <f t="shared" si="53"/>
        <v>-23132725</v>
      </c>
      <c r="BX128" s="428">
        <f t="shared" si="52"/>
        <v>-16187063</v>
      </c>
      <c r="BY128" s="428">
        <f t="shared" si="43"/>
        <v>2398836323.4099998</v>
      </c>
      <c r="BZ128" s="485">
        <f t="shared" si="51"/>
        <v>2398836</v>
      </c>
      <c r="CB128" s="20"/>
    </row>
    <row r="129" spans="1:81">
      <c r="B129" s="5" t="s">
        <v>1908</v>
      </c>
      <c r="C129" s="5"/>
      <c r="D129" s="424">
        <v>4942193.21</v>
      </c>
      <c r="E129" s="424">
        <v>2804420.55</v>
      </c>
      <c r="F129" s="424">
        <v>3994379.81</v>
      </c>
      <c r="G129" s="424">
        <v>3118492.86</v>
      </c>
      <c r="H129" s="424">
        <v>2808399.07</v>
      </c>
      <c r="I129" s="424">
        <v>3291970.53</v>
      </c>
      <c r="J129" s="424">
        <v>1579871.91</v>
      </c>
      <c r="K129" s="424">
        <v>4194253.18</v>
      </c>
      <c r="L129" s="424">
        <v>4666172.8600000003</v>
      </c>
      <c r="M129" s="424">
        <v>141987.35</v>
      </c>
      <c r="N129" s="424">
        <v>227392.6</v>
      </c>
      <c r="O129" s="424">
        <v>2745065.69</v>
      </c>
      <c r="P129" s="424">
        <v>21923075.420000002</v>
      </c>
      <c r="Q129" s="424">
        <v>1393532.92</v>
      </c>
      <c r="R129" s="424">
        <v>5162106.7300000004</v>
      </c>
      <c r="S129" s="424">
        <v>254803.66</v>
      </c>
      <c r="T129" s="424">
        <v>1296172.77</v>
      </c>
      <c r="U129" s="424">
        <v>2350455.04</v>
      </c>
      <c r="V129" s="424">
        <v>6849553.1900000004</v>
      </c>
      <c r="W129" s="424">
        <v>6445750.1399999997</v>
      </c>
      <c r="X129" s="424">
        <v>12120288.17</v>
      </c>
      <c r="Y129" s="424">
        <v>5460795.4400000004</v>
      </c>
      <c r="Z129" s="424">
        <v>7180426.5800000001</v>
      </c>
      <c r="AA129" s="424">
        <v>10500116.49</v>
      </c>
      <c r="AB129" s="424">
        <v>862182.84</v>
      </c>
      <c r="AC129" s="424">
        <v>-294274.58</v>
      </c>
      <c r="AD129" s="424">
        <v>-1962054.58</v>
      </c>
      <c r="AE129" s="424">
        <v>635314.94999999995</v>
      </c>
      <c r="AF129" s="424">
        <v>5171794.68</v>
      </c>
      <c r="AG129" s="424">
        <v>754909.82</v>
      </c>
      <c r="AH129" s="424">
        <v>-245304.94</v>
      </c>
      <c r="AI129" s="424">
        <v>974483.56</v>
      </c>
      <c r="AJ129" s="424">
        <v>1653769.46</v>
      </c>
      <c r="AK129" s="424">
        <v>-1758664.2</v>
      </c>
      <c r="AL129" s="424">
        <v>931879.41</v>
      </c>
      <c r="AM129" s="424">
        <v>2798265.78</v>
      </c>
      <c r="AN129" s="424">
        <v>406586.12</v>
      </c>
      <c r="AO129" s="424">
        <v>2295894.17</v>
      </c>
      <c r="AP129" s="424">
        <v>9118697.0399999991</v>
      </c>
      <c r="AQ129" s="424">
        <v>2758104.16</v>
      </c>
      <c r="AR129" s="424">
        <v>3347998.82</v>
      </c>
      <c r="AS129" s="424">
        <v>1241235.23</v>
      </c>
      <c r="AT129" s="424">
        <v>1808177.56</v>
      </c>
      <c r="AU129" s="424">
        <v>2849249.55</v>
      </c>
      <c r="AV129" s="424">
        <v>9093905.9100000001</v>
      </c>
      <c r="AW129" s="424">
        <v>2027608.09</v>
      </c>
      <c r="AX129" s="424">
        <v>-2530646.96</v>
      </c>
      <c r="AY129" s="424">
        <v>16832566.91</v>
      </c>
      <c r="AZ129" s="424">
        <v>3621334.87</v>
      </c>
      <c r="BA129" s="424">
        <v>3544898.31</v>
      </c>
      <c r="BB129" s="424">
        <v>3084226.72</v>
      </c>
      <c r="BC129" s="424">
        <v>1183154.24</v>
      </c>
      <c r="BD129" s="424">
        <v>4359332.8899999997</v>
      </c>
      <c r="BE129" s="424">
        <v>940490.15</v>
      </c>
      <c r="BF129" s="424">
        <v>325062.06</v>
      </c>
      <c r="BG129" s="424">
        <v>4026891.89</v>
      </c>
      <c r="BH129" s="424">
        <v>918401.84</v>
      </c>
      <c r="BI129" s="424">
        <v>1560378.31</v>
      </c>
      <c r="BJ129" s="424"/>
      <c r="BK129" s="424">
        <v>197787526.25</v>
      </c>
      <c r="BL129" s="424"/>
      <c r="BM129" s="424">
        <f t="shared" ref="BM129:BX129" si="54">BM114+BM128</f>
        <v>0</v>
      </c>
      <c r="BN129" s="424">
        <f t="shared" si="54"/>
        <v>0</v>
      </c>
      <c r="BO129" s="424">
        <f t="shared" si="54"/>
        <v>0</v>
      </c>
      <c r="BP129" s="424">
        <f t="shared" si="54"/>
        <v>0</v>
      </c>
      <c r="BQ129" s="424">
        <f t="shared" si="54"/>
        <v>0</v>
      </c>
      <c r="BR129" s="424">
        <f t="shared" si="54"/>
        <v>0</v>
      </c>
      <c r="BS129" s="424">
        <f t="shared" si="54"/>
        <v>6945662</v>
      </c>
      <c r="BT129" s="424">
        <f t="shared" ref="BT129:BW129" si="55">BT114+BT128</f>
        <v>0</v>
      </c>
      <c r="BU129" s="424">
        <f t="shared" si="55"/>
        <v>0</v>
      </c>
      <c r="BV129" s="424">
        <f t="shared" si="55"/>
        <v>0</v>
      </c>
      <c r="BW129" s="424">
        <f t="shared" si="55"/>
        <v>-23132725</v>
      </c>
      <c r="BX129" s="424">
        <f t="shared" si="54"/>
        <v>-16187063</v>
      </c>
      <c r="BY129" s="424">
        <f t="shared" si="43"/>
        <v>181600463.25</v>
      </c>
      <c r="BZ129" s="487">
        <f t="shared" si="51"/>
        <v>181600</v>
      </c>
      <c r="CB129" s="20"/>
    </row>
    <row r="130" spans="1:81">
      <c r="A130" s="422">
        <v>2870</v>
      </c>
      <c r="B130" s="5" t="s">
        <v>300</v>
      </c>
      <c r="C130" s="7"/>
      <c r="D130" s="424">
        <v>0</v>
      </c>
      <c r="E130" s="424">
        <v>592476.02</v>
      </c>
      <c r="F130" s="424">
        <v>2194777.89</v>
      </c>
      <c r="G130" s="424">
        <v>277737.46000000002</v>
      </c>
      <c r="H130" s="424">
        <v>86420.17</v>
      </c>
      <c r="I130" s="424">
        <v>975700.03</v>
      </c>
      <c r="J130" s="424">
        <v>475137.45</v>
      </c>
      <c r="K130" s="424">
        <v>794804.91</v>
      </c>
      <c r="L130" s="424">
        <v>4069744.61</v>
      </c>
      <c r="M130" s="424">
        <v>763229.93</v>
      </c>
      <c r="N130" s="424">
        <v>715436.92</v>
      </c>
      <c r="O130" s="424">
        <v>982729.91</v>
      </c>
      <c r="P130" s="424">
        <v>3280065.46</v>
      </c>
      <c r="Q130" s="424">
        <v>2385177.02</v>
      </c>
      <c r="R130" s="424">
        <v>474322.45</v>
      </c>
      <c r="S130" s="424">
        <v>1138490.1599999999</v>
      </c>
      <c r="T130" s="424">
        <v>614079.9</v>
      </c>
      <c r="U130" s="424">
        <v>927369.72</v>
      </c>
      <c r="V130" s="424">
        <v>2167132.6800000002</v>
      </c>
      <c r="W130" s="424">
        <v>1176366.05</v>
      </c>
      <c r="X130" s="424">
        <v>34638819.090000004</v>
      </c>
      <c r="Y130" s="424">
        <v>161355.25</v>
      </c>
      <c r="Z130" s="424">
        <v>985737.63</v>
      </c>
      <c r="AA130" s="424">
        <v>2600277.48</v>
      </c>
      <c r="AB130" s="424">
        <v>284458.38</v>
      </c>
      <c r="AC130" s="424">
        <v>1685856.14</v>
      </c>
      <c r="AD130" s="424">
        <v>905351.76</v>
      </c>
      <c r="AE130" s="424">
        <v>9455383.5</v>
      </c>
      <c r="AF130" s="424">
        <v>420153.27</v>
      </c>
      <c r="AG130" s="424">
        <v>3062143.52</v>
      </c>
      <c r="AH130" s="424">
        <v>344308.76</v>
      </c>
      <c r="AI130" s="424">
        <v>312960.94</v>
      </c>
      <c r="AJ130" s="424">
        <v>82176.289999999994</v>
      </c>
      <c r="AK130" s="424">
        <v>633497.89</v>
      </c>
      <c r="AL130" s="424">
        <v>182410.11</v>
      </c>
      <c r="AM130" s="424">
        <v>2043482.82</v>
      </c>
      <c r="AN130" s="424">
        <v>1945101.44</v>
      </c>
      <c r="AO130" s="424">
        <v>38438.19</v>
      </c>
      <c r="AP130" s="424">
        <v>5953241.2800000003</v>
      </c>
      <c r="AQ130" s="424">
        <v>448953.08</v>
      </c>
      <c r="AR130" s="424">
        <v>3931210.55</v>
      </c>
      <c r="AS130" s="424">
        <v>231606.07</v>
      </c>
      <c r="AT130" s="424">
        <v>13179642.01</v>
      </c>
      <c r="AU130" s="424">
        <v>1307761.74</v>
      </c>
      <c r="AV130" s="424">
        <v>35517.480000000003</v>
      </c>
      <c r="AW130" s="424">
        <v>2026905.74</v>
      </c>
      <c r="AX130" s="424">
        <v>449471.93</v>
      </c>
      <c r="AY130" s="424">
        <v>27475.45</v>
      </c>
      <c r="AZ130" s="424">
        <v>2234059.5099999998</v>
      </c>
      <c r="BA130" s="424">
        <v>306090.59999999998</v>
      </c>
      <c r="BB130" s="424">
        <v>417901.13</v>
      </c>
      <c r="BC130" s="424">
        <v>745966.15</v>
      </c>
      <c r="BD130" s="424">
        <v>1476900.47</v>
      </c>
      <c r="BE130" s="424">
        <v>2989450.72</v>
      </c>
      <c r="BF130" s="424">
        <v>3268572.99</v>
      </c>
      <c r="BG130" s="424">
        <v>8708148.5099999998</v>
      </c>
      <c r="BH130" s="424">
        <v>575725.03</v>
      </c>
      <c r="BI130" s="424">
        <v>874378.7</v>
      </c>
      <c r="BJ130" s="424"/>
      <c r="BK130" s="352">
        <v>133062090.34</v>
      </c>
      <c r="BL130" s="352"/>
      <c r="BX130" s="431">
        <f t="shared" ref="BX130:BX135" si="56">SUM(BL130:BW130)</f>
        <v>0</v>
      </c>
      <c r="BY130" s="431">
        <f t="shared" si="43"/>
        <v>133062090.34</v>
      </c>
      <c r="BZ130" s="1">
        <f t="shared" si="51"/>
        <v>133062</v>
      </c>
      <c r="CB130" s="20"/>
    </row>
    <row r="131" spans="1:81">
      <c r="A131" s="422">
        <v>2860</v>
      </c>
      <c r="B131" s="5" t="s">
        <v>1909</v>
      </c>
      <c r="C131" s="7"/>
      <c r="D131" s="424">
        <v>14606743.24</v>
      </c>
      <c r="E131" s="424">
        <v>523416.27</v>
      </c>
      <c r="F131" s="424">
        <v>0</v>
      </c>
      <c r="G131" s="424">
        <v>762345.26</v>
      </c>
      <c r="H131" s="424">
        <v>27373.57</v>
      </c>
      <c r="I131" s="424">
        <v>16757133.09</v>
      </c>
      <c r="J131" s="424">
        <v>656004.56999999995</v>
      </c>
      <c r="K131" s="424">
        <v>230000</v>
      </c>
      <c r="L131" s="424">
        <v>50000</v>
      </c>
      <c r="M131" s="424">
        <v>504040.53</v>
      </c>
      <c r="N131" s="424">
        <v>1335949.77</v>
      </c>
      <c r="O131" s="424">
        <v>315620.87</v>
      </c>
      <c r="P131" s="424">
        <v>31046983.960000001</v>
      </c>
      <c r="Q131" s="424">
        <v>529988</v>
      </c>
      <c r="R131" s="424">
        <v>1435639.81</v>
      </c>
      <c r="S131" s="424">
        <v>817648.35</v>
      </c>
      <c r="T131" s="424">
        <v>500000</v>
      </c>
      <c r="U131" s="424">
        <v>511426</v>
      </c>
      <c r="V131" s="424">
        <v>2185504.4300000002</v>
      </c>
      <c r="W131" s="424">
        <v>753397.5</v>
      </c>
      <c r="X131" s="424">
        <v>6012622.8600000003</v>
      </c>
      <c r="Y131" s="424">
        <v>4370380.21</v>
      </c>
      <c r="Z131" s="424">
        <v>1440567.62</v>
      </c>
      <c r="AA131" s="424">
        <v>539452.42000000004</v>
      </c>
      <c r="AB131" s="424">
        <v>58725.83</v>
      </c>
      <c r="AC131" s="424">
        <v>42223.78</v>
      </c>
      <c r="AD131" s="424">
        <v>133298.73000000001</v>
      </c>
      <c r="AE131" s="424">
        <v>250000</v>
      </c>
      <c r="AF131" s="424">
        <v>9538676.6699999999</v>
      </c>
      <c r="AG131" s="424">
        <v>294075.92</v>
      </c>
      <c r="AH131" s="424">
        <v>60000</v>
      </c>
      <c r="AI131" s="424">
        <v>0</v>
      </c>
      <c r="AJ131" s="424">
        <v>148000</v>
      </c>
      <c r="AK131" s="424">
        <v>4627458.1900000004</v>
      </c>
      <c r="AL131" s="424">
        <v>0</v>
      </c>
      <c r="AM131" s="424">
        <v>415000</v>
      </c>
      <c r="AN131" s="424">
        <v>129745.56</v>
      </c>
      <c r="AO131" s="424">
        <v>647382.75</v>
      </c>
      <c r="AP131" s="424">
        <v>100000</v>
      </c>
      <c r="AQ131" s="424">
        <v>394762.15</v>
      </c>
      <c r="AR131" s="424">
        <v>0</v>
      </c>
      <c r="AS131" s="424">
        <v>29500</v>
      </c>
      <c r="AT131" s="424">
        <v>1000000</v>
      </c>
      <c r="AU131" s="424">
        <v>125371</v>
      </c>
      <c r="AV131" s="424">
        <v>771749.2</v>
      </c>
      <c r="AW131" s="424">
        <v>135.22</v>
      </c>
      <c r="AX131" s="424">
        <v>11032500.199999999</v>
      </c>
      <c r="AY131" s="424">
        <v>297486.90999999997</v>
      </c>
      <c r="AZ131" s="424">
        <v>546047.91</v>
      </c>
      <c r="BA131" s="424">
        <v>56946.91</v>
      </c>
      <c r="BB131" s="424">
        <v>71735.960000000006</v>
      </c>
      <c r="BC131" s="424">
        <v>0</v>
      </c>
      <c r="BD131" s="424">
        <v>381174.5</v>
      </c>
      <c r="BE131" s="424">
        <v>70193280.819999993</v>
      </c>
      <c r="BF131" s="424">
        <v>870592.61</v>
      </c>
      <c r="BG131" s="424">
        <v>0</v>
      </c>
      <c r="BH131" s="424">
        <v>718328.46</v>
      </c>
      <c r="BI131" s="424">
        <v>1836000</v>
      </c>
      <c r="BJ131" s="424"/>
      <c r="BK131" s="352">
        <v>190682437.61000001</v>
      </c>
      <c r="BL131" s="352"/>
      <c r="BX131" s="431">
        <f t="shared" si="56"/>
        <v>0</v>
      </c>
      <c r="BY131" s="431">
        <f t="shared" si="43"/>
        <v>190682437.61000001</v>
      </c>
      <c r="BZ131" s="1">
        <f t="shared" si="51"/>
        <v>190682</v>
      </c>
      <c r="CB131" s="20"/>
    </row>
    <row r="132" spans="1:81">
      <c r="A132" s="422">
        <v>2880</v>
      </c>
      <c r="B132" s="5" t="s">
        <v>476</v>
      </c>
      <c r="C132" s="419"/>
      <c r="D132" s="424">
        <v>75520.67</v>
      </c>
      <c r="E132" s="424">
        <v>15064304.210000001</v>
      </c>
      <c r="F132" s="424">
        <v>5079703.57</v>
      </c>
      <c r="G132" s="424">
        <v>1453348.29</v>
      </c>
      <c r="H132" s="424">
        <v>15803.12</v>
      </c>
      <c r="I132" s="424">
        <v>0</v>
      </c>
      <c r="J132" s="424">
        <v>33772.550000000003</v>
      </c>
      <c r="K132" s="424">
        <v>16625154.050000001</v>
      </c>
      <c r="L132" s="424">
        <v>826791.74</v>
      </c>
      <c r="M132" s="424">
        <v>0</v>
      </c>
      <c r="N132" s="424">
        <v>40236.46</v>
      </c>
      <c r="O132" s="424">
        <v>106191.91</v>
      </c>
      <c r="P132" s="424">
        <v>0</v>
      </c>
      <c r="Q132" s="424">
        <v>908739.19</v>
      </c>
      <c r="R132" s="424">
        <v>47820.41</v>
      </c>
      <c r="S132" s="424">
        <v>71911</v>
      </c>
      <c r="T132" s="424">
        <v>72446.53</v>
      </c>
      <c r="U132" s="424">
        <v>16306757.85</v>
      </c>
      <c r="V132" s="424">
        <v>131689.06</v>
      </c>
      <c r="W132" s="424">
        <v>109931.17</v>
      </c>
      <c r="X132" s="424">
        <v>961200</v>
      </c>
      <c r="Y132" s="424">
        <v>248140.68</v>
      </c>
      <c r="Z132" s="424">
        <v>2197049.33</v>
      </c>
      <c r="AA132" s="424">
        <v>3678586.05</v>
      </c>
      <c r="AB132" s="424">
        <v>141144.72</v>
      </c>
      <c r="AC132" s="424">
        <v>115696</v>
      </c>
      <c r="AD132" s="424">
        <v>129055.49</v>
      </c>
      <c r="AE132" s="424">
        <v>38403</v>
      </c>
      <c r="AF132" s="424">
        <v>5110423.09</v>
      </c>
      <c r="AG132" s="424">
        <v>12792986.880000001</v>
      </c>
      <c r="AH132" s="424">
        <v>59216.55</v>
      </c>
      <c r="AI132" s="424">
        <v>257815.38</v>
      </c>
      <c r="AJ132" s="424">
        <v>15322.59</v>
      </c>
      <c r="AK132" s="424">
        <v>115147.51</v>
      </c>
      <c r="AL132" s="424">
        <v>227331.56</v>
      </c>
      <c r="AM132" s="424">
        <v>44892.86</v>
      </c>
      <c r="AN132" s="424">
        <v>0</v>
      </c>
      <c r="AO132" s="424">
        <v>39179</v>
      </c>
      <c r="AP132" s="424">
        <v>449425.51</v>
      </c>
      <c r="AQ132" s="424">
        <v>33076.11</v>
      </c>
      <c r="AR132" s="424">
        <v>0</v>
      </c>
      <c r="AS132" s="424">
        <v>2342.29</v>
      </c>
      <c r="AT132" s="424">
        <v>111554.98</v>
      </c>
      <c r="AU132" s="424">
        <v>2000000</v>
      </c>
      <c r="AV132" s="424">
        <v>250909.48</v>
      </c>
      <c r="AW132" s="424">
        <v>2477653.08</v>
      </c>
      <c r="AX132" s="424">
        <v>0</v>
      </c>
      <c r="AY132" s="424">
        <v>22770</v>
      </c>
      <c r="AZ132" s="424">
        <v>170731.23</v>
      </c>
      <c r="BA132" s="424">
        <v>73883.38</v>
      </c>
      <c r="BB132" s="424">
        <v>0</v>
      </c>
      <c r="BC132" s="424">
        <v>1275000</v>
      </c>
      <c r="BD132" s="424">
        <v>0</v>
      </c>
      <c r="BE132" s="424">
        <v>738184.53</v>
      </c>
      <c r="BF132" s="424">
        <v>581481</v>
      </c>
      <c r="BG132" s="424">
        <v>85885.11</v>
      </c>
      <c r="BH132" s="424">
        <v>76181.73</v>
      </c>
      <c r="BI132" s="424">
        <v>15253.5</v>
      </c>
      <c r="BJ132" s="424"/>
      <c r="BK132" s="352">
        <v>91506044.400000006</v>
      </c>
      <c r="BL132" s="352"/>
      <c r="BS132" s="26">
        <v>26543</v>
      </c>
      <c r="BV132" s="26">
        <v>0</v>
      </c>
      <c r="BW132" s="26">
        <v>23132725</v>
      </c>
      <c r="BX132" s="431">
        <f t="shared" si="56"/>
        <v>23159268</v>
      </c>
      <c r="BY132" s="431">
        <f t="shared" si="43"/>
        <v>114665312.40000001</v>
      </c>
      <c r="BZ132" s="1">
        <f t="shared" si="51"/>
        <v>114665</v>
      </c>
      <c r="CB132" s="20"/>
    </row>
    <row r="133" spans="1:81">
      <c r="A133" s="422">
        <v>2890</v>
      </c>
      <c r="B133" s="5" t="s">
        <v>304</v>
      </c>
      <c r="C133" s="419"/>
      <c r="D133" s="424">
        <v>0</v>
      </c>
      <c r="E133" s="424">
        <v>525434</v>
      </c>
      <c r="F133" s="424">
        <v>485302.69</v>
      </c>
      <c r="G133" s="424">
        <v>0</v>
      </c>
      <c r="H133" s="424">
        <v>0</v>
      </c>
      <c r="I133" s="424">
        <v>0</v>
      </c>
      <c r="J133" s="424">
        <v>0</v>
      </c>
      <c r="K133" s="424">
        <v>50000</v>
      </c>
      <c r="L133" s="424">
        <v>138000</v>
      </c>
      <c r="M133" s="424">
        <v>5955.52</v>
      </c>
      <c r="N133" s="424">
        <v>640487.79</v>
      </c>
      <c r="O133" s="424">
        <v>0</v>
      </c>
      <c r="P133" s="424">
        <v>336875</v>
      </c>
      <c r="Q133" s="424">
        <v>584606.99</v>
      </c>
      <c r="R133" s="424">
        <v>0</v>
      </c>
      <c r="S133" s="424">
        <v>0</v>
      </c>
      <c r="T133" s="424">
        <v>51266</v>
      </c>
      <c r="U133" s="424">
        <v>0</v>
      </c>
      <c r="V133" s="424">
        <v>0</v>
      </c>
      <c r="W133" s="424">
        <v>0</v>
      </c>
      <c r="X133" s="424">
        <v>86815</v>
      </c>
      <c r="Y133" s="424">
        <v>0</v>
      </c>
      <c r="Z133" s="424">
        <v>429204.17</v>
      </c>
      <c r="AA133" s="424">
        <v>178604.14</v>
      </c>
      <c r="AB133" s="424">
        <v>0</v>
      </c>
      <c r="AC133" s="424">
        <v>3249344.09</v>
      </c>
      <c r="AD133" s="424">
        <v>24075</v>
      </c>
      <c r="AE133" s="424">
        <v>44000</v>
      </c>
      <c r="AF133" s="424">
        <v>0</v>
      </c>
      <c r="AG133" s="424">
        <v>0</v>
      </c>
      <c r="AH133" s="424">
        <v>0</v>
      </c>
      <c r="AI133" s="424">
        <v>1385591.61</v>
      </c>
      <c r="AJ133" s="424">
        <v>25200</v>
      </c>
      <c r="AK133" s="424">
        <v>156174</v>
      </c>
      <c r="AL133" s="424">
        <v>180917.78</v>
      </c>
      <c r="AM133" s="424">
        <v>112570</v>
      </c>
      <c r="AN133" s="424">
        <v>0</v>
      </c>
      <c r="AO133" s="424">
        <v>0</v>
      </c>
      <c r="AP133" s="424">
        <v>0</v>
      </c>
      <c r="AQ133" s="424">
        <v>0</v>
      </c>
      <c r="AR133" s="424">
        <v>0</v>
      </c>
      <c r="AS133" s="424">
        <v>0</v>
      </c>
      <c r="AT133" s="424">
        <v>180244.08</v>
      </c>
      <c r="AU133" s="424">
        <v>31827.5</v>
      </c>
      <c r="AV133" s="424">
        <v>0</v>
      </c>
      <c r="AW133" s="424">
        <v>0</v>
      </c>
      <c r="AX133" s="424">
        <v>0</v>
      </c>
      <c r="AY133" s="424">
        <v>0</v>
      </c>
      <c r="AZ133" s="424">
        <v>0</v>
      </c>
      <c r="BA133" s="424">
        <v>0</v>
      </c>
      <c r="BB133" s="424">
        <v>0</v>
      </c>
      <c r="BC133" s="424">
        <v>0</v>
      </c>
      <c r="BD133" s="424">
        <v>0</v>
      </c>
      <c r="BE133" s="424">
        <v>213949.56</v>
      </c>
      <c r="BF133" s="424">
        <v>683801.04</v>
      </c>
      <c r="BG133" s="424">
        <v>21000</v>
      </c>
      <c r="BH133" s="424">
        <v>267225.77</v>
      </c>
      <c r="BI133" s="424">
        <v>0</v>
      </c>
      <c r="BJ133" s="424"/>
      <c r="BK133" s="352">
        <v>10088471.73</v>
      </c>
      <c r="BL133" s="352"/>
      <c r="BX133" s="431">
        <f t="shared" si="56"/>
        <v>0</v>
      </c>
      <c r="BY133" s="431">
        <f t="shared" si="43"/>
        <v>10088471.73</v>
      </c>
      <c r="BZ133" s="1">
        <f t="shared" si="51"/>
        <v>10088</v>
      </c>
      <c r="CB133" s="20"/>
    </row>
    <row r="134" spans="1:81">
      <c r="A134" s="422">
        <v>2900</v>
      </c>
      <c r="B134" s="5" t="s">
        <v>305</v>
      </c>
      <c r="C134" s="5"/>
      <c r="D134" s="424">
        <v>0</v>
      </c>
      <c r="E134" s="424">
        <v>0</v>
      </c>
      <c r="F134" s="424">
        <v>0</v>
      </c>
      <c r="G134" s="424">
        <v>99851.73</v>
      </c>
      <c r="H134" s="424">
        <v>0</v>
      </c>
      <c r="I134" s="424">
        <v>0</v>
      </c>
      <c r="J134" s="424">
        <v>0</v>
      </c>
      <c r="K134" s="424">
        <v>0</v>
      </c>
      <c r="L134" s="424">
        <v>0</v>
      </c>
      <c r="M134" s="424">
        <v>0</v>
      </c>
      <c r="N134" s="424">
        <v>0</v>
      </c>
      <c r="O134" s="424">
        <v>0</v>
      </c>
      <c r="P134" s="424">
        <v>0</v>
      </c>
      <c r="Q134" s="424">
        <v>0</v>
      </c>
      <c r="R134" s="424">
        <v>92819</v>
      </c>
      <c r="S134" s="424">
        <v>0</v>
      </c>
      <c r="T134" s="424">
        <v>166687.75</v>
      </c>
      <c r="U134" s="424">
        <v>0</v>
      </c>
      <c r="V134" s="424">
        <v>0</v>
      </c>
      <c r="W134" s="424">
        <v>0</v>
      </c>
      <c r="X134" s="424">
        <v>0</v>
      </c>
      <c r="Y134" s="424">
        <v>0</v>
      </c>
      <c r="Z134" s="424">
        <v>143144.85999999999</v>
      </c>
      <c r="AA134" s="424">
        <v>0</v>
      </c>
      <c r="AB134" s="424">
        <v>45035</v>
      </c>
      <c r="AC134" s="424">
        <v>212705.49</v>
      </c>
      <c r="AD134" s="424">
        <v>0</v>
      </c>
      <c r="AE134" s="424">
        <v>0</v>
      </c>
      <c r="AF134" s="424">
        <v>0</v>
      </c>
      <c r="AG134" s="424">
        <v>0</v>
      </c>
      <c r="AH134" s="424">
        <v>0</v>
      </c>
      <c r="AI134" s="424">
        <v>0</v>
      </c>
      <c r="AJ134" s="424">
        <v>0</v>
      </c>
      <c r="AK134" s="424">
        <v>207823.4</v>
      </c>
      <c r="AL134" s="424">
        <v>0</v>
      </c>
      <c r="AM134" s="424">
        <v>0</v>
      </c>
      <c r="AN134" s="424">
        <v>29500</v>
      </c>
      <c r="AO134" s="424">
        <v>0</v>
      </c>
      <c r="AP134" s="424">
        <v>0</v>
      </c>
      <c r="AQ134" s="424">
        <v>0</v>
      </c>
      <c r="AR134" s="424">
        <v>0</v>
      </c>
      <c r="AS134" s="424">
        <v>0</v>
      </c>
      <c r="AT134" s="424">
        <v>0</v>
      </c>
      <c r="AU134" s="424">
        <v>400</v>
      </c>
      <c r="AV134" s="424">
        <v>0</v>
      </c>
      <c r="AW134" s="424">
        <v>0</v>
      </c>
      <c r="AX134" s="424">
        <v>2637819.89</v>
      </c>
      <c r="AY134" s="424">
        <v>0</v>
      </c>
      <c r="AZ134" s="424">
        <v>0</v>
      </c>
      <c r="BA134" s="424">
        <v>0</v>
      </c>
      <c r="BB134" s="424">
        <v>0</v>
      </c>
      <c r="BC134" s="424">
        <v>0</v>
      </c>
      <c r="BD134" s="424">
        <v>0</v>
      </c>
      <c r="BE134" s="424">
        <v>0</v>
      </c>
      <c r="BF134" s="424">
        <v>0</v>
      </c>
      <c r="BG134" s="424">
        <v>0</v>
      </c>
      <c r="BH134" s="424">
        <v>78561.119999999995</v>
      </c>
      <c r="BI134" s="424">
        <v>0</v>
      </c>
      <c r="BJ134" s="424"/>
      <c r="BK134" s="352">
        <v>3714348.24</v>
      </c>
      <c r="BL134" s="352"/>
      <c r="BX134" s="431">
        <f t="shared" si="56"/>
        <v>0</v>
      </c>
      <c r="BY134" s="431">
        <f t="shared" si="43"/>
        <v>3714348.24</v>
      </c>
      <c r="BZ134" s="1">
        <f t="shared" si="51"/>
        <v>3714</v>
      </c>
      <c r="CA134" s="1">
        <v>0</v>
      </c>
      <c r="CB134" s="20"/>
    </row>
    <row r="135" spans="1:81">
      <c r="A135" s="422">
        <v>2950</v>
      </c>
      <c r="B135" s="5" t="s">
        <v>306</v>
      </c>
      <c r="C135" s="5"/>
      <c r="D135" s="424">
        <v>0</v>
      </c>
      <c r="E135" s="424">
        <v>0</v>
      </c>
      <c r="F135" s="424">
        <v>0</v>
      </c>
      <c r="G135" s="424">
        <v>0</v>
      </c>
      <c r="H135" s="424">
        <v>0</v>
      </c>
      <c r="I135" s="424">
        <v>0</v>
      </c>
      <c r="J135" s="424">
        <v>0</v>
      </c>
      <c r="K135" s="424">
        <v>0</v>
      </c>
      <c r="L135" s="424">
        <v>0</v>
      </c>
      <c r="M135" s="424">
        <v>0</v>
      </c>
      <c r="N135" s="424">
        <v>0</v>
      </c>
      <c r="O135" s="424">
        <v>0</v>
      </c>
      <c r="P135" s="424">
        <v>0</v>
      </c>
      <c r="Q135" s="424">
        <v>0</v>
      </c>
      <c r="R135" s="424">
        <v>0</v>
      </c>
      <c r="S135" s="424">
        <v>0</v>
      </c>
      <c r="T135" s="424">
        <v>0</v>
      </c>
      <c r="U135" s="424">
        <v>0</v>
      </c>
      <c r="V135" s="424">
        <v>0</v>
      </c>
      <c r="W135" s="424">
        <v>0</v>
      </c>
      <c r="X135" s="424">
        <v>0</v>
      </c>
      <c r="Y135" s="424">
        <v>0</v>
      </c>
      <c r="Z135" s="424">
        <v>0</v>
      </c>
      <c r="AA135" s="424">
        <v>0</v>
      </c>
      <c r="AB135" s="424">
        <v>0</v>
      </c>
      <c r="AC135" s="424">
        <v>0</v>
      </c>
      <c r="AD135" s="424">
        <v>0</v>
      </c>
      <c r="AE135" s="424">
        <v>0</v>
      </c>
      <c r="AF135" s="424">
        <v>0</v>
      </c>
      <c r="AG135" s="424">
        <v>0</v>
      </c>
      <c r="AH135" s="424">
        <v>0</v>
      </c>
      <c r="AI135" s="424">
        <v>0</v>
      </c>
      <c r="AJ135" s="424">
        <v>0</v>
      </c>
      <c r="AK135" s="424">
        <v>0</v>
      </c>
      <c r="AL135" s="424">
        <v>0</v>
      </c>
      <c r="AM135" s="424">
        <v>0</v>
      </c>
      <c r="AN135" s="424">
        <v>0</v>
      </c>
      <c r="AO135" s="424">
        <v>0</v>
      </c>
      <c r="AP135" s="424">
        <v>0</v>
      </c>
      <c r="AQ135" s="424">
        <v>0</v>
      </c>
      <c r="AR135" s="424">
        <v>0</v>
      </c>
      <c r="AS135" s="424">
        <v>0</v>
      </c>
      <c r="AT135" s="424">
        <v>0</v>
      </c>
      <c r="AU135" s="424">
        <v>0</v>
      </c>
      <c r="AV135" s="424">
        <v>0</v>
      </c>
      <c r="AW135" s="424">
        <v>0</v>
      </c>
      <c r="AX135" s="424">
        <v>0</v>
      </c>
      <c r="AY135" s="424">
        <v>0</v>
      </c>
      <c r="AZ135" s="424">
        <v>0</v>
      </c>
      <c r="BA135" s="424">
        <v>0</v>
      </c>
      <c r="BB135" s="424">
        <v>0</v>
      </c>
      <c r="BC135" s="424">
        <v>0</v>
      </c>
      <c r="BD135" s="424">
        <v>0</v>
      </c>
      <c r="BE135" s="424">
        <v>0</v>
      </c>
      <c r="BF135" s="424">
        <v>0</v>
      </c>
      <c r="BG135" s="424">
        <v>0</v>
      </c>
      <c r="BH135" s="424">
        <v>0</v>
      </c>
      <c r="BI135" s="424">
        <v>0</v>
      </c>
      <c r="BJ135" s="424"/>
      <c r="BK135" s="352">
        <v>0</v>
      </c>
      <c r="BL135" s="352"/>
      <c r="BX135" s="431">
        <f t="shared" si="56"/>
        <v>0</v>
      </c>
      <c r="BY135" s="431">
        <f t="shared" si="43"/>
        <v>0</v>
      </c>
      <c r="BZ135" s="1">
        <f t="shared" si="51"/>
        <v>0</v>
      </c>
      <c r="CA135" s="1">
        <v>0</v>
      </c>
      <c r="CB135" s="20"/>
    </row>
    <row r="136" spans="1:81">
      <c r="A136" s="422">
        <v>2951</v>
      </c>
      <c r="B136" s="5" t="s">
        <v>307</v>
      </c>
      <c r="C136" s="5"/>
      <c r="D136" s="424">
        <v>0</v>
      </c>
      <c r="E136" s="424">
        <v>0</v>
      </c>
      <c r="F136" s="424">
        <v>0</v>
      </c>
      <c r="G136" s="424">
        <v>0</v>
      </c>
      <c r="H136" s="424">
        <v>0</v>
      </c>
      <c r="I136" s="424">
        <v>0</v>
      </c>
      <c r="J136" s="424">
        <v>0</v>
      </c>
      <c r="K136" s="424">
        <v>0</v>
      </c>
      <c r="L136" s="424">
        <v>0</v>
      </c>
      <c r="M136" s="424">
        <v>0</v>
      </c>
      <c r="N136" s="424">
        <v>0</v>
      </c>
      <c r="O136" s="424">
        <v>0</v>
      </c>
      <c r="P136" s="424">
        <v>0</v>
      </c>
      <c r="Q136" s="424">
        <v>0</v>
      </c>
      <c r="R136" s="424">
        <v>0</v>
      </c>
      <c r="S136" s="424">
        <v>0</v>
      </c>
      <c r="T136" s="424">
        <v>0</v>
      </c>
      <c r="U136" s="424">
        <v>0</v>
      </c>
      <c r="V136" s="424">
        <v>0</v>
      </c>
      <c r="W136" s="424">
        <v>0</v>
      </c>
      <c r="X136" s="424">
        <v>0</v>
      </c>
      <c r="Y136" s="424">
        <v>0</v>
      </c>
      <c r="Z136" s="424">
        <v>0</v>
      </c>
      <c r="AA136" s="424">
        <v>0</v>
      </c>
      <c r="AB136" s="424">
        <v>0</v>
      </c>
      <c r="AC136" s="424">
        <v>0</v>
      </c>
      <c r="AD136" s="424">
        <v>0</v>
      </c>
      <c r="AE136" s="424">
        <v>0</v>
      </c>
      <c r="AF136" s="424">
        <v>0</v>
      </c>
      <c r="AG136" s="424">
        <v>0</v>
      </c>
      <c r="AH136" s="424">
        <v>0</v>
      </c>
      <c r="AI136" s="424">
        <v>0</v>
      </c>
      <c r="AJ136" s="424">
        <v>0</v>
      </c>
      <c r="AK136" s="424">
        <v>0</v>
      </c>
      <c r="AL136" s="424">
        <v>0</v>
      </c>
      <c r="AM136" s="424">
        <v>0</v>
      </c>
      <c r="AN136" s="424">
        <v>0</v>
      </c>
      <c r="AO136" s="424">
        <v>0</v>
      </c>
      <c r="AP136" s="424">
        <v>0</v>
      </c>
      <c r="AQ136" s="424">
        <v>0</v>
      </c>
      <c r="AR136" s="424">
        <v>0</v>
      </c>
      <c r="AS136" s="424">
        <v>0</v>
      </c>
      <c r="AT136" s="424">
        <v>0</v>
      </c>
      <c r="AU136" s="424">
        <v>0</v>
      </c>
      <c r="AV136" s="424">
        <v>0</v>
      </c>
      <c r="AW136" s="424">
        <v>0</v>
      </c>
      <c r="AX136" s="424">
        <v>0</v>
      </c>
      <c r="AY136" s="424">
        <v>0</v>
      </c>
      <c r="AZ136" s="424">
        <v>0</v>
      </c>
      <c r="BA136" s="424">
        <v>0</v>
      </c>
      <c r="BB136" s="424">
        <v>0</v>
      </c>
      <c r="BC136" s="424">
        <v>0</v>
      </c>
      <c r="BD136" s="424">
        <v>0</v>
      </c>
      <c r="BE136" s="424">
        <v>0</v>
      </c>
      <c r="BF136" s="424">
        <v>0</v>
      </c>
      <c r="BG136" s="424">
        <v>0</v>
      </c>
      <c r="BH136" s="424">
        <v>0</v>
      </c>
      <c r="BI136" s="424">
        <v>0</v>
      </c>
      <c r="BJ136" s="424"/>
      <c r="BK136" s="432">
        <v>0</v>
      </c>
      <c r="BL136" s="432"/>
      <c r="BM136" s="432"/>
      <c r="BN136" s="432"/>
      <c r="BO136" s="432"/>
      <c r="BP136" s="432"/>
      <c r="BQ136" s="432"/>
      <c r="BR136" s="352"/>
      <c r="BS136" s="927">
        <v>0</v>
      </c>
      <c r="BT136" s="352"/>
      <c r="BU136" s="352"/>
      <c r="BV136" s="352"/>
      <c r="BW136" s="352"/>
      <c r="BX136" s="431">
        <v>0</v>
      </c>
      <c r="BY136" s="431">
        <f t="shared" si="43"/>
        <v>0</v>
      </c>
      <c r="BZ136" s="1">
        <f t="shared" si="51"/>
        <v>0</v>
      </c>
      <c r="CB136" s="20"/>
    </row>
    <row r="137" spans="1:81">
      <c r="B137" s="5" t="s">
        <v>308</v>
      </c>
      <c r="C137" s="5"/>
      <c r="D137" s="775">
        <v>19624457.120000001</v>
      </c>
      <c r="E137" s="775">
        <v>19510051.050000001</v>
      </c>
      <c r="F137" s="775">
        <v>11754163.960000001</v>
      </c>
      <c r="G137" s="775">
        <v>5711775.5999999996</v>
      </c>
      <c r="H137" s="775">
        <v>2937995.93</v>
      </c>
      <c r="I137" s="775">
        <v>21024803.649999999</v>
      </c>
      <c r="J137" s="775">
        <v>2744786.48</v>
      </c>
      <c r="K137" s="775">
        <v>21894212.140000001</v>
      </c>
      <c r="L137" s="775">
        <v>9750709.2100000009</v>
      </c>
      <c r="M137" s="775">
        <v>1415213.33</v>
      </c>
      <c r="N137" s="775">
        <v>2959503.54</v>
      </c>
      <c r="O137" s="775">
        <v>4149608.38</v>
      </c>
      <c r="P137" s="775">
        <v>56586999.840000004</v>
      </c>
      <c r="Q137" s="775">
        <v>5802044.1200000001</v>
      </c>
      <c r="R137" s="775">
        <v>7212708.4000000004</v>
      </c>
      <c r="S137" s="775">
        <v>2282853.17</v>
      </c>
      <c r="T137" s="775">
        <v>2700652.95</v>
      </c>
      <c r="U137" s="775">
        <v>20096008.609999999</v>
      </c>
      <c r="V137" s="775">
        <v>11333879.359999999</v>
      </c>
      <c r="W137" s="775">
        <v>8485444.8599999994</v>
      </c>
      <c r="X137" s="775">
        <v>53819745.119999997</v>
      </c>
      <c r="Y137" s="775">
        <v>10240671.58</v>
      </c>
      <c r="Z137" s="775">
        <v>12376130.189999999</v>
      </c>
      <c r="AA137" s="775">
        <v>17497036.579999998</v>
      </c>
      <c r="AB137" s="775">
        <v>1391546.77</v>
      </c>
      <c r="AC137" s="775">
        <v>5011550.92</v>
      </c>
      <c r="AD137" s="775">
        <v>-770273.6</v>
      </c>
      <c r="AE137" s="775">
        <v>10423101.449999999</v>
      </c>
      <c r="AF137" s="775">
        <v>20241047.710000001</v>
      </c>
      <c r="AG137" s="775">
        <v>16904116.140000001</v>
      </c>
      <c r="AH137" s="775">
        <v>218220.37</v>
      </c>
      <c r="AI137" s="775">
        <v>2930851.49</v>
      </c>
      <c r="AJ137" s="775">
        <v>1924468.34</v>
      </c>
      <c r="AK137" s="775">
        <v>3981436.79</v>
      </c>
      <c r="AL137" s="775">
        <v>1522538.86</v>
      </c>
      <c r="AM137" s="775">
        <v>5414211.46</v>
      </c>
      <c r="AN137" s="775">
        <v>2510933.12</v>
      </c>
      <c r="AO137" s="775">
        <v>3020894.11</v>
      </c>
      <c r="AP137" s="775">
        <v>15621363.83</v>
      </c>
      <c r="AQ137" s="775">
        <v>3634895.5</v>
      </c>
      <c r="AR137" s="775">
        <v>7279209.3700000001</v>
      </c>
      <c r="AS137" s="775">
        <v>1504683.59</v>
      </c>
      <c r="AT137" s="775">
        <v>16279618.630000001</v>
      </c>
      <c r="AU137" s="775">
        <v>6314609.79</v>
      </c>
      <c r="AV137" s="775">
        <v>10152082.07</v>
      </c>
      <c r="AW137" s="775">
        <v>6532302.1299999999</v>
      </c>
      <c r="AX137" s="775">
        <v>11589145.060000001</v>
      </c>
      <c r="AY137" s="775">
        <v>17180299.27</v>
      </c>
      <c r="AZ137" s="775">
        <v>6572173.5199999996</v>
      </c>
      <c r="BA137" s="775">
        <v>3981819.2</v>
      </c>
      <c r="BB137" s="775">
        <v>3573863.81</v>
      </c>
      <c r="BC137" s="775">
        <v>3204120.39</v>
      </c>
      <c r="BD137" s="775">
        <v>6217407.8600000003</v>
      </c>
      <c r="BE137" s="775">
        <v>75075355.780000001</v>
      </c>
      <c r="BF137" s="775">
        <v>5729509.7000000002</v>
      </c>
      <c r="BG137" s="775">
        <v>12841925.51</v>
      </c>
      <c r="BH137" s="775">
        <v>2634423.9500000002</v>
      </c>
      <c r="BI137" s="775">
        <v>4286010.51</v>
      </c>
      <c r="BJ137" s="424"/>
      <c r="BK137" s="775">
        <v>626840918.57000005</v>
      </c>
      <c r="BL137" s="775">
        <v>0</v>
      </c>
      <c r="BM137" s="775">
        <f t="shared" ref="BM137:BQ137" si="57">SUM(BM129:BM136)</f>
        <v>0</v>
      </c>
      <c r="BN137" s="775">
        <f t="shared" si="57"/>
        <v>0</v>
      </c>
      <c r="BO137" s="775">
        <f t="shared" si="57"/>
        <v>0</v>
      </c>
      <c r="BP137" s="775">
        <f t="shared" si="57"/>
        <v>0</v>
      </c>
      <c r="BQ137" s="775">
        <f t="shared" si="57"/>
        <v>0</v>
      </c>
      <c r="BR137" s="775">
        <f>SUM(BR129:BR136)</f>
        <v>0</v>
      </c>
      <c r="BS137" s="775">
        <f>SUM(BS129:BS136)</f>
        <v>6972205</v>
      </c>
      <c r="BT137" s="775">
        <f t="shared" ref="BT137:BW137" si="58">SUM(BT129:BT136)</f>
        <v>0</v>
      </c>
      <c r="BU137" s="775">
        <f t="shared" si="58"/>
        <v>0</v>
      </c>
      <c r="BV137" s="775">
        <f t="shared" si="58"/>
        <v>0</v>
      </c>
      <c r="BW137" s="775">
        <f t="shared" si="58"/>
        <v>0</v>
      </c>
      <c r="BX137" s="775">
        <f>SUM(BX129:BX136)</f>
        <v>6972205</v>
      </c>
      <c r="BY137" s="928">
        <f t="shared" si="43"/>
        <v>633813123.57000005</v>
      </c>
      <c r="BZ137" s="912">
        <f t="shared" si="51"/>
        <v>633813</v>
      </c>
      <c r="CB137" s="20"/>
    </row>
    <row r="138" spans="1:81">
      <c r="B138" s="7" t="s">
        <v>237</v>
      </c>
      <c r="C138" s="5"/>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4"/>
      <c r="AM138" s="424"/>
      <c r="AN138" s="424"/>
      <c r="AO138" s="424"/>
      <c r="AP138" s="424"/>
      <c r="AQ138" s="424"/>
      <c r="AR138" s="424"/>
      <c r="AS138" s="424"/>
      <c r="AT138" s="424"/>
      <c r="AU138" s="424"/>
      <c r="AV138" s="424"/>
      <c r="AW138" s="424"/>
      <c r="AX138" s="424"/>
      <c r="AY138" s="424"/>
      <c r="AZ138" s="424"/>
      <c r="BA138" s="424"/>
      <c r="BB138" s="424"/>
      <c r="BC138" s="424"/>
      <c r="BD138" s="424"/>
      <c r="BE138" s="424"/>
      <c r="BF138" s="424"/>
      <c r="BG138" s="424"/>
      <c r="BH138" s="424"/>
      <c r="BI138" s="424"/>
      <c r="BJ138" s="424"/>
      <c r="BK138" s="352"/>
      <c r="BL138" s="352"/>
      <c r="BX138" s="431"/>
      <c r="BY138" s="929"/>
      <c r="CB138" s="20"/>
    </row>
    <row r="139" spans="1:81">
      <c r="A139" s="422">
        <v>2980</v>
      </c>
      <c r="B139" s="5" t="s">
        <v>309</v>
      </c>
      <c r="C139" s="5"/>
      <c r="D139" s="424">
        <v>21265670.600000001</v>
      </c>
      <c r="E139" s="424">
        <v>23823040.649999999</v>
      </c>
      <c r="F139" s="424">
        <v>92602923.5</v>
      </c>
      <c r="G139" s="424">
        <v>5495485.6900000004</v>
      </c>
      <c r="H139" s="424">
        <v>3258766.7</v>
      </c>
      <c r="I139" s="424">
        <v>31589542.890000001</v>
      </c>
      <c r="J139" s="424">
        <v>24825912.18</v>
      </c>
      <c r="K139" s="424">
        <v>17860926.640000001</v>
      </c>
      <c r="L139" s="424">
        <v>186819343.88</v>
      </c>
      <c r="M139" s="424">
        <v>17864758.940000001</v>
      </c>
      <c r="N139" s="424">
        <v>37509526.079999998</v>
      </c>
      <c r="O139" s="424">
        <v>6393673.3200000003</v>
      </c>
      <c r="P139" s="424">
        <v>429900050.12</v>
      </c>
      <c r="Q139" s="424">
        <v>15158675.640000001</v>
      </c>
      <c r="R139" s="424">
        <v>23602523.390000001</v>
      </c>
      <c r="S139" s="424">
        <v>15308568.199999999</v>
      </c>
      <c r="T139" s="424">
        <v>20082343.800000001</v>
      </c>
      <c r="U139" s="424">
        <v>19643426.170000002</v>
      </c>
      <c r="V139" s="424">
        <v>19666604.02</v>
      </c>
      <c r="W139" s="424">
        <v>6193117.3499999996</v>
      </c>
      <c r="X139" s="424">
        <v>26887709.18</v>
      </c>
      <c r="Y139" s="424">
        <v>55375101.539999999</v>
      </c>
      <c r="Z139" s="424">
        <v>45096935.649999999</v>
      </c>
      <c r="AA139" s="424">
        <v>207403793.75999999</v>
      </c>
      <c r="AB139" s="424">
        <v>2757462.21</v>
      </c>
      <c r="AC139" s="424">
        <v>37667029.109999999</v>
      </c>
      <c r="AD139" s="424">
        <v>24185824.93</v>
      </c>
      <c r="AE139" s="424">
        <v>3175927.2</v>
      </c>
      <c r="AF139" s="424">
        <v>19244850.620000001</v>
      </c>
      <c r="AG139" s="424">
        <v>-9947982.9399999995</v>
      </c>
      <c r="AH139" s="424">
        <v>719854.23</v>
      </c>
      <c r="AI139" s="424">
        <v>7490840.9000000004</v>
      </c>
      <c r="AJ139" s="424">
        <v>569898.25</v>
      </c>
      <c r="AK139" s="424">
        <v>49419118.280000001</v>
      </c>
      <c r="AL139" s="424">
        <v>2532319.13</v>
      </c>
      <c r="AM139" s="424">
        <v>-19475.97</v>
      </c>
      <c r="AN139" s="424">
        <v>2555555.29</v>
      </c>
      <c r="AO139" s="424">
        <v>-3831850.85</v>
      </c>
      <c r="AP139" s="424">
        <v>27820962.98</v>
      </c>
      <c r="AQ139" s="424">
        <v>21518866.449999999</v>
      </c>
      <c r="AR139" s="424">
        <v>-150593.35</v>
      </c>
      <c r="AS139" s="424">
        <v>-2568155.64</v>
      </c>
      <c r="AT139" s="424">
        <v>2345654.08</v>
      </c>
      <c r="AU139" s="424">
        <v>10347954.27</v>
      </c>
      <c r="AV139" s="424">
        <v>52576400.780000001</v>
      </c>
      <c r="AW139" s="424">
        <v>2887632.9</v>
      </c>
      <c r="AX139" s="424">
        <v>64734464.240000002</v>
      </c>
      <c r="AY139" s="424">
        <v>7171261.6900000004</v>
      </c>
      <c r="AZ139" s="424">
        <v>30588987.100000001</v>
      </c>
      <c r="BA139" s="424">
        <v>-11167041.17</v>
      </c>
      <c r="BB139" s="424">
        <v>1669341.06</v>
      </c>
      <c r="BC139" s="424">
        <v>1410801.33</v>
      </c>
      <c r="BD139" s="424">
        <v>9594868.9100000001</v>
      </c>
      <c r="BE139" s="424">
        <v>345247317.92000002</v>
      </c>
      <c r="BF139" s="424">
        <v>1689992.67</v>
      </c>
      <c r="BG139" s="424">
        <v>11907503.380000001</v>
      </c>
      <c r="BH139" s="424">
        <v>15677541.1</v>
      </c>
      <c r="BI139" s="925">
        <v>-674654.11</v>
      </c>
      <c r="BJ139" s="424"/>
      <c r="BK139" s="352">
        <v>2082776896.8699999</v>
      </c>
      <c r="BL139" s="352">
        <v>-24732000</v>
      </c>
      <c r="BM139" s="352"/>
      <c r="BN139" s="352"/>
      <c r="BO139" s="352"/>
      <c r="BP139" s="352"/>
      <c r="BQ139" s="352"/>
      <c r="BR139" s="352"/>
      <c r="BS139" s="352">
        <v>-32077148</v>
      </c>
      <c r="BT139" s="352">
        <v>0</v>
      </c>
      <c r="BU139" s="352">
        <v>0</v>
      </c>
      <c r="BV139" s="352">
        <v>0</v>
      </c>
      <c r="BW139" s="352">
        <v>0</v>
      </c>
      <c r="BX139" s="431">
        <f t="shared" ref="BX139:BX141" si="59">SUM(BL139:BW139)</f>
        <v>-56809148</v>
      </c>
      <c r="BY139" s="930">
        <f>BK139+BX139</f>
        <v>2025967748.8699999</v>
      </c>
      <c r="BZ139" s="1">
        <f>ROUND(BY139/1000,0)+CA139</f>
        <v>2025968</v>
      </c>
      <c r="CA139" s="1">
        <v>0</v>
      </c>
      <c r="CB139" s="20"/>
    </row>
    <row r="140" spans="1:81">
      <c r="A140" s="422">
        <v>2990</v>
      </c>
      <c r="B140" s="5" t="s">
        <v>310</v>
      </c>
      <c r="C140" s="5"/>
      <c r="D140" s="424">
        <v>608481.85</v>
      </c>
      <c r="E140" s="424">
        <v>-592856.32999999996</v>
      </c>
      <c r="F140" s="424">
        <v>3143759.65</v>
      </c>
      <c r="G140" s="424">
        <v>-394564.5</v>
      </c>
      <c r="H140" s="424">
        <v>-177622</v>
      </c>
      <c r="I140" s="424">
        <v>-743220.49</v>
      </c>
      <c r="J140" s="424">
        <v>-179710.86</v>
      </c>
      <c r="K140" s="424">
        <v>-126314.89</v>
      </c>
      <c r="L140" s="424">
        <v>-3141988.49</v>
      </c>
      <c r="M140" s="424">
        <v>0</v>
      </c>
      <c r="N140" s="424">
        <v>0</v>
      </c>
      <c r="O140" s="424">
        <v>0</v>
      </c>
      <c r="P140" s="424">
        <v>255293.38</v>
      </c>
      <c r="Q140" s="424">
        <v>149453.88</v>
      </c>
      <c r="R140" s="424">
        <v>0</v>
      </c>
      <c r="S140" s="424">
        <v>0</v>
      </c>
      <c r="T140" s="424">
        <v>-111589.73</v>
      </c>
      <c r="U140" s="424">
        <v>-785178.57</v>
      </c>
      <c r="V140" s="424">
        <v>-59053.69</v>
      </c>
      <c r="W140" s="424">
        <v>0</v>
      </c>
      <c r="X140" s="424">
        <v>0</v>
      </c>
      <c r="Y140" s="424">
        <v>1329.51</v>
      </c>
      <c r="Z140" s="424">
        <v>-43254.33</v>
      </c>
      <c r="AA140" s="424">
        <v>-1701617.51</v>
      </c>
      <c r="AB140" s="424">
        <v>0</v>
      </c>
      <c r="AC140" s="424">
        <v>-139212.06</v>
      </c>
      <c r="AD140" s="424">
        <v>-47097.72</v>
      </c>
      <c r="AE140" s="424">
        <v>160000</v>
      </c>
      <c r="AF140" s="424">
        <v>0</v>
      </c>
      <c r="AG140" s="424">
        <v>0</v>
      </c>
      <c r="AH140" s="424">
        <v>-37961</v>
      </c>
      <c r="AI140" s="424">
        <v>1110343.8</v>
      </c>
      <c r="AJ140" s="424">
        <v>0</v>
      </c>
      <c r="AK140" s="424">
        <v>0</v>
      </c>
      <c r="AL140" s="424">
        <v>-228042.06</v>
      </c>
      <c r="AM140" s="424">
        <v>0</v>
      </c>
      <c r="AN140" s="424">
        <v>-46075.5</v>
      </c>
      <c r="AO140" s="424">
        <v>812696.21</v>
      </c>
      <c r="AP140" s="424">
        <v>0</v>
      </c>
      <c r="AQ140" s="424">
        <v>0</v>
      </c>
      <c r="AR140" s="424">
        <v>0</v>
      </c>
      <c r="AS140" s="424">
        <v>486014.52</v>
      </c>
      <c r="AT140" s="424">
        <v>0</v>
      </c>
      <c r="AU140" s="424">
        <v>0</v>
      </c>
      <c r="AV140" s="424">
        <v>-1541062.48</v>
      </c>
      <c r="AW140" s="424">
        <v>0</v>
      </c>
      <c r="AX140" s="424">
        <v>720728.04</v>
      </c>
      <c r="AY140" s="424">
        <v>0</v>
      </c>
      <c r="AZ140" s="424">
        <v>0</v>
      </c>
      <c r="BA140" s="424">
        <v>1567051.1</v>
      </c>
      <c r="BB140" s="424">
        <v>0</v>
      </c>
      <c r="BC140" s="424">
        <v>0</v>
      </c>
      <c r="BD140" s="424">
        <v>0</v>
      </c>
      <c r="BE140" s="424">
        <v>0</v>
      </c>
      <c r="BF140" s="424">
        <v>364987</v>
      </c>
      <c r="BG140" s="424">
        <v>0</v>
      </c>
      <c r="BH140" s="424">
        <v>0</v>
      </c>
      <c r="BI140" s="925">
        <v>25645</v>
      </c>
      <c r="BJ140" s="424"/>
      <c r="BK140" s="352">
        <v>-690638.27</v>
      </c>
      <c r="BL140" s="352"/>
      <c r="BM140" s="352"/>
      <c r="BN140" s="352"/>
      <c r="BO140" s="352"/>
      <c r="BP140" s="352"/>
      <c r="BQ140" s="352"/>
      <c r="BR140" s="352"/>
      <c r="BS140" s="352"/>
      <c r="BT140" s="352"/>
      <c r="BU140" s="352"/>
      <c r="BV140" s="352"/>
      <c r="BW140" s="352"/>
      <c r="BX140" s="431">
        <f t="shared" si="59"/>
        <v>0</v>
      </c>
      <c r="BY140" s="929">
        <f t="shared" si="43"/>
        <v>-690638.27</v>
      </c>
      <c r="BZ140" s="1">
        <f>ROUND(BY140/1000,0)+CA140</f>
        <v>-691</v>
      </c>
      <c r="CB140" s="431"/>
      <c r="CC140" s="431"/>
    </row>
    <row r="141" spans="1:81" ht="10.8" thickBot="1">
      <c r="B141" s="5" t="s">
        <v>311</v>
      </c>
      <c r="C141" s="5"/>
      <c r="D141" s="436">
        <v>41498609.57</v>
      </c>
      <c r="E141" s="436">
        <v>42740235.369999997</v>
      </c>
      <c r="F141" s="436">
        <v>107500847.11</v>
      </c>
      <c r="G141" s="436">
        <v>10812696.789999999</v>
      </c>
      <c r="H141" s="436">
        <v>6019140.6299999999</v>
      </c>
      <c r="I141" s="436">
        <v>51871126.049999997</v>
      </c>
      <c r="J141" s="436">
        <v>27390987.800000001</v>
      </c>
      <c r="K141" s="436">
        <v>39628823.890000001</v>
      </c>
      <c r="L141" s="436">
        <v>193428064.59999999</v>
      </c>
      <c r="M141" s="436">
        <v>19279972.27</v>
      </c>
      <c r="N141" s="436">
        <v>40469029.619999997</v>
      </c>
      <c r="O141" s="436">
        <v>10543281.699999999</v>
      </c>
      <c r="P141" s="436">
        <v>486742343.33999997</v>
      </c>
      <c r="Q141" s="436">
        <v>21110173.640000001</v>
      </c>
      <c r="R141" s="436">
        <v>30815231.789999999</v>
      </c>
      <c r="S141" s="436">
        <v>17591421.370000001</v>
      </c>
      <c r="T141" s="436">
        <v>22671407.02</v>
      </c>
      <c r="U141" s="436">
        <v>38954256.210000001</v>
      </c>
      <c r="V141" s="436">
        <v>30941429.690000001</v>
      </c>
      <c r="W141" s="436">
        <v>14678562.210000001</v>
      </c>
      <c r="X141" s="436">
        <v>80707454.299999997</v>
      </c>
      <c r="Y141" s="436">
        <v>65617102.630000003</v>
      </c>
      <c r="Z141" s="436">
        <v>57429811.509999998</v>
      </c>
      <c r="AA141" s="436">
        <v>223199212.83000001</v>
      </c>
      <c r="AB141" s="436">
        <v>4149008.98</v>
      </c>
      <c r="AC141" s="436">
        <v>42539367.969999999</v>
      </c>
      <c r="AD141" s="436">
        <v>23368453.609999999</v>
      </c>
      <c r="AE141" s="436">
        <v>13759028.65</v>
      </c>
      <c r="AF141" s="436">
        <v>39485898.329999998</v>
      </c>
      <c r="AG141" s="436">
        <v>6956133.2000000002</v>
      </c>
      <c r="AH141" s="436">
        <v>900113.6</v>
      </c>
      <c r="AI141" s="436">
        <v>11532036.189999999</v>
      </c>
      <c r="AJ141" s="436">
        <v>2494366.59</v>
      </c>
      <c r="AK141" s="436">
        <v>53400555.07</v>
      </c>
      <c r="AL141" s="436">
        <v>3826815.93</v>
      </c>
      <c r="AM141" s="436">
        <v>5394735.4900000002</v>
      </c>
      <c r="AN141" s="436">
        <v>5020412.91</v>
      </c>
      <c r="AO141" s="436">
        <v>1739.47</v>
      </c>
      <c r="AP141" s="436">
        <v>43442326.810000002</v>
      </c>
      <c r="AQ141" s="436">
        <v>25153761.949999999</v>
      </c>
      <c r="AR141" s="436">
        <v>7128616.0199999996</v>
      </c>
      <c r="AS141" s="436">
        <v>-577457.53</v>
      </c>
      <c r="AT141" s="436">
        <v>18625272.710000001</v>
      </c>
      <c r="AU141" s="436">
        <v>16662564.060000001</v>
      </c>
      <c r="AV141" s="436">
        <v>61187420.369999997</v>
      </c>
      <c r="AW141" s="436">
        <v>9419935.0299999993</v>
      </c>
      <c r="AX141" s="436">
        <v>77044337.340000004</v>
      </c>
      <c r="AY141" s="436">
        <v>24351560.960000001</v>
      </c>
      <c r="AZ141" s="436">
        <v>37161160.619999997</v>
      </c>
      <c r="BA141" s="436">
        <v>-5618170.8700000001</v>
      </c>
      <c r="BB141" s="436">
        <v>5243204.87</v>
      </c>
      <c r="BC141" s="436">
        <v>4614921.72</v>
      </c>
      <c r="BD141" s="436">
        <v>15812276.77</v>
      </c>
      <c r="BE141" s="436">
        <v>420322673.69999999</v>
      </c>
      <c r="BF141" s="436">
        <v>7784489.3700000001</v>
      </c>
      <c r="BG141" s="436">
        <v>24749428.890000001</v>
      </c>
      <c r="BH141" s="436">
        <v>18311965.050000001</v>
      </c>
      <c r="BI141" s="924">
        <v>3637001.4</v>
      </c>
      <c r="BJ141" s="424"/>
      <c r="BK141" s="436">
        <v>2708927177.1700001</v>
      </c>
      <c r="BL141" s="436">
        <f t="shared" ref="BL141:BQ141" si="60">SUM(BL137,BL139:BL140)</f>
        <v>-24732000</v>
      </c>
      <c r="BM141" s="436">
        <f>SUM(BM137,BM139:BM140)</f>
        <v>0</v>
      </c>
      <c r="BN141" s="436">
        <f t="shared" si="60"/>
        <v>0</v>
      </c>
      <c r="BO141" s="436">
        <f t="shared" si="60"/>
        <v>0</v>
      </c>
      <c r="BP141" s="436">
        <f t="shared" si="60"/>
        <v>0</v>
      </c>
      <c r="BQ141" s="436">
        <f t="shared" si="60"/>
        <v>0</v>
      </c>
      <c r="BR141" s="436">
        <f t="shared" ref="BR141:BS141" si="61">SUM(BR137,BR139:BR140)</f>
        <v>0</v>
      </c>
      <c r="BS141" s="436">
        <f t="shared" si="61"/>
        <v>-25104943</v>
      </c>
      <c r="BT141" s="436">
        <f t="shared" ref="BT141:BW141" si="62">SUM(BT137,BT139:BT140)</f>
        <v>0</v>
      </c>
      <c r="BU141" s="436">
        <f t="shared" si="62"/>
        <v>0</v>
      </c>
      <c r="BV141" s="436">
        <f t="shared" si="62"/>
        <v>0</v>
      </c>
      <c r="BW141" s="436">
        <f t="shared" si="62"/>
        <v>0</v>
      </c>
      <c r="BX141" s="436">
        <f t="shared" si="59"/>
        <v>-49836943</v>
      </c>
      <c r="BY141" s="776">
        <f>BK141+BX141</f>
        <v>2659090234.1700001</v>
      </c>
      <c r="BZ141" s="488">
        <f>ROUND(BY141/1000,0)+CA141</f>
        <v>2659090</v>
      </c>
      <c r="CB141" s="20"/>
      <c r="CC141" s="431"/>
    </row>
    <row r="142" spans="1:81" ht="10.8" thickTop="1">
      <c r="B142" s="1"/>
      <c r="C142" s="1"/>
      <c r="D142" s="1">
        <f>D141-D90</f>
        <v>0</v>
      </c>
      <c r="E142" s="1">
        <f t="shared" ref="E142:BI142" si="63">E141-E90</f>
        <v>0</v>
      </c>
      <c r="F142" s="1">
        <f t="shared" si="63"/>
        <v>0</v>
      </c>
      <c r="G142" s="1">
        <f t="shared" si="63"/>
        <v>0</v>
      </c>
      <c r="H142" s="1">
        <f t="shared" si="63"/>
        <v>0</v>
      </c>
      <c r="I142" s="1">
        <f t="shared" si="63"/>
        <v>0</v>
      </c>
      <c r="J142" s="1">
        <f t="shared" si="63"/>
        <v>0</v>
      </c>
      <c r="K142" s="1">
        <f t="shared" si="63"/>
        <v>0</v>
      </c>
      <c r="L142" s="1">
        <f t="shared" si="63"/>
        <v>0</v>
      </c>
      <c r="M142" s="1">
        <f t="shared" si="63"/>
        <v>0</v>
      </c>
      <c r="N142" s="1">
        <f t="shared" si="63"/>
        <v>0</v>
      </c>
      <c r="O142" s="1">
        <f t="shared" si="63"/>
        <v>0</v>
      </c>
      <c r="P142" s="1">
        <f t="shared" si="63"/>
        <v>0</v>
      </c>
      <c r="Q142" s="1">
        <f t="shared" si="63"/>
        <v>0</v>
      </c>
      <c r="R142" s="1">
        <f t="shared" si="63"/>
        <v>0</v>
      </c>
      <c r="S142" s="1">
        <f t="shared" si="63"/>
        <v>0</v>
      </c>
      <c r="T142" s="1">
        <f t="shared" si="63"/>
        <v>0</v>
      </c>
      <c r="U142" s="1">
        <f t="shared" si="63"/>
        <v>0</v>
      </c>
      <c r="V142" s="1">
        <f t="shared" si="63"/>
        <v>0</v>
      </c>
      <c r="W142" s="1">
        <f t="shared" si="63"/>
        <v>0</v>
      </c>
      <c r="X142" s="1">
        <f t="shared" si="63"/>
        <v>0</v>
      </c>
      <c r="Y142" s="1">
        <f t="shared" si="63"/>
        <v>0</v>
      </c>
      <c r="Z142" s="1">
        <f t="shared" si="63"/>
        <v>0</v>
      </c>
      <c r="AA142" s="1">
        <f t="shared" si="63"/>
        <v>0</v>
      </c>
      <c r="AB142" s="1">
        <f t="shared" si="63"/>
        <v>0</v>
      </c>
      <c r="AC142" s="1">
        <f t="shared" si="63"/>
        <v>0</v>
      </c>
      <c r="AD142" s="1">
        <f t="shared" si="63"/>
        <v>0</v>
      </c>
      <c r="AE142" s="1">
        <f t="shared" si="63"/>
        <v>0</v>
      </c>
      <c r="AF142" s="1">
        <f t="shared" si="63"/>
        <v>0</v>
      </c>
      <c r="AG142" s="1">
        <f t="shared" si="63"/>
        <v>0</v>
      </c>
      <c r="AH142" s="1">
        <f t="shared" si="63"/>
        <v>0</v>
      </c>
      <c r="AI142" s="1">
        <f t="shared" si="63"/>
        <v>0</v>
      </c>
      <c r="AJ142" s="1">
        <f t="shared" si="63"/>
        <v>0</v>
      </c>
      <c r="AK142" s="1">
        <f t="shared" si="63"/>
        <v>0</v>
      </c>
      <c r="AL142" s="1">
        <f t="shared" si="63"/>
        <v>0</v>
      </c>
      <c r="AM142" s="1">
        <f t="shared" si="63"/>
        <v>0</v>
      </c>
      <c r="AN142" s="1">
        <f t="shared" si="63"/>
        <v>0</v>
      </c>
      <c r="AO142" s="1">
        <f t="shared" si="63"/>
        <v>0</v>
      </c>
      <c r="AP142" s="1">
        <f t="shared" si="63"/>
        <v>0</v>
      </c>
      <c r="AQ142" s="1">
        <f t="shared" si="63"/>
        <v>0</v>
      </c>
      <c r="AR142" s="1">
        <f t="shared" si="63"/>
        <v>0</v>
      </c>
      <c r="AS142" s="1">
        <f t="shared" si="63"/>
        <v>0</v>
      </c>
      <c r="AT142" s="1">
        <f t="shared" si="63"/>
        <v>0</v>
      </c>
      <c r="AU142" s="1">
        <f t="shared" si="63"/>
        <v>0</v>
      </c>
      <c r="AV142" s="1">
        <f t="shared" si="63"/>
        <v>0</v>
      </c>
      <c r="AW142" s="1">
        <f t="shared" si="63"/>
        <v>0</v>
      </c>
      <c r="AX142" s="1">
        <f t="shared" si="63"/>
        <v>0</v>
      </c>
      <c r="AY142" s="1">
        <f t="shared" si="63"/>
        <v>0</v>
      </c>
      <c r="AZ142" s="1">
        <f t="shared" si="63"/>
        <v>0</v>
      </c>
      <c r="BA142" s="1">
        <f t="shared" si="63"/>
        <v>0</v>
      </c>
      <c r="BB142" s="1">
        <f t="shared" si="63"/>
        <v>0</v>
      </c>
      <c r="BC142" s="1">
        <f t="shared" si="63"/>
        <v>0</v>
      </c>
      <c r="BD142" s="1">
        <f t="shared" si="63"/>
        <v>0</v>
      </c>
      <c r="BE142" s="1">
        <f t="shared" si="63"/>
        <v>0</v>
      </c>
      <c r="BF142" s="1">
        <f t="shared" si="63"/>
        <v>0</v>
      </c>
      <c r="BG142" s="1">
        <f t="shared" si="63"/>
        <v>0</v>
      </c>
      <c r="BH142" s="1">
        <f t="shared" si="63"/>
        <v>0</v>
      </c>
      <c r="BI142" s="1">
        <f t="shared" si="63"/>
        <v>0</v>
      </c>
      <c r="BJ142" s="1"/>
      <c r="BK142" s="1" t="s">
        <v>146</v>
      </c>
      <c r="BL142" s="1"/>
      <c r="BM142" s="1">
        <f t="shared" ref="BM142:BQ142" si="64">BM141-BM90</f>
        <v>0</v>
      </c>
      <c r="BN142" s="1">
        <f t="shared" si="64"/>
        <v>0</v>
      </c>
      <c r="BO142" s="1">
        <f t="shared" si="64"/>
        <v>0</v>
      </c>
      <c r="BP142" s="1">
        <f t="shared" si="64"/>
        <v>0</v>
      </c>
      <c r="BQ142" s="1">
        <f t="shared" si="64"/>
        <v>0</v>
      </c>
      <c r="BR142" s="1">
        <f t="shared" ref="BR142:BT142" si="65">BR141-BR90</f>
        <v>0</v>
      </c>
      <c r="BS142" s="1" t="s">
        <v>146</v>
      </c>
      <c r="BT142" s="1">
        <f t="shared" si="65"/>
        <v>0</v>
      </c>
      <c r="BU142" s="1"/>
      <c r="BV142" s="1"/>
      <c r="BW142" s="1"/>
      <c r="BX142" s="1" t="s">
        <v>146</v>
      </c>
      <c r="BY142" s="1" t="s">
        <v>146</v>
      </c>
      <c r="BZ142" s="1" t="s">
        <v>146</v>
      </c>
      <c r="CC142" s="431"/>
    </row>
    <row r="143" spans="1:81" ht="13.8">
      <c r="A143" s="547"/>
      <c r="B143" s="1"/>
      <c r="C143" s="1"/>
      <c r="D143" s="42" t="str">
        <f>IF(D90=D141,"In Bal.","NOT BALANCED")</f>
        <v>In Bal.</v>
      </c>
      <c r="E143" s="42" t="str">
        <f t="shared" ref="E143:BI143" si="66">IF(E90=E141,"In Bal.","NOT BALANCED")</f>
        <v>In Bal.</v>
      </c>
      <c r="F143" s="42" t="str">
        <f t="shared" si="66"/>
        <v>In Bal.</v>
      </c>
      <c r="G143" s="42" t="str">
        <f t="shared" si="66"/>
        <v>In Bal.</v>
      </c>
      <c r="H143" s="42" t="str">
        <f t="shared" si="66"/>
        <v>In Bal.</v>
      </c>
      <c r="I143" s="42" t="str">
        <f t="shared" si="66"/>
        <v>In Bal.</v>
      </c>
      <c r="J143" s="42" t="str">
        <f t="shared" si="66"/>
        <v>In Bal.</v>
      </c>
      <c r="K143" s="42" t="str">
        <f t="shared" si="66"/>
        <v>In Bal.</v>
      </c>
      <c r="L143" s="42" t="str">
        <f t="shared" si="66"/>
        <v>In Bal.</v>
      </c>
      <c r="M143" s="42" t="str">
        <f t="shared" si="66"/>
        <v>In Bal.</v>
      </c>
      <c r="N143" s="42" t="str">
        <f t="shared" si="66"/>
        <v>In Bal.</v>
      </c>
      <c r="O143" s="42" t="str">
        <f t="shared" si="66"/>
        <v>In Bal.</v>
      </c>
      <c r="P143" s="42" t="str">
        <f t="shared" si="66"/>
        <v>In Bal.</v>
      </c>
      <c r="Q143" s="42" t="str">
        <f t="shared" si="66"/>
        <v>In Bal.</v>
      </c>
      <c r="R143" s="42" t="str">
        <f t="shared" si="66"/>
        <v>In Bal.</v>
      </c>
      <c r="S143" s="42" t="str">
        <f t="shared" si="66"/>
        <v>In Bal.</v>
      </c>
      <c r="T143" s="42" t="str">
        <f t="shared" si="66"/>
        <v>In Bal.</v>
      </c>
      <c r="U143" s="42" t="str">
        <f t="shared" si="66"/>
        <v>In Bal.</v>
      </c>
      <c r="V143" s="42" t="str">
        <f t="shared" si="66"/>
        <v>In Bal.</v>
      </c>
      <c r="W143" s="42" t="str">
        <f t="shared" si="66"/>
        <v>In Bal.</v>
      </c>
      <c r="X143" s="42" t="str">
        <f t="shared" si="66"/>
        <v>In Bal.</v>
      </c>
      <c r="Y143" s="42" t="str">
        <f t="shared" si="66"/>
        <v>In Bal.</v>
      </c>
      <c r="Z143" s="42" t="str">
        <f t="shared" si="66"/>
        <v>In Bal.</v>
      </c>
      <c r="AA143" s="42" t="str">
        <f t="shared" si="66"/>
        <v>In Bal.</v>
      </c>
      <c r="AB143" s="42" t="str">
        <f t="shared" si="66"/>
        <v>In Bal.</v>
      </c>
      <c r="AC143" s="42" t="str">
        <f t="shared" si="66"/>
        <v>In Bal.</v>
      </c>
      <c r="AD143" s="42" t="str">
        <f t="shared" si="66"/>
        <v>In Bal.</v>
      </c>
      <c r="AE143" s="42" t="str">
        <f t="shared" si="66"/>
        <v>In Bal.</v>
      </c>
      <c r="AF143" s="42" t="str">
        <f t="shared" si="66"/>
        <v>In Bal.</v>
      </c>
      <c r="AG143" s="42" t="str">
        <f t="shared" si="66"/>
        <v>In Bal.</v>
      </c>
      <c r="AH143" s="42" t="str">
        <f t="shared" si="66"/>
        <v>In Bal.</v>
      </c>
      <c r="AI143" s="42" t="str">
        <f t="shared" si="66"/>
        <v>In Bal.</v>
      </c>
      <c r="AJ143" s="42" t="str">
        <f t="shared" si="66"/>
        <v>In Bal.</v>
      </c>
      <c r="AK143" s="42" t="str">
        <f t="shared" si="66"/>
        <v>In Bal.</v>
      </c>
      <c r="AL143" s="42" t="str">
        <f t="shared" si="66"/>
        <v>In Bal.</v>
      </c>
      <c r="AM143" s="42" t="str">
        <f t="shared" si="66"/>
        <v>In Bal.</v>
      </c>
      <c r="AN143" s="42" t="str">
        <f t="shared" si="66"/>
        <v>In Bal.</v>
      </c>
      <c r="AO143" s="42" t="str">
        <f t="shared" si="66"/>
        <v>In Bal.</v>
      </c>
      <c r="AP143" s="42" t="str">
        <f t="shared" si="66"/>
        <v>In Bal.</v>
      </c>
      <c r="AQ143" s="42" t="str">
        <f t="shared" si="66"/>
        <v>In Bal.</v>
      </c>
      <c r="AR143" s="42" t="str">
        <f t="shared" si="66"/>
        <v>In Bal.</v>
      </c>
      <c r="AS143" s="42" t="str">
        <f t="shared" si="66"/>
        <v>In Bal.</v>
      </c>
      <c r="AT143" s="42" t="str">
        <f t="shared" si="66"/>
        <v>In Bal.</v>
      </c>
      <c r="AU143" s="42" t="str">
        <f t="shared" si="66"/>
        <v>In Bal.</v>
      </c>
      <c r="AV143" s="42" t="str">
        <f t="shared" si="66"/>
        <v>In Bal.</v>
      </c>
      <c r="AW143" s="42" t="str">
        <f t="shared" si="66"/>
        <v>In Bal.</v>
      </c>
      <c r="AX143" s="42" t="str">
        <f t="shared" si="66"/>
        <v>In Bal.</v>
      </c>
      <c r="AY143" s="42" t="str">
        <f t="shared" si="66"/>
        <v>In Bal.</v>
      </c>
      <c r="AZ143" s="42" t="str">
        <f t="shared" si="66"/>
        <v>In Bal.</v>
      </c>
      <c r="BA143" s="42" t="str">
        <f t="shared" si="66"/>
        <v>In Bal.</v>
      </c>
      <c r="BB143" s="42" t="str">
        <f t="shared" si="66"/>
        <v>In Bal.</v>
      </c>
      <c r="BC143" s="42" t="str">
        <f t="shared" si="66"/>
        <v>In Bal.</v>
      </c>
      <c r="BD143" s="42" t="str">
        <f t="shared" si="66"/>
        <v>In Bal.</v>
      </c>
      <c r="BE143" s="42" t="str">
        <f t="shared" si="66"/>
        <v>In Bal.</v>
      </c>
      <c r="BF143" s="42" t="str">
        <f t="shared" si="66"/>
        <v>In Bal.</v>
      </c>
      <c r="BG143" s="42" t="str">
        <f t="shared" si="66"/>
        <v>In Bal.</v>
      </c>
      <c r="BH143" s="42" t="str">
        <f t="shared" si="66"/>
        <v>In Bal.</v>
      </c>
      <c r="BI143" s="42" t="str">
        <f t="shared" si="66"/>
        <v>In Bal.</v>
      </c>
      <c r="BJ143" s="1022"/>
      <c r="BK143" s="42" t="str">
        <f>IF(ROUND(BK90,2)=ROUND(BK141,2),"In Bal.","NOT BALANCED")</f>
        <v>In Bal.</v>
      </c>
      <c r="BL143" s="42"/>
      <c r="BM143" s="42" t="s">
        <v>146</v>
      </c>
      <c r="BN143" s="42" t="s">
        <v>146</v>
      </c>
      <c r="BO143" s="42" t="s">
        <v>146</v>
      </c>
      <c r="BP143" s="42" t="s">
        <v>146</v>
      </c>
      <c r="BQ143" s="42" t="s">
        <v>146</v>
      </c>
      <c r="BR143" s="42" t="s">
        <v>146</v>
      </c>
      <c r="BS143" s="42" t="s">
        <v>146</v>
      </c>
      <c r="BT143" s="42" t="s">
        <v>146</v>
      </c>
      <c r="BU143" s="42" t="s">
        <v>146</v>
      </c>
      <c r="BV143" s="42" t="s">
        <v>146</v>
      </c>
      <c r="BW143" s="42" t="s">
        <v>146</v>
      </c>
      <c r="BX143" s="42" t="s">
        <v>146</v>
      </c>
      <c r="BY143" s="42" t="s">
        <v>146</v>
      </c>
      <c r="BZ143" s="42" t="s">
        <v>146</v>
      </c>
    </row>
    <row r="144" spans="1:81">
      <c r="A144" s="547"/>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429"/>
      <c r="BL144" s="429"/>
    </row>
    <row r="145" spans="1:79">
      <c r="A145" s="547"/>
      <c r="B145" s="780" t="s">
        <v>1910</v>
      </c>
      <c r="BK145" s="429"/>
      <c r="BL145" s="429"/>
    </row>
    <row r="146" spans="1:79">
      <c r="A146" s="547"/>
      <c r="BK146" s="429"/>
      <c r="BL146" s="429" t="s">
        <v>146</v>
      </c>
    </row>
    <row r="147" spans="1:79">
      <c r="A147" s="547"/>
      <c r="BK147" s="429"/>
      <c r="BL147" s="429"/>
    </row>
    <row r="148" spans="1:79">
      <c r="A148" s="547"/>
      <c r="D148" s="1022"/>
      <c r="E148" s="1022"/>
      <c r="F148" s="1022"/>
      <c r="G148" s="1022"/>
      <c r="H148" s="1022"/>
      <c r="I148" s="1022"/>
      <c r="J148" s="1022"/>
      <c r="K148" s="1022"/>
      <c r="L148" s="1022"/>
      <c r="M148" s="1022"/>
      <c r="N148" s="1022"/>
      <c r="O148" s="1022"/>
      <c r="P148" s="1022"/>
      <c r="Q148" s="1022"/>
      <c r="R148" s="1022"/>
      <c r="S148" s="1022"/>
      <c r="T148" s="1022"/>
      <c r="U148" s="1022"/>
      <c r="V148" s="1022"/>
      <c r="W148" s="1022"/>
      <c r="X148" s="1022"/>
      <c r="Y148" s="1022"/>
      <c r="Z148" s="1022"/>
      <c r="AA148" s="1022"/>
      <c r="AB148" s="1022"/>
      <c r="AC148" s="1022"/>
      <c r="AD148" s="1022"/>
      <c r="AE148" s="1022"/>
      <c r="AF148" s="1022"/>
      <c r="AG148" s="1022"/>
      <c r="AH148" s="1022"/>
      <c r="AI148" s="1022"/>
      <c r="AJ148" s="1022"/>
      <c r="AK148" s="1022"/>
      <c r="AL148" s="1022"/>
      <c r="AM148" s="1022"/>
      <c r="AN148" s="1022"/>
      <c r="AO148" s="1022"/>
      <c r="AP148" s="1022"/>
      <c r="AQ148" s="1022"/>
      <c r="AR148" s="1022"/>
      <c r="AS148" s="1022"/>
      <c r="AT148" s="1022"/>
      <c r="AU148" s="1022"/>
      <c r="AV148" s="1022"/>
      <c r="AW148" s="1022"/>
      <c r="AX148" s="1022"/>
      <c r="AY148" s="1022"/>
      <c r="AZ148" s="1022"/>
      <c r="BA148" s="1022"/>
      <c r="BB148" s="1022"/>
      <c r="BC148" s="1022"/>
      <c r="BD148" s="1022"/>
      <c r="BE148" s="1022"/>
      <c r="BF148" s="1022"/>
      <c r="BG148" s="1022"/>
      <c r="BH148" s="1022"/>
      <c r="BI148" s="1022"/>
      <c r="BK148" s="1022"/>
      <c r="BL148" s="1022"/>
      <c r="BX148" s="1022"/>
      <c r="BY148" s="1239"/>
      <c r="BZ148" s="1239"/>
    </row>
    <row r="149" spans="1:79">
      <c r="A149" s="547"/>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c r="BA149" s="1022"/>
      <c r="BB149" s="1022"/>
      <c r="BC149" s="1022"/>
      <c r="BD149" s="1022"/>
      <c r="BE149" s="1022"/>
      <c r="BF149" s="1022"/>
      <c r="BG149" s="1022"/>
      <c r="BH149" s="1022"/>
      <c r="BI149" s="1022"/>
      <c r="BK149" s="1022"/>
      <c r="BL149" s="1022"/>
      <c r="BX149" s="1022"/>
      <c r="BY149" s="1022"/>
      <c r="BZ149" s="439"/>
    </row>
    <row r="150" spans="1:79">
      <c r="A150" s="547"/>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2"/>
      <c r="AO150" s="1022"/>
      <c r="AP150" s="1022"/>
      <c r="AQ150" s="1022"/>
      <c r="AR150" s="1022"/>
      <c r="AS150" s="1022"/>
      <c r="AT150" s="1022"/>
      <c r="AU150" s="1022"/>
      <c r="AV150" s="1022"/>
      <c r="AW150" s="1022"/>
      <c r="AX150" s="1022"/>
      <c r="AY150" s="1022"/>
      <c r="AZ150" s="1022"/>
      <c r="BA150" s="1022"/>
      <c r="BB150" s="1022"/>
      <c r="BC150" s="1022"/>
      <c r="BD150" s="1022"/>
      <c r="BE150" s="1022"/>
      <c r="BF150" s="1022"/>
      <c r="BG150" s="1022"/>
      <c r="BH150" s="1022"/>
      <c r="BI150" s="1022"/>
      <c r="BK150" s="1022"/>
      <c r="BL150" s="1022"/>
      <c r="BX150" s="1022"/>
      <c r="BY150" s="431"/>
      <c r="BZ150" s="440"/>
      <c r="CA150" s="431"/>
    </row>
    <row r="151" spans="1:79">
      <c r="A151" s="547"/>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c r="BA151" s="1022"/>
      <c r="BB151" s="1022"/>
      <c r="BC151" s="1022"/>
      <c r="BD151" s="1022"/>
      <c r="BE151" s="1022"/>
      <c r="BF151" s="1022"/>
      <c r="BG151" s="1022"/>
      <c r="BH151" s="1022"/>
      <c r="BI151" s="1022"/>
      <c r="BJ151" s="1022"/>
      <c r="BK151" s="1022"/>
      <c r="BL151" s="1022"/>
      <c r="BY151" s="1"/>
      <c r="BZ151" s="20"/>
      <c r="CA151" s="431"/>
    </row>
    <row r="152" spans="1:79">
      <c r="A152" s="547"/>
      <c r="D152" s="1022"/>
      <c r="E152" s="1022"/>
      <c r="F152" s="1022"/>
      <c r="G152" s="1022"/>
      <c r="H152" s="10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1022"/>
      <c r="AJ152" s="1022"/>
      <c r="AK152" s="1022"/>
      <c r="AL152" s="1022"/>
      <c r="AM152" s="1022"/>
      <c r="AN152" s="1022"/>
      <c r="AO152" s="1022"/>
      <c r="AP152" s="1022"/>
      <c r="AQ152" s="1022"/>
      <c r="AR152" s="1022"/>
      <c r="AS152" s="1022"/>
      <c r="AT152" s="1022"/>
      <c r="AU152" s="1022"/>
      <c r="AV152" s="1022"/>
      <c r="AW152" s="1022"/>
      <c r="AX152" s="1022"/>
      <c r="AY152" s="1022"/>
      <c r="AZ152" s="1022"/>
      <c r="BA152" s="1022"/>
      <c r="BB152" s="1022"/>
      <c r="BC152" s="1022"/>
      <c r="BD152" s="1022"/>
      <c r="BE152" s="1022"/>
      <c r="BF152" s="1022"/>
      <c r="BG152" s="1022"/>
      <c r="BH152" s="1022"/>
      <c r="BI152" s="1022"/>
      <c r="BJ152" s="1022"/>
      <c r="BK152" s="1022"/>
      <c r="BL152" s="1022"/>
      <c r="BY152" s="1"/>
      <c r="CA152" s="431"/>
    </row>
    <row r="153" spans="1:79">
      <c r="A153" s="547"/>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c r="BA153" s="1022"/>
      <c r="BB153" s="1022"/>
      <c r="BC153" s="1022"/>
      <c r="BD153" s="1022"/>
      <c r="BE153" s="1022"/>
      <c r="BF153" s="1022"/>
      <c r="BG153" s="1022"/>
      <c r="BH153" s="1022"/>
      <c r="BI153" s="1022"/>
      <c r="BK153" s="1022"/>
      <c r="BL153" s="1022"/>
    </row>
    <row r="154" spans="1:79">
      <c r="A154" s="547"/>
      <c r="D154" s="1022"/>
      <c r="E154" s="1022"/>
      <c r="F154" s="1022"/>
      <c r="G154" s="1022"/>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2"/>
      <c r="AZ154" s="1022"/>
      <c r="BA154" s="1022"/>
      <c r="BB154" s="1022"/>
      <c r="BC154" s="1022"/>
      <c r="BD154" s="1022"/>
      <c r="BE154" s="1022"/>
      <c r="BF154" s="1022"/>
      <c r="BG154" s="1022"/>
      <c r="BH154" s="1022"/>
      <c r="BI154" s="1022"/>
      <c r="BJ154" s="1022"/>
      <c r="BK154" s="1022"/>
      <c r="BL154" s="1022"/>
    </row>
    <row r="155" spans="1:79">
      <c r="A155" s="547"/>
      <c r="D155" s="1022"/>
      <c r="E155" s="1022"/>
      <c r="F155" s="1022"/>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1022"/>
      <c r="AK155" s="1022"/>
      <c r="AL155" s="1022"/>
      <c r="AM155" s="1022"/>
      <c r="AN155" s="1022"/>
      <c r="AO155" s="1022"/>
      <c r="AP155" s="1022"/>
      <c r="AQ155" s="1022"/>
      <c r="AR155" s="1022"/>
      <c r="AS155" s="1022"/>
      <c r="AT155" s="1022"/>
      <c r="AU155" s="1022"/>
      <c r="AV155" s="1022"/>
      <c r="AW155" s="1022"/>
      <c r="AX155" s="1022"/>
      <c r="AY155" s="1022"/>
      <c r="AZ155" s="1022"/>
      <c r="BA155" s="1022"/>
      <c r="BB155" s="1022"/>
      <c r="BC155" s="1022"/>
      <c r="BD155" s="1022"/>
      <c r="BE155" s="1022"/>
      <c r="BF155" s="1022"/>
      <c r="BG155" s="1022"/>
      <c r="BH155" s="1022"/>
      <c r="BI155" s="1022"/>
      <c r="BK155" s="1022"/>
      <c r="BL155" s="1022"/>
    </row>
    <row r="156" spans="1:79">
      <c r="A156" s="547"/>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429"/>
      <c r="BL156" s="429"/>
    </row>
    <row r="157" spans="1:79">
      <c r="A157" s="547"/>
      <c r="D157" s="1022"/>
      <c r="E157" s="1022"/>
      <c r="F157" s="1022"/>
      <c r="G157" s="1022"/>
      <c r="H157" s="1022"/>
      <c r="I157" s="1022"/>
      <c r="J157" s="1022"/>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I157" s="1022"/>
      <c r="AJ157" s="1022"/>
      <c r="AK157" s="1022"/>
      <c r="AL157" s="1022"/>
      <c r="AM157" s="1022"/>
      <c r="AN157" s="1022"/>
      <c r="AO157" s="1022"/>
      <c r="AP157" s="1022"/>
      <c r="AQ157" s="1022"/>
      <c r="AR157" s="1022"/>
      <c r="AS157" s="1022"/>
      <c r="AT157" s="1022"/>
      <c r="AU157" s="1022"/>
      <c r="AV157" s="1022"/>
      <c r="AW157" s="1022"/>
      <c r="AX157" s="1022"/>
      <c r="AY157" s="1022"/>
      <c r="AZ157" s="1022"/>
      <c r="BA157" s="1022"/>
      <c r="BB157" s="1022"/>
      <c r="BC157" s="1022"/>
      <c r="BD157" s="1022"/>
      <c r="BE157" s="1022"/>
      <c r="BF157" s="1022"/>
      <c r="BG157" s="1022"/>
      <c r="BH157" s="1022"/>
      <c r="BI157" s="1022"/>
      <c r="BJ157" s="1022"/>
      <c r="BK157" s="1022"/>
      <c r="BL157" s="1022"/>
    </row>
    <row r="158" spans="1:79">
      <c r="A158" s="547"/>
      <c r="BK158" s="429"/>
      <c r="BL158" s="429"/>
    </row>
    <row r="159" spans="1:79">
      <c r="A159" s="547"/>
      <c r="D159" s="433"/>
      <c r="E159" s="433"/>
      <c r="F159" s="433"/>
      <c r="G159" s="433"/>
      <c r="H159" s="433"/>
      <c r="I159" s="433"/>
      <c r="J159" s="433"/>
      <c r="K159" s="433"/>
      <c r="L159" s="433"/>
      <c r="M159" s="433"/>
      <c r="N159" s="433"/>
      <c r="O159" s="433"/>
      <c r="P159" s="433"/>
      <c r="Q159" s="433"/>
      <c r="R159" s="433"/>
      <c r="S159" s="433"/>
      <c r="T159" s="433"/>
      <c r="U159" s="433"/>
      <c r="V159" s="433"/>
      <c r="W159" s="433"/>
      <c r="X159" s="433"/>
      <c r="Y159" s="433"/>
      <c r="Z159" s="433"/>
      <c r="AA159" s="433"/>
      <c r="AB159" s="433"/>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33"/>
      <c r="BC159" s="433"/>
      <c r="BD159" s="433"/>
      <c r="BE159" s="433"/>
      <c r="BF159" s="433"/>
      <c r="BG159" s="433"/>
      <c r="BH159" s="433"/>
      <c r="BI159" s="433"/>
      <c r="BJ159" s="433"/>
      <c r="BK159" s="352"/>
      <c r="BL159" s="352"/>
    </row>
    <row r="160" spans="1:79">
      <c r="A160" s="547"/>
      <c r="D160" s="433"/>
      <c r="E160" s="433"/>
      <c r="F160" s="433"/>
      <c r="G160" s="433"/>
      <c r="H160" s="433"/>
      <c r="I160" s="433"/>
      <c r="J160" s="433"/>
      <c r="K160" s="433"/>
      <c r="L160" s="433"/>
      <c r="M160" s="433"/>
      <c r="N160" s="433"/>
      <c r="O160" s="433"/>
      <c r="P160" s="433"/>
      <c r="Q160" s="433"/>
      <c r="R160" s="433"/>
      <c r="S160" s="433"/>
      <c r="T160" s="433"/>
      <c r="U160" s="433"/>
      <c r="V160" s="433"/>
      <c r="W160" s="433"/>
      <c r="X160" s="433"/>
      <c r="Y160" s="433"/>
      <c r="Z160" s="433"/>
      <c r="AA160" s="433"/>
      <c r="AB160" s="433"/>
      <c r="AC160" s="433"/>
      <c r="AD160" s="433"/>
      <c r="AE160" s="433"/>
      <c r="AF160" s="433"/>
      <c r="AG160" s="433"/>
      <c r="AH160" s="433"/>
      <c r="AI160" s="433"/>
      <c r="AJ160" s="433"/>
      <c r="AK160" s="433"/>
      <c r="AL160" s="433"/>
      <c r="AM160" s="433"/>
      <c r="AN160" s="433"/>
      <c r="AO160" s="433"/>
      <c r="AP160" s="433"/>
      <c r="AQ160" s="433"/>
      <c r="AR160" s="433"/>
      <c r="AS160" s="433"/>
      <c r="AT160" s="433"/>
      <c r="AU160" s="433"/>
      <c r="AV160" s="433"/>
      <c r="AW160" s="433"/>
      <c r="AX160" s="433"/>
      <c r="AY160" s="433"/>
      <c r="AZ160" s="433"/>
      <c r="BA160" s="433"/>
      <c r="BB160" s="433"/>
      <c r="BC160" s="433"/>
      <c r="BD160" s="433"/>
      <c r="BE160" s="433"/>
      <c r="BF160" s="433"/>
      <c r="BG160" s="433"/>
      <c r="BH160" s="433"/>
      <c r="BI160" s="433"/>
      <c r="BJ160" s="433"/>
      <c r="BK160" s="352"/>
      <c r="BL160" s="352"/>
    </row>
    <row r="161" spans="1:77">
      <c r="A161" s="547"/>
      <c r="D161" s="433"/>
      <c r="E161" s="433"/>
      <c r="F161" s="433"/>
      <c r="G161" s="433"/>
      <c r="H161" s="433"/>
      <c r="I161" s="433"/>
      <c r="J161" s="433"/>
      <c r="K161" s="433"/>
      <c r="L161" s="433"/>
      <c r="M161" s="433"/>
      <c r="N161" s="433"/>
      <c r="O161" s="433"/>
      <c r="P161" s="433"/>
      <c r="Q161" s="433"/>
      <c r="R161" s="433"/>
      <c r="S161" s="433"/>
      <c r="T161" s="433"/>
      <c r="U161" s="433"/>
      <c r="V161" s="433"/>
      <c r="W161" s="433"/>
      <c r="X161" s="433"/>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3"/>
      <c r="BB161" s="433"/>
      <c r="BC161" s="433"/>
      <c r="BD161" s="433"/>
      <c r="BE161" s="433"/>
      <c r="BF161" s="433"/>
      <c r="BG161" s="433"/>
      <c r="BH161" s="433"/>
      <c r="BI161" s="433"/>
      <c r="BJ161" s="433"/>
      <c r="BK161" s="352"/>
      <c r="BL161" s="352"/>
    </row>
    <row r="162" spans="1:77">
      <c r="A162" s="547"/>
      <c r="D162" s="433"/>
      <c r="E162" s="433"/>
      <c r="F162" s="433"/>
      <c r="G162" s="433"/>
      <c r="H162" s="433"/>
      <c r="I162" s="433"/>
      <c r="J162" s="433"/>
      <c r="K162" s="433"/>
      <c r="L162" s="433"/>
      <c r="M162" s="433"/>
      <c r="N162" s="433"/>
      <c r="O162" s="433"/>
      <c r="P162" s="433"/>
      <c r="Q162" s="433"/>
      <c r="R162" s="433"/>
      <c r="S162" s="433"/>
      <c r="T162" s="433"/>
      <c r="U162" s="433"/>
      <c r="V162" s="433"/>
      <c r="W162" s="433"/>
      <c r="X162" s="433"/>
      <c r="Y162" s="433"/>
      <c r="Z162" s="433"/>
      <c r="AA162" s="433"/>
      <c r="AB162" s="433"/>
      <c r="AC162" s="433"/>
      <c r="AD162" s="433"/>
      <c r="AE162" s="433"/>
      <c r="AF162" s="433"/>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3"/>
      <c r="BB162" s="433"/>
      <c r="BC162" s="433"/>
      <c r="BD162" s="433"/>
      <c r="BE162" s="433"/>
      <c r="BF162" s="433"/>
      <c r="BG162" s="433"/>
      <c r="BH162" s="433"/>
      <c r="BI162" s="433"/>
      <c r="BJ162" s="433"/>
      <c r="BK162" s="433"/>
      <c r="BL162" s="433"/>
    </row>
    <row r="163" spans="1:77">
      <c r="A163" s="547"/>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33"/>
      <c r="BC163" s="433"/>
      <c r="BD163" s="433"/>
      <c r="BE163" s="433"/>
      <c r="BF163" s="433"/>
      <c r="BG163" s="433"/>
      <c r="BH163" s="433"/>
      <c r="BI163" s="433"/>
      <c r="BJ163" s="433"/>
      <c r="BK163" s="433"/>
      <c r="BL163" s="433"/>
    </row>
    <row r="164" spans="1:77">
      <c r="A164" s="547"/>
      <c r="D164" s="433"/>
      <c r="E164" s="433"/>
      <c r="F164" s="433"/>
      <c r="G164" s="433"/>
      <c r="H164" s="433"/>
      <c r="I164" s="433"/>
      <c r="J164" s="433"/>
      <c r="K164" s="433"/>
      <c r="L164" s="433"/>
      <c r="M164" s="433"/>
      <c r="N164" s="433"/>
      <c r="O164" s="433"/>
      <c r="P164" s="433"/>
      <c r="Q164" s="433"/>
      <c r="R164" s="433"/>
      <c r="S164" s="433"/>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352"/>
      <c r="BL164" s="352"/>
    </row>
    <row r="165" spans="1:77">
      <c r="A165" s="547"/>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3"/>
      <c r="BB165" s="433"/>
      <c r="BC165" s="433"/>
      <c r="BD165" s="433"/>
      <c r="BE165" s="433"/>
      <c r="BF165" s="433"/>
      <c r="BG165" s="433"/>
      <c r="BH165" s="433"/>
      <c r="BI165" s="433"/>
      <c r="BJ165" s="433"/>
      <c r="BK165" s="433"/>
      <c r="BL165" s="433"/>
    </row>
    <row r="166" spans="1:77">
      <c r="A166" s="547"/>
      <c r="D166" s="433"/>
      <c r="E166" s="433"/>
      <c r="F166" s="433"/>
      <c r="G166" s="433"/>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K166" s="433"/>
      <c r="AL166" s="433"/>
      <c r="AM166" s="433"/>
      <c r="AN166" s="433"/>
      <c r="AO166" s="433"/>
      <c r="AP166" s="433"/>
      <c r="AQ166" s="433"/>
      <c r="AR166" s="433"/>
      <c r="AS166" s="433"/>
      <c r="AT166" s="433"/>
      <c r="AU166" s="433"/>
      <c r="AV166" s="433"/>
      <c r="AW166" s="433"/>
      <c r="AX166" s="433"/>
      <c r="AY166" s="433"/>
      <c r="AZ166" s="433"/>
      <c r="BA166" s="433"/>
      <c r="BB166" s="433"/>
      <c r="BC166" s="433"/>
      <c r="BD166" s="433"/>
      <c r="BE166" s="433"/>
      <c r="BF166" s="433"/>
      <c r="BG166" s="433"/>
      <c r="BH166" s="433"/>
      <c r="BI166" s="433"/>
      <c r="BJ166" s="433"/>
      <c r="BK166" s="433"/>
      <c r="BL166" s="433"/>
      <c r="BY166" s="352">
        <v>0</v>
      </c>
    </row>
    <row r="167" spans="1:77">
      <c r="A167" s="547"/>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row>
    <row r="168" spans="1:77">
      <c r="A168" s="547"/>
    </row>
    <row r="169" spans="1:77">
      <c r="A169" s="547"/>
    </row>
    <row r="170" spans="1:77">
      <c r="A170" s="547"/>
    </row>
    <row r="171" spans="1:77">
      <c r="A171" s="547"/>
    </row>
    <row r="172" spans="1:77">
      <c r="A172" s="547"/>
    </row>
    <row r="173" spans="1:77">
      <c r="A173" s="547"/>
    </row>
    <row r="174" spans="1:77">
      <c r="A174" s="547"/>
    </row>
    <row r="175" spans="1:77">
      <c r="A175" s="547"/>
    </row>
    <row r="176" spans="1:77">
      <c r="A176" s="547"/>
    </row>
    <row r="177" spans="1:1">
      <c r="A177" s="547"/>
    </row>
    <row r="178" spans="1:1">
      <c r="A178" s="547"/>
    </row>
    <row r="179" spans="1:1">
      <c r="A179" s="547"/>
    </row>
    <row r="180" spans="1:1">
      <c r="A180" s="547"/>
    </row>
    <row r="181" spans="1:1">
      <c r="A181" s="547"/>
    </row>
    <row r="182" spans="1:1">
      <c r="A182" s="547"/>
    </row>
    <row r="183" spans="1:1">
      <c r="A183" s="547"/>
    </row>
    <row r="184" spans="1:1">
      <c r="A184" s="547"/>
    </row>
    <row r="185" spans="1:1">
      <c r="A185" s="547"/>
    </row>
    <row r="186" spans="1:1">
      <c r="A186" s="547"/>
    </row>
    <row r="187" spans="1:1">
      <c r="A187" s="547"/>
    </row>
    <row r="188" spans="1:1">
      <c r="A188" s="547"/>
    </row>
    <row r="189" spans="1:1">
      <c r="A189" s="547"/>
    </row>
    <row r="190" spans="1:1">
      <c r="A190" s="547"/>
    </row>
    <row r="191" spans="1:1">
      <c r="A191" s="547"/>
    </row>
    <row r="192" spans="1:1">
      <c r="A192" s="547"/>
    </row>
    <row r="193" spans="1:1">
      <c r="A193" s="547"/>
    </row>
    <row r="194" spans="1:1">
      <c r="A194" s="547"/>
    </row>
    <row r="195" spans="1:1">
      <c r="A195" s="547"/>
    </row>
    <row r="196" spans="1:1">
      <c r="A196" s="547"/>
    </row>
    <row r="197" spans="1:1">
      <c r="A197" s="547"/>
    </row>
    <row r="198" spans="1:1">
      <c r="A198" s="547"/>
    </row>
    <row r="199" spans="1:1">
      <c r="A199" s="547"/>
    </row>
    <row r="200" spans="1:1">
      <c r="A200" s="547"/>
    </row>
    <row r="201" spans="1:1">
      <c r="A201" s="547"/>
    </row>
    <row r="202" spans="1:1">
      <c r="A202" s="547"/>
    </row>
    <row r="203" spans="1:1">
      <c r="A203" s="547"/>
    </row>
    <row r="204" spans="1:1">
      <c r="A204" s="547"/>
    </row>
    <row r="205" spans="1:1">
      <c r="A205" s="547"/>
    </row>
    <row r="206" spans="1:1">
      <c r="A206" s="547"/>
    </row>
    <row r="207" spans="1:1">
      <c r="A207" s="547"/>
    </row>
    <row r="208" spans="1:1">
      <c r="A208" s="547"/>
    </row>
    <row r="209" spans="1:1">
      <c r="A209" s="547"/>
    </row>
    <row r="210" spans="1:1">
      <c r="A210" s="547"/>
    </row>
    <row r="211" spans="1:1">
      <c r="A211" s="547"/>
    </row>
    <row r="212" spans="1:1">
      <c r="A212" s="547"/>
    </row>
  </sheetData>
  <sheetProtection algorithmName="SHA-512" hashValue="jERA65AVcwC6jDZhBlmyFH0AxGS4wYIYkd5IBVtC9aLYt+oi4gZyz6Zl/qmVp2AXzRPEj28lOVObcdlFQOAgbg==" saltValue="IVYhOoKEXSOvzS0m67jU9Q==" spinCount="100000" sheet="1" objects="1" scenarios="1" autoFilter="0"/>
  <mergeCells count="1">
    <mergeCell ref="BY148:BZ148"/>
  </mergeCells>
  <pageMargins left="0.7" right="0.7" top="0.75" bottom="0.75" header="0.3" footer="0.3"/>
  <pageSetup orientation="portrait" r:id="rId1"/>
  <ignoredErrors>
    <ignoredError sqref="BY137 BY128:BY129 BY113:BY114" formula="1"/>
    <ignoredError sqref="BX9:BX33 BX36:BX69 BX34:BX35 BX74:BX89 BX71:BX72 BX70 BX73 BX93:BX96 BX91 BX104:BX106 BX128:BX129 BX97:BX103 BX115 BX107:BX111 BX116:BX127 BX138 BX130:BX135 BX139:BX140"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dimension ref="A2:O134"/>
  <sheetViews>
    <sheetView topLeftCell="A105" zoomScaleNormal="100" workbookViewId="0">
      <selection activeCell="G92" sqref="G92"/>
    </sheetView>
  </sheetViews>
  <sheetFormatPr defaultRowHeight="10.199999999999999"/>
  <cols>
    <col min="2" max="2" width="55.42578125" customWidth="1"/>
    <col min="3" max="3" width="17" customWidth="1"/>
  </cols>
  <sheetData>
    <row r="2" spans="1:14" s="26" customFormat="1" ht="13.2">
      <c r="A2" s="1240" t="s">
        <v>1911</v>
      </c>
      <c r="B2" s="1240"/>
      <c r="C2" s="1240"/>
      <c r="D2" s="1240"/>
      <c r="E2" s="1240"/>
      <c r="F2" s="1240"/>
      <c r="G2" s="1240"/>
      <c r="M2" s="571"/>
      <c r="N2" s="571"/>
    </row>
    <row r="3" spans="1:14" s="26" customFormat="1" ht="13.2">
      <c r="M3" s="571"/>
      <c r="N3" s="571"/>
    </row>
    <row r="4" spans="1:14" s="26" customFormat="1" ht="15.6">
      <c r="A4" s="572" t="s">
        <v>1912</v>
      </c>
      <c r="B4" s="573" t="s">
        <v>1256</v>
      </c>
      <c r="C4" s="573" t="s">
        <v>1257</v>
      </c>
      <c r="D4" s="1241" t="s">
        <v>1913</v>
      </c>
      <c r="E4" s="1241"/>
      <c r="F4" s="1241"/>
      <c r="G4" s="1241"/>
    </row>
    <row r="5" spans="1:14" s="26" customFormat="1" ht="15.6">
      <c r="A5" s="572" t="s">
        <v>1914</v>
      </c>
      <c r="B5" s="573" t="s">
        <v>1261</v>
      </c>
      <c r="C5" s="573" t="s">
        <v>1257</v>
      </c>
      <c r="D5" s="1241" t="s">
        <v>1915</v>
      </c>
      <c r="E5" s="1241"/>
      <c r="F5" s="1241"/>
      <c r="G5" s="1241"/>
      <c r="M5" s="574"/>
      <c r="N5" s="574"/>
    </row>
    <row r="6" spans="1:14" s="26" customFormat="1" ht="15.6">
      <c r="A6" s="572" t="s">
        <v>1916</v>
      </c>
      <c r="B6" s="573" t="s">
        <v>1264</v>
      </c>
      <c r="C6" s="573" t="s">
        <v>1257</v>
      </c>
      <c r="D6" s="573"/>
      <c r="E6" s="575"/>
      <c r="F6" s="575"/>
      <c r="G6" s="575"/>
    </row>
    <row r="7" spans="1:14" s="26" customFormat="1" ht="15.6">
      <c r="A7" s="572" t="s">
        <v>1917</v>
      </c>
      <c r="B7" s="573" t="s">
        <v>1267</v>
      </c>
      <c r="C7" s="573" t="s">
        <v>1257</v>
      </c>
      <c r="D7" s="573"/>
      <c r="E7" s="575"/>
      <c r="F7" s="575"/>
      <c r="G7" s="575"/>
      <c r="M7" s="576"/>
      <c r="N7" s="576"/>
    </row>
    <row r="8" spans="1:14" s="26" customFormat="1" ht="15.6">
      <c r="A8" s="572" t="s">
        <v>1918</v>
      </c>
      <c r="B8" s="573" t="s">
        <v>1270</v>
      </c>
      <c r="C8" s="573" t="s">
        <v>1257</v>
      </c>
      <c r="D8" s="573"/>
      <c r="E8" s="575"/>
      <c r="F8" s="575"/>
      <c r="G8" s="575"/>
      <c r="M8" s="576"/>
      <c r="N8" s="576"/>
    </row>
    <row r="9" spans="1:14" s="26" customFormat="1" ht="15.6">
      <c r="A9" s="572" t="s">
        <v>1919</v>
      </c>
      <c r="B9" s="573" t="s">
        <v>1273</v>
      </c>
      <c r="C9" s="573" t="s">
        <v>1257</v>
      </c>
      <c r="D9" s="573"/>
      <c r="E9" s="575"/>
      <c r="F9" s="575"/>
      <c r="G9" s="575"/>
      <c r="M9" s="576"/>
      <c r="N9" s="576"/>
    </row>
    <row r="10" spans="1:14" s="26" customFormat="1" ht="15.6">
      <c r="A10" s="572" t="s">
        <v>1920</v>
      </c>
      <c r="B10" s="573" t="s">
        <v>1276</v>
      </c>
      <c r="C10" s="573" t="s">
        <v>1257</v>
      </c>
      <c r="D10" s="573"/>
      <c r="E10" s="575"/>
      <c r="F10" s="575"/>
      <c r="G10" s="575"/>
      <c r="M10" s="574"/>
      <c r="N10" s="574"/>
    </row>
    <row r="11" spans="1:14" s="26" customFormat="1" ht="15.6">
      <c r="A11" s="572" t="s">
        <v>1921</v>
      </c>
      <c r="B11" s="573" t="s">
        <v>1281</v>
      </c>
      <c r="C11" s="573" t="s">
        <v>1257</v>
      </c>
      <c r="D11" s="573"/>
      <c r="E11" s="575"/>
      <c r="F11" s="575"/>
      <c r="G11" s="575"/>
    </row>
    <row r="12" spans="1:14" s="26" customFormat="1" ht="15.6">
      <c r="A12" s="572" t="s">
        <v>1922</v>
      </c>
      <c r="B12" s="573" t="s">
        <v>1284</v>
      </c>
      <c r="C12" s="573" t="s">
        <v>1257</v>
      </c>
      <c r="D12" s="573"/>
      <c r="E12" s="575"/>
      <c r="F12" s="575"/>
      <c r="G12" s="575"/>
      <c r="M12" s="576"/>
      <c r="N12" s="576"/>
    </row>
    <row r="13" spans="1:14" s="26" customFormat="1" ht="15.6">
      <c r="A13" s="572" t="s">
        <v>1923</v>
      </c>
      <c r="B13" s="573" t="s">
        <v>1287</v>
      </c>
      <c r="C13" s="573" t="s">
        <v>1257</v>
      </c>
      <c r="D13" s="573"/>
      <c r="E13" s="575"/>
      <c r="F13" s="575"/>
      <c r="G13" s="575"/>
      <c r="M13" s="576"/>
      <c r="N13" s="576"/>
    </row>
    <row r="14" spans="1:14" s="26" customFormat="1" ht="15.6">
      <c r="A14" s="572" t="s">
        <v>1924</v>
      </c>
      <c r="B14" s="573" t="s">
        <v>1290</v>
      </c>
      <c r="C14" s="573" t="s">
        <v>1257</v>
      </c>
      <c r="D14" s="573"/>
      <c r="E14" s="575"/>
      <c r="F14" s="575"/>
      <c r="G14" s="575"/>
      <c r="M14" s="576"/>
      <c r="N14" s="576"/>
    </row>
    <row r="15" spans="1:14" s="26" customFormat="1" ht="15.6">
      <c r="A15" s="572" t="s">
        <v>1925</v>
      </c>
      <c r="B15" s="573" t="s">
        <v>1293</v>
      </c>
      <c r="C15" s="573" t="s">
        <v>1257</v>
      </c>
      <c r="D15" s="573"/>
      <c r="E15" s="575"/>
      <c r="F15" s="575"/>
      <c r="G15" s="575"/>
      <c r="M15" s="574"/>
      <c r="N15" s="574"/>
    </row>
    <row r="16" spans="1:14" s="26" customFormat="1" ht="15.6">
      <c r="A16" s="572" t="s">
        <v>1926</v>
      </c>
      <c r="B16" s="573" t="s">
        <v>1296</v>
      </c>
      <c r="C16" s="573" t="s">
        <v>1257</v>
      </c>
      <c r="D16" s="573"/>
      <c r="E16" s="575"/>
      <c r="F16" s="575"/>
      <c r="G16" s="575"/>
    </row>
    <row r="17" spans="1:15" s="26" customFormat="1" ht="15.6">
      <c r="A17" s="572" t="s">
        <v>1927</v>
      </c>
      <c r="B17" s="573" t="s">
        <v>1297</v>
      </c>
      <c r="C17" s="573" t="s">
        <v>1257</v>
      </c>
      <c r="D17" s="573"/>
      <c r="E17" s="575"/>
      <c r="F17" s="575"/>
      <c r="G17" s="575"/>
      <c r="M17" s="576"/>
      <c r="N17" s="576"/>
    </row>
    <row r="18" spans="1:15" s="26" customFormat="1" ht="15.6">
      <c r="A18" s="572" t="s">
        <v>1928</v>
      </c>
      <c r="B18" s="573" t="s">
        <v>1300</v>
      </c>
      <c r="C18" s="573" t="s">
        <v>1257</v>
      </c>
      <c r="D18" s="573"/>
      <c r="E18" s="575"/>
      <c r="F18" s="575"/>
      <c r="G18" s="575"/>
      <c r="M18" s="576"/>
      <c r="N18" s="576"/>
    </row>
    <row r="19" spans="1:15" s="26" customFormat="1" ht="15.6">
      <c r="A19" s="572" t="s">
        <v>1929</v>
      </c>
      <c r="B19" s="573" t="s">
        <v>1303</v>
      </c>
      <c r="C19" s="573" t="s">
        <v>1257</v>
      </c>
      <c r="D19" s="573"/>
      <c r="E19" s="575"/>
      <c r="F19" s="575"/>
      <c r="G19" s="575"/>
      <c r="M19" s="576"/>
      <c r="N19" s="576"/>
    </row>
    <row r="20" spans="1:15" s="26" customFormat="1" ht="15.6">
      <c r="A20" s="572" t="s">
        <v>1930</v>
      </c>
      <c r="B20" s="573" t="s">
        <v>1306</v>
      </c>
      <c r="C20" s="573" t="s">
        <v>1257</v>
      </c>
      <c r="D20" s="573"/>
      <c r="E20" s="575"/>
      <c r="F20" s="575"/>
      <c r="G20" s="575"/>
      <c r="M20" s="574"/>
      <c r="N20" s="574"/>
    </row>
    <row r="21" spans="1:15" s="26" customFormat="1" ht="15.6">
      <c r="A21" s="572" t="s">
        <v>1931</v>
      </c>
      <c r="B21" s="573" t="s">
        <v>1309</v>
      </c>
      <c r="C21" s="573" t="s">
        <v>1257</v>
      </c>
      <c r="D21" s="573"/>
      <c r="E21" s="575"/>
      <c r="F21" s="575"/>
      <c r="G21" s="575"/>
    </row>
    <row r="22" spans="1:15" s="26" customFormat="1" ht="15.6">
      <c r="A22" s="572" t="s">
        <v>1312</v>
      </c>
      <c r="B22" s="573" t="s">
        <v>1313</v>
      </c>
      <c r="C22" s="573" t="s">
        <v>1257</v>
      </c>
      <c r="D22" s="573"/>
      <c r="E22" s="575"/>
      <c r="F22" s="575"/>
      <c r="G22" s="575"/>
      <c r="M22" s="577"/>
      <c r="N22" s="577"/>
      <c r="O22" s="577"/>
    </row>
    <row r="23" spans="1:15" s="26" customFormat="1" ht="15.6">
      <c r="A23" s="572" t="s">
        <v>1316</v>
      </c>
      <c r="B23" s="573" t="s">
        <v>1317</v>
      </c>
      <c r="C23" s="573" t="s">
        <v>1257</v>
      </c>
      <c r="D23" s="573"/>
      <c r="E23" s="575"/>
      <c r="F23" s="575"/>
      <c r="G23" s="575"/>
      <c r="M23" s="571"/>
      <c r="N23" s="571"/>
    </row>
    <row r="24" spans="1:15" s="26" customFormat="1" ht="15.6">
      <c r="A24" s="572" t="s">
        <v>1932</v>
      </c>
      <c r="B24" s="573" t="s">
        <v>1320</v>
      </c>
      <c r="C24" s="573" t="s">
        <v>1257</v>
      </c>
      <c r="D24" s="573"/>
      <c r="E24" s="575"/>
      <c r="F24" s="575"/>
      <c r="G24" s="575"/>
      <c r="M24" s="571"/>
      <c r="N24" s="571"/>
    </row>
    <row r="25" spans="1:15" s="26" customFormat="1" ht="15.6">
      <c r="A25" s="572" t="s">
        <v>1933</v>
      </c>
      <c r="B25" s="573" t="s">
        <v>1321</v>
      </c>
      <c r="C25" s="573" t="s">
        <v>1257</v>
      </c>
      <c r="D25" s="573"/>
      <c r="E25" s="575"/>
      <c r="F25" s="575"/>
      <c r="G25" s="575"/>
      <c r="M25" s="571"/>
      <c r="N25" s="571"/>
    </row>
    <row r="26" spans="1:15" s="26" customFormat="1" ht="15.6">
      <c r="A26" s="572" t="s">
        <v>1934</v>
      </c>
      <c r="B26" s="573" t="s">
        <v>1324</v>
      </c>
      <c r="C26" s="573" t="s">
        <v>1257</v>
      </c>
      <c r="D26" s="573"/>
      <c r="E26" s="575"/>
      <c r="F26" s="575"/>
      <c r="G26" s="575"/>
      <c r="M26" s="574"/>
      <c r="N26" s="574"/>
    </row>
    <row r="27" spans="1:15" s="26" customFormat="1" ht="15.6">
      <c r="A27" s="572" t="s">
        <v>1935</v>
      </c>
      <c r="B27" s="573" t="s">
        <v>1327</v>
      </c>
      <c r="C27" s="573" t="s">
        <v>1257</v>
      </c>
      <c r="D27" s="573"/>
      <c r="E27" s="575"/>
      <c r="F27" s="575"/>
      <c r="G27" s="575"/>
    </row>
    <row r="28" spans="1:15" s="26" customFormat="1" ht="15.6">
      <c r="A28" s="572" t="s">
        <v>1936</v>
      </c>
      <c r="B28" s="573" t="s">
        <v>1330</v>
      </c>
      <c r="C28" s="573" t="s">
        <v>1257</v>
      </c>
      <c r="D28" s="573"/>
      <c r="E28" s="575"/>
      <c r="F28" s="575"/>
      <c r="G28" s="575"/>
      <c r="M28" s="577"/>
      <c r="N28" s="577"/>
      <c r="O28" s="577"/>
    </row>
    <row r="29" spans="1:15" s="26" customFormat="1" ht="15.6">
      <c r="A29" s="572" t="s">
        <v>1937</v>
      </c>
      <c r="B29" s="573" t="s">
        <v>1368</v>
      </c>
      <c r="C29" s="573" t="s">
        <v>1257</v>
      </c>
      <c r="D29" s="573"/>
      <c r="E29" s="575"/>
      <c r="F29" s="575"/>
      <c r="G29" s="575"/>
    </row>
    <row r="30" spans="1:15" s="26" customFormat="1" ht="15.6">
      <c r="A30" s="572" t="s">
        <v>1938</v>
      </c>
      <c r="B30" s="573" t="s">
        <v>1371</v>
      </c>
      <c r="C30" s="573" t="s">
        <v>1257</v>
      </c>
      <c r="D30" s="573"/>
      <c r="E30" s="575"/>
      <c r="F30" s="575"/>
      <c r="G30" s="575"/>
    </row>
    <row r="31" spans="1:15" s="26" customFormat="1" ht="15.6">
      <c r="A31" s="572" t="s">
        <v>1372</v>
      </c>
      <c r="B31" s="573" t="s">
        <v>1373</v>
      </c>
      <c r="C31" s="573" t="s">
        <v>1257</v>
      </c>
      <c r="D31" s="573"/>
      <c r="E31" s="575"/>
      <c r="F31" s="575"/>
      <c r="G31" s="575"/>
    </row>
    <row r="32" spans="1:15" s="26" customFormat="1" ht="15.6">
      <c r="A32" s="572" t="s">
        <v>1939</v>
      </c>
      <c r="B32" s="573" t="s">
        <v>1376</v>
      </c>
      <c r="C32" s="573" t="s">
        <v>1257</v>
      </c>
      <c r="D32" s="573"/>
      <c r="E32" s="575"/>
      <c r="F32" s="575"/>
      <c r="G32" s="575"/>
      <c r="M32" s="574"/>
      <c r="N32" s="574"/>
    </row>
    <row r="33" spans="1:15" s="26" customFormat="1" ht="15.6">
      <c r="A33" s="572" t="s">
        <v>1379</v>
      </c>
      <c r="B33" s="573" t="s">
        <v>1380</v>
      </c>
      <c r="C33" s="573" t="s">
        <v>1257</v>
      </c>
      <c r="D33" s="573"/>
      <c r="E33" s="575"/>
      <c r="F33" s="575"/>
      <c r="G33" s="575"/>
    </row>
    <row r="34" spans="1:15" s="26" customFormat="1" ht="15.6">
      <c r="A34" s="572" t="s">
        <v>1383</v>
      </c>
      <c r="B34" s="578" t="s">
        <v>1384</v>
      </c>
      <c r="C34" s="573" t="s">
        <v>1257</v>
      </c>
      <c r="D34" s="573"/>
      <c r="E34" s="575"/>
      <c r="F34" s="575"/>
      <c r="G34" s="575"/>
      <c r="M34" s="577"/>
      <c r="N34" s="577"/>
      <c r="O34" s="577"/>
    </row>
    <row r="35" spans="1:15" s="26" customFormat="1" ht="15.6">
      <c r="A35" s="572" t="s">
        <v>1389</v>
      </c>
      <c r="B35" s="573" t="s">
        <v>1390</v>
      </c>
      <c r="C35" s="573" t="s">
        <v>1257</v>
      </c>
      <c r="D35" s="573"/>
      <c r="E35" s="575"/>
      <c r="F35" s="575"/>
      <c r="G35" s="575"/>
      <c r="M35" s="571"/>
      <c r="N35" s="571"/>
    </row>
    <row r="36" spans="1:15" s="26" customFormat="1" ht="15.6">
      <c r="A36" s="572" t="s">
        <v>1393</v>
      </c>
      <c r="B36" s="573" t="s">
        <v>1394</v>
      </c>
      <c r="C36" s="573" t="s">
        <v>1257</v>
      </c>
      <c r="D36" s="573"/>
      <c r="E36" s="575"/>
      <c r="F36" s="575"/>
      <c r="G36" s="575"/>
      <c r="M36" s="571"/>
      <c r="N36" s="571"/>
    </row>
    <row r="37" spans="1:15" s="26" customFormat="1" ht="16.2" thickBot="1">
      <c r="A37" s="579" t="s">
        <v>1397</v>
      </c>
      <c r="B37" s="580" t="s">
        <v>1398</v>
      </c>
      <c r="C37" s="580" t="s">
        <v>1257</v>
      </c>
      <c r="D37" s="580"/>
      <c r="E37" s="581"/>
      <c r="F37" s="581"/>
      <c r="G37" s="581"/>
      <c r="M37" s="571"/>
      <c r="N37" s="571"/>
    </row>
    <row r="38" spans="1:15" s="26" customFormat="1" ht="15.6">
      <c r="A38" s="582" t="s">
        <v>1333</v>
      </c>
      <c r="B38" s="583" t="s">
        <v>1334</v>
      </c>
      <c r="C38" s="584" t="s">
        <v>1335</v>
      </c>
      <c r="D38" s="1242" t="s">
        <v>1940</v>
      </c>
      <c r="E38" s="1242"/>
      <c r="F38" s="1242"/>
      <c r="G38" s="1242"/>
      <c r="M38" s="574"/>
      <c r="N38" s="574"/>
    </row>
    <row r="39" spans="1:15" s="26" customFormat="1" ht="15.6">
      <c r="A39" s="582" t="s">
        <v>1941</v>
      </c>
      <c r="B39" s="584" t="s">
        <v>1340</v>
      </c>
      <c r="C39" s="584" t="s">
        <v>1335</v>
      </c>
      <c r="D39" s="1243" t="s">
        <v>1942</v>
      </c>
      <c r="E39" s="1243"/>
      <c r="F39" s="1243"/>
      <c r="G39" s="1243"/>
    </row>
    <row r="40" spans="1:15" s="26" customFormat="1" ht="15.6">
      <c r="A40" s="582" t="s">
        <v>1344</v>
      </c>
      <c r="B40" s="584" t="s">
        <v>1345</v>
      </c>
      <c r="C40" s="584" t="s">
        <v>1335</v>
      </c>
      <c r="D40" s="584"/>
      <c r="E40" s="585"/>
      <c r="F40" s="585"/>
      <c r="G40" s="585"/>
      <c r="M40" s="577"/>
      <c r="N40" s="577"/>
      <c r="O40" s="577"/>
    </row>
    <row r="41" spans="1:15" s="26" customFormat="1" ht="15.6">
      <c r="A41" s="582" t="s">
        <v>1348</v>
      </c>
      <c r="B41" s="584" t="s">
        <v>1349</v>
      </c>
      <c r="C41" s="584" t="s">
        <v>1335</v>
      </c>
      <c r="D41" s="584"/>
      <c r="E41" s="585"/>
      <c r="F41" s="585"/>
      <c r="G41" s="585"/>
      <c r="M41" s="571"/>
      <c r="N41" s="571"/>
    </row>
    <row r="42" spans="1:15" s="26" customFormat="1" ht="15.6">
      <c r="A42" s="582" t="s">
        <v>1352</v>
      </c>
      <c r="B42" s="584" t="s">
        <v>1353</v>
      </c>
      <c r="C42" s="584" t="s">
        <v>1335</v>
      </c>
      <c r="D42" s="584"/>
      <c r="E42" s="585"/>
      <c r="F42" s="585"/>
      <c r="G42" s="585"/>
      <c r="M42" s="571"/>
      <c r="N42" s="571"/>
    </row>
    <row r="43" spans="1:15" s="26" customFormat="1" ht="15.6">
      <c r="A43" s="582" t="s">
        <v>1356</v>
      </c>
      <c r="B43" s="584" t="s">
        <v>1357</v>
      </c>
      <c r="C43" s="584" t="s">
        <v>1335</v>
      </c>
      <c r="D43" s="584"/>
      <c r="E43" s="585"/>
      <c r="F43" s="585"/>
      <c r="G43" s="585"/>
      <c r="M43" s="571"/>
      <c r="N43" s="571"/>
    </row>
    <row r="44" spans="1:15" s="26" customFormat="1" ht="15.6">
      <c r="A44" s="582" t="s">
        <v>1360</v>
      </c>
      <c r="B44" s="583" t="s">
        <v>1361</v>
      </c>
      <c r="C44" s="584" t="s">
        <v>1335</v>
      </c>
      <c r="D44" s="584"/>
      <c r="E44" s="585"/>
      <c r="F44" s="585"/>
      <c r="G44" s="585"/>
      <c r="M44" s="574"/>
      <c r="N44" s="574"/>
    </row>
    <row r="45" spans="1:15" s="26" customFormat="1" ht="15.6">
      <c r="A45" s="582" t="s">
        <v>1364</v>
      </c>
      <c r="B45" s="583" t="s">
        <v>1943</v>
      </c>
      <c r="C45" s="584" t="s">
        <v>1335</v>
      </c>
      <c r="D45" s="584"/>
      <c r="E45" s="585"/>
      <c r="F45" s="585"/>
      <c r="G45" s="585"/>
    </row>
    <row r="46" spans="1:15" s="26" customFormat="1" ht="15.6">
      <c r="A46" s="582" t="s">
        <v>1366</v>
      </c>
      <c r="B46" s="583" t="s">
        <v>1367</v>
      </c>
      <c r="C46" s="584" t="s">
        <v>1335</v>
      </c>
      <c r="D46" s="584"/>
      <c r="E46" s="585"/>
      <c r="F46" s="585"/>
      <c r="G46" s="585"/>
      <c r="M46" s="576"/>
      <c r="N46" s="576"/>
    </row>
    <row r="47" spans="1:15" s="26" customFormat="1" ht="15.6">
      <c r="A47" s="586" t="s">
        <v>1944</v>
      </c>
      <c r="B47" s="587" t="s">
        <v>1385</v>
      </c>
      <c r="C47" s="587" t="s">
        <v>1335</v>
      </c>
      <c r="D47" s="587"/>
      <c r="E47" s="585"/>
      <c r="F47" s="585"/>
      <c r="G47" s="585"/>
    </row>
    <row r="48" spans="1:15" s="26" customFormat="1" ht="15.6">
      <c r="A48" s="586" t="s">
        <v>1401</v>
      </c>
      <c r="B48" s="587" t="s">
        <v>1945</v>
      </c>
      <c r="C48" s="587" t="s">
        <v>1335</v>
      </c>
      <c r="D48" s="587"/>
      <c r="E48" s="585"/>
      <c r="F48" s="585"/>
      <c r="G48" s="585"/>
    </row>
    <row r="49" spans="1:7" s="26" customFormat="1" ht="15.6">
      <c r="A49" s="586" t="s">
        <v>1407</v>
      </c>
      <c r="B49" s="587" t="s">
        <v>1408</v>
      </c>
      <c r="C49" s="587" t="s">
        <v>1335</v>
      </c>
      <c r="D49" s="587"/>
      <c r="E49" s="585"/>
      <c r="F49" s="585"/>
      <c r="G49" s="585"/>
    </row>
    <row r="50" spans="1:7" s="26" customFormat="1" ht="15.6">
      <c r="A50" s="586" t="s">
        <v>1411</v>
      </c>
      <c r="B50" s="587" t="s">
        <v>1412</v>
      </c>
      <c r="C50" s="587" t="s">
        <v>1335</v>
      </c>
      <c r="D50" s="587"/>
      <c r="E50" s="585"/>
      <c r="F50" s="585"/>
      <c r="G50" s="585"/>
    </row>
    <row r="51" spans="1:7" s="26" customFormat="1" ht="15.6">
      <c r="A51" s="586" t="s">
        <v>1415</v>
      </c>
      <c r="B51" s="587" t="s">
        <v>1416</v>
      </c>
      <c r="C51" s="587" t="s">
        <v>1335</v>
      </c>
      <c r="D51" s="587"/>
      <c r="E51" s="585"/>
      <c r="F51" s="585"/>
      <c r="G51" s="585"/>
    </row>
    <row r="52" spans="1:7" s="26" customFormat="1" ht="15.6">
      <c r="A52" s="586" t="s">
        <v>1419</v>
      </c>
      <c r="B52" s="587" t="s">
        <v>1420</v>
      </c>
      <c r="C52" s="587" t="s">
        <v>1335</v>
      </c>
      <c r="D52" s="587"/>
      <c r="E52" s="585"/>
      <c r="F52" s="585"/>
      <c r="G52" s="585"/>
    </row>
    <row r="53" spans="1:7" s="26" customFormat="1" ht="15.6">
      <c r="A53" s="586" t="s">
        <v>1423</v>
      </c>
      <c r="B53" s="587" t="s">
        <v>1424</v>
      </c>
      <c r="C53" s="587" t="s">
        <v>1335</v>
      </c>
      <c r="D53" s="587"/>
      <c r="E53" s="585"/>
      <c r="F53" s="585"/>
      <c r="G53" s="585"/>
    </row>
    <row r="54" spans="1:7" s="26" customFormat="1" ht="15.6">
      <c r="A54" s="586" t="s">
        <v>1427</v>
      </c>
      <c r="B54" s="587" t="s">
        <v>1428</v>
      </c>
      <c r="C54" s="587" t="s">
        <v>1335</v>
      </c>
      <c r="D54" s="587"/>
      <c r="E54" s="585"/>
      <c r="F54" s="585"/>
      <c r="G54" s="585"/>
    </row>
    <row r="55" spans="1:7" s="26" customFormat="1" ht="15.6">
      <c r="A55" s="586" t="s">
        <v>1431</v>
      </c>
      <c r="B55" s="587" t="s">
        <v>1432</v>
      </c>
      <c r="C55" s="587" t="s">
        <v>1335</v>
      </c>
      <c r="D55" s="587"/>
      <c r="E55" s="585"/>
      <c r="F55" s="585"/>
      <c r="G55" s="585"/>
    </row>
    <row r="56" spans="1:7" s="26" customFormat="1" ht="15.6">
      <c r="A56" s="586" t="s">
        <v>1435</v>
      </c>
      <c r="B56" s="587" t="s">
        <v>1436</v>
      </c>
      <c r="C56" s="587" t="s">
        <v>1335</v>
      </c>
      <c r="D56" s="587"/>
      <c r="E56" s="585"/>
      <c r="F56" s="585"/>
      <c r="G56" s="585"/>
    </row>
    <row r="57" spans="1:7" s="26" customFormat="1" ht="15.6">
      <c r="A57" s="586" t="s">
        <v>1439</v>
      </c>
      <c r="B57" s="587" t="s">
        <v>1440</v>
      </c>
      <c r="C57" s="587" t="s">
        <v>1335</v>
      </c>
      <c r="D57" s="587"/>
      <c r="E57" s="585"/>
      <c r="F57" s="585"/>
      <c r="G57" s="585"/>
    </row>
    <row r="58" spans="1:7" s="26" customFormat="1" ht="15.6">
      <c r="A58" s="586" t="s">
        <v>1443</v>
      </c>
      <c r="B58" s="587" t="s">
        <v>1444</v>
      </c>
      <c r="C58" s="587" t="s">
        <v>1335</v>
      </c>
      <c r="D58" s="587"/>
      <c r="E58" s="585"/>
      <c r="F58" s="585"/>
      <c r="G58" s="585"/>
    </row>
    <row r="59" spans="1:7" s="26" customFormat="1" ht="15.6">
      <c r="A59" s="586" t="s">
        <v>1447</v>
      </c>
      <c r="B59" s="587" t="s">
        <v>1448</v>
      </c>
      <c r="C59" s="587" t="s">
        <v>1335</v>
      </c>
      <c r="D59" s="587"/>
      <c r="E59" s="585"/>
      <c r="F59" s="585"/>
      <c r="G59" s="585"/>
    </row>
    <row r="60" spans="1:7" s="26" customFormat="1" ht="15.6">
      <c r="A60" s="586" t="s">
        <v>1451</v>
      </c>
      <c r="B60" s="587" t="s">
        <v>1452</v>
      </c>
      <c r="C60" s="587" t="s">
        <v>1335</v>
      </c>
      <c r="D60" s="587"/>
      <c r="E60" s="585"/>
      <c r="F60" s="585"/>
      <c r="G60" s="585"/>
    </row>
    <row r="61" spans="1:7" s="26" customFormat="1" ht="15.6">
      <c r="A61" s="586" t="s">
        <v>1455</v>
      </c>
      <c r="B61" s="587" t="s">
        <v>1456</v>
      </c>
      <c r="C61" s="587" t="s">
        <v>1335</v>
      </c>
      <c r="D61" s="587"/>
      <c r="E61" s="585"/>
      <c r="F61" s="585"/>
      <c r="G61" s="585"/>
    </row>
    <row r="62" spans="1:7" s="26" customFormat="1" ht="15.6">
      <c r="A62" s="586" t="s">
        <v>1459</v>
      </c>
      <c r="B62" s="587" t="s">
        <v>1460</v>
      </c>
      <c r="C62" s="587" t="s">
        <v>1335</v>
      </c>
      <c r="D62" s="587"/>
      <c r="E62" s="585"/>
      <c r="F62" s="585"/>
      <c r="G62" s="585"/>
    </row>
    <row r="63" spans="1:7" s="26" customFormat="1" ht="15.6">
      <c r="A63" s="586" t="s">
        <v>1463</v>
      </c>
      <c r="B63" s="587" t="s">
        <v>1464</v>
      </c>
      <c r="C63" s="587" t="s">
        <v>1335</v>
      </c>
      <c r="D63" s="587"/>
      <c r="E63" s="585"/>
      <c r="F63" s="585"/>
      <c r="G63" s="585"/>
    </row>
    <row r="64" spans="1:7" s="26" customFormat="1" ht="15.6">
      <c r="A64" s="586" t="s">
        <v>1467</v>
      </c>
      <c r="B64" s="587" t="s">
        <v>1468</v>
      </c>
      <c r="C64" s="587" t="s">
        <v>1335</v>
      </c>
      <c r="D64" s="587"/>
      <c r="E64" s="585"/>
      <c r="F64" s="585"/>
      <c r="G64" s="585"/>
    </row>
    <row r="65" spans="1:7" s="26" customFormat="1" ht="15.6">
      <c r="A65" s="586" t="s">
        <v>1471</v>
      </c>
      <c r="B65" s="587" t="s">
        <v>1472</v>
      </c>
      <c r="C65" s="587" t="s">
        <v>1473</v>
      </c>
      <c r="D65" s="587"/>
      <c r="E65" s="585"/>
      <c r="F65" s="585"/>
      <c r="G65" s="585"/>
    </row>
    <row r="66" spans="1:7" s="26" customFormat="1" ht="15.6">
      <c r="A66" s="586" t="s">
        <v>1477</v>
      </c>
      <c r="B66" s="587" t="s">
        <v>1478</v>
      </c>
      <c r="C66" s="587" t="s">
        <v>1473</v>
      </c>
      <c r="D66" s="587"/>
      <c r="E66" s="585"/>
      <c r="F66" s="585"/>
      <c r="G66" s="585"/>
    </row>
    <row r="67" spans="1:7" s="26" customFormat="1" ht="15.6">
      <c r="A67" s="586" t="s">
        <v>1481</v>
      </c>
      <c r="B67" s="587" t="s">
        <v>1482</v>
      </c>
      <c r="C67" s="587" t="s">
        <v>1473</v>
      </c>
      <c r="D67" s="587"/>
      <c r="E67" s="585"/>
      <c r="F67" s="585"/>
      <c r="G67" s="585"/>
    </row>
    <row r="68" spans="1:7" s="26" customFormat="1" ht="15.6">
      <c r="A68" s="586" t="s">
        <v>1486</v>
      </c>
      <c r="B68" s="587" t="s">
        <v>1487</v>
      </c>
      <c r="C68" s="587" t="s">
        <v>1473</v>
      </c>
      <c r="D68" s="587"/>
      <c r="E68" s="585"/>
      <c r="F68" s="585"/>
      <c r="G68" s="585"/>
    </row>
    <row r="69" spans="1:7" s="26" customFormat="1" ht="15.6">
      <c r="A69" s="586" t="s">
        <v>1491</v>
      </c>
      <c r="B69" s="587" t="s">
        <v>1492</v>
      </c>
      <c r="C69" s="587" t="s">
        <v>1473</v>
      </c>
      <c r="D69" s="587"/>
      <c r="E69" s="585"/>
      <c r="F69" s="585"/>
      <c r="G69" s="585"/>
    </row>
    <row r="70" spans="1:7" s="26" customFormat="1" ht="15.6">
      <c r="A70" s="586" t="s">
        <v>1495</v>
      </c>
      <c r="B70" s="587" t="s">
        <v>1496</v>
      </c>
      <c r="C70" s="587" t="s">
        <v>1473</v>
      </c>
      <c r="D70" s="587"/>
      <c r="E70" s="585"/>
      <c r="F70" s="585"/>
      <c r="G70" s="585"/>
    </row>
    <row r="71" spans="1:7" s="26" customFormat="1" ht="15.6">
      <c r="A71" s="586" t="s">
        <v>1499</v>
      </c>
      <c r="B71" s="587" t="s">
        <v>1500</v>
      </c>
      <c r="C71" s="587" t="s">
        <v>1473</v>
      </c>
      <c r="D71" s="587"/>
      <c r="E71" s="585"/>
      <c r="F71" s="585"/>
      <c r="G71" s="585"/>
    </row>
    <row r="72" spans="1:7" s="26" customFormat="1" ht="15.6">
      <c r="A72" s="586" t="s">
        <v>1504</v>
      </c>
      <c r="B72" s="587" t="s">
        <v>1505</v>
      </c>
      <c r="C72" s="587" t="s">
        <v>1473</v>
      </c>
      <c r="D72" s="587"/>
      <c r="E72" s="585"/>
      <c r="F72" s="585"/>
      <c r="G72" s="585"/>
    </row>
    <row r="73" spans="1:7" s="26" customFormat="1" ht="15.6">
      <c r="A73" s="586" t="s">
        <v>1509</v>
      </c>
      <c r="B73" s="587" t="s">
        <v>1510</v>
      </c>
      <c r="C73" s="587" t="s">
        <v>1473</v>
      </c>
      <c r="D73" s="587"/>
      <c r="E73" s="585"/>
      <c r="F73" s="585"/>
      <c r="G73" s="585"/>
    </row>
    <row r="74" spans="1:7" s="26" customFormat="1" ht="15.6">
      <c r="A74" s="586" t="s">
        <v>1513</v>
      </c>
      <c r="B74" s="587" t="s">
        <v>1514</v>
      </c>
      <c r="C74" s="587" t="s">
        <v>1473</v>
      </c>
      <c r="D74" s="587"/>
      <c r="E74" s="585"/>
      <c r="F74" s="585"/>
      <c r="G74" s="585"/>
    </row>
    <row r="75" spans="1:7" s="26" customFormat="1" ht="15.6">
      <c r="A75" s="586" t="s">
        <v>1517</v>
      </c>
      <c r="B75" s="587" t="s">
        <v>1518</v>
      </c>
      <c r="C75" s="587" t="s">
        <v>1335</v>
      </c>
      <c r="D75" s="587"/>
      <c r="E75" s="585"/>
      <c r="F75" s="585"/>
      <c r="G75" s="585"/>
    </row>
    <row r="76" spans="1:7" s="26" customFormat="1" ht="15.6">
      <c r="A76" s="586" t="s">
        <v>1522</v>
      </c>
      <c r="B76" s="587" t="s">
        <v>1523</v>
      </c>
      <c r="C76" s="587" t="s">
        <v>1473</v>
      </c>
      <c r="D76" s="587"/>
      <c r="E76" s="585"/>
      <c r="F76" s="585"/>
      <c r="G76" s="585"/>
    </row>
    <row r="77" spans="1:7" s="26" customFormat="1" ht="15.6">
      <c r="A77" s="586" t="s">
        <v>1070</v>
      </c>
      <c r="B77" s="587" t="s">
        <v>5</v>
      </c>
      <c r="C77" s="587" t="s">
        <v>1527</v>
      </c>
      <c r="D77" s="587"/>
      <c r="E77" s="585"/>
      <c r="F77" s="585"/>
      <c r="G77" s="585"/>
    </row>
    <row r="78" spans="1:7" s="26" customFormat="1" ht="15.6">
      <c r="A78" s="586" t="s">
        <v>1072</v>
      </c>
      <c r="B78" s="587" t="s">
        <v>1073</v>
      </c>
      <c r="C78" s="587" t="s">
        <v>1527</v>
      </c>
      <c r="D78" s="587"/>
      <c r="E78" s="585"/>
      <c r="F78" s="585"/>
      <c r="G78" s="585"/>
    </row>
    <row r="79" spans="1:7" s="26" customFormat="1" ht="15.6">
      <c r="A79" s="586" t="s">
        <v>1075</v>
      </c>
      <c r="B79" s="587" t="s">
        <v>1076</v>
      </c>
      <c r="C79" s="587" t="s">
        <v>1527</v>
      </c>
      <c r="D79" s="587"/>
      <c r="E79" s="585"/>
      <c r="F79" s="585"/>
      <c r="G79" s="585"/>
    </row>
    <row r="80" spans="1:7" s="26" customFormat="1" ht="15.6">
      <c r="A80" s="586" t="s">
        <v>1078</v>
      </c>
      <c r="B80" s="587" t="s">
        <v>1079</v>
      </c>
      <c r="C80" s="587" t="s">
        <v>1527</v>
      </c>
      <c r="D80" s="587"/>
      <c r="E80" s="585"/>
      <c r="F80" s="585"/>
      <c r="G80" s="585"/>
    </row>
    <row r="81" spans="1:7" s="26" customFormat="1" ht="15.6">
      <c r="A81" s="586" t="s">
        <v>1081</v>
      </c>
      <c r="B81" s="587" t="s">
        <v>1082</v>
      </c>
      <c r="C81" s="587" t="s">
        <v>1527</v>
      </c>
      <c r="D81" s="587"/>
      <c r="E81" s="585"/>
      <c r="F81" s="585"/>
      <c r="G81" s="585"/>
    </row>
    <row r="82" spans="1:7" s="26" customFormat="1" ht="15.6">
      <c r="A82" s="586" t="s">
        <v>1084</v>
      </c>
      <c r="B82" s="587" t="s">
        <v>1085</v>
      </c>
      <c r="C82" s="587" t="s">
        <v>1527</v>
      </c>
      <c r="D82" s="587"/>
      <c r="E82" s="585"/>
      <c r="F82" s="585"/>
      <c r="G82" s="585"/>
    </row>
    <row r="83" spans="1:7" s="26" customFormat="1" ht="15.6">
      <c r="A83" s="586" t="s">
        <v>1087</v>
      </c>
      <c r="B83" s="587" t="s">
        <v>1088</v>
      </c>
      <c r="C83" s="587" t="s">
        <v>1527</v>
      </c>
      <c r="D83" s="587"/>
      <c r="E83" s="585"/>
      <c r="F83" s="585"/>
      <c r="G83" s="585"/>
    </row>
    <row r="84" spans="1:7" s="26" customFormat="1" ht="15.6">
      <c r="A84" s="586" t="s">
        <v>1090</v>
      </c>
      <c r="B84" s="587" t="s">
        <v>1091</v>
      </c>
      <c r="C84" s="587" t="s">
        <v>1527</v>
      </c>
      <c r="D84" s="587"/>
      <c r="E84" s="585"/>
      <c r="F84" s="585"/>
      <c r="G84" s="585"/>
    </row>
    <row r="85" spans="1:7" s="26" customFormat="1" ht="15.6">
      <c r="A85" s="586" t="s">
        <v>1093</v>
      </c>
      <c r="B85" s="587" t="s">
        <v>1094</v>
      </c>
      <c r="C85" s="587" t="s">
        <v>1527</v>
      </c>
      <c r="D85" s="587"/>
      <c r="E85" s="585"/>
      <c r="F85" s="585"/>
      <c r="G85" s="585"/>
    </row>
    <row r="86" spans="1:7" s="26" customFormat="1" ht="15.6">
      <c r="A86" s="586" t="s">
        <v>1096</v>
      </c>
      <c r="B86" s="587" t="s">
        <v>1097</v>
      </c>
      <c r="C86" s="587" t="s">
        <v>1527</v>
      </c>
      <c r="D86" s="587"/>
      <c r="E86" s="585"/>
      <c r="F86" s="585"/>
      <c r="G86" s="585"/>
    </row>
    <row r="87" spans="1:7" s="26" customFormat="1" ht="15.6">
      <c r="A87" s="586" t="s">
        <v>1099</v>
      </c>
      <c r="B87" s="587" t="s">
        <v>1100</v>
      </c>
      <c r="C87" s="587" t="s">
        <v>1527</v>
      </c>
      <c r="D87" s="587"/>
      <c r="E87" s="585"/>
      <c r="F87" s="585"/>
      <c r="G87" s="585"/>
    </row>
    <row r="88" spans="1:7" s="26" customFormat="1" ht="15.6">
      <c r="A88" s="586" t="s">
        <v>1102</v>
      </c>
      <c r="B88" s="587" t="s">
        <v>1103</v>
      </c>
      <c r="C88" s="587" t="s">
        <v>1527</v>
      </c>
      <c r="D88" s="587"/>
      <c r="E88" s="585"/>
      <c r="F88" s="585"/>
      <c r="G88" s="585"/>
    </row>
    <row r="89" spans="1:7" s="26" customFormat="1" ht="15.6">
      <c r="A89" s="586" t="s">
        <v>1105</v>
      </c>
      <c r="B89" s="587" t="s">
        <v>1106</v>
      </c>
      <c r="C89" s="587" t="s">
        <v>1527</v>
      </c>
      <c r="D89" s="587"/>
      <c r="E89" s="585"/>
      <c r="F89" s="585"/>
      <c r="G89" s="585"/>
    </row>
    <row r="90" spans="1:7" s="26" customFormat="1" ht="15.6">
      <c r="A90" s="586" t="s">
        <v>1108</v>
      </c>
      <c r="B90" s="587" t="s">
        <v>1109</v>
      </c>
      <c r="C90" s="587" t="s">
        <v>1527</v>
      </c>
      <c r="D90" s="587"/>
      <c r="E90" s="585"/>
      <c r="F90" s="585"/>
      <c r="G90" s="585"/>
    </row>
    <row r="91" spans="1:7" s="26" customFormat="1" ht="15.6">
      <c r="A91" s="586" t="s">
        <v>1111</v>
      </c>
      <c r="B91" s="587" t="s">
        <v>1112</v>
      </c>
      <c r="C91" s="587" t="s">
        <v>1527</v>
      </c>
      <c r="D91" s="587"/>
      <c r="E91" s="585"/>
      <c r="F91" s="585"/>
      <c r="G91" s="585"/>
    </row>
    <row r="92" spans="1:7" s="26" customFormat="1" ht="15.6">
      <c r="A92" s="586" t="s">
        <v>1114</v>
      </c>
      <c r="B92" s="587" t="s">
        <v>1115</v>
      </c>
      <c r="C92" s="587" t="s">
        <v>1527</v>
      </c>
      <c r="D92" s="587"/>
      <c r="E92" s="585"/>
      <c r="F92" s="585"/>
      <c r="G92" s="585"/>
    </row>
    <row r="93" spans="1:7" s="26" customFormat="1" ht="15.6">
      <c r="A93" s="586" t="s">
        <v>1117</v>
      </c>
      <c r="B93" s="587" t="s">
        <v>1946</v>
      </c>
      <c r="C93" s="587" t="s">
        <v>1527</v>
      </c>
      <c r="D93" s="587"/>
      <c r="E93" s="585"/>
      <c r="F93" s="585"/>
      <c r="G93" s="585"/>
    </row>
    <row r="94" spans="1:7" s="26" customFormat="1" ht="15.6">
      <c r="A94" s="586" t="s">
        <v>1120</v>
      </c>
      <c r="B94" s="587" t="s">
        <v>1121</v>
      </c>
      <c r="C94" s="587" t="s">
        <v>1527</v>
      </c>
      <c r="D94" s="587"/>
      <c r="E94" s="585"/>
      <c r="F94" s="585"/>
      <c r="G94" s="585"/>
    </row>
    <row r="95" spans="1:7" s="26" customFormat="1" ht="15.6">
      <c r="A95" s="586" t="s">
        <v>1123</v>
      </c>
      <c r="B95" s="587" t="s">
        <v>1124</v>
      </c>
      <c r="C95" s="587" t="s">
        <v>1527</v>
      </c>
      <c r="D95" s="587"/>
      <c r="E95" s="585"/>
      <c r="F95" s="585"/>
      <c r="G95" s="585"/>
    </row>
    <row r="96" spans="1:7" s="26" customFormat="1" ht="15.6">
      <c r="A96" s="586" t="s">
        <v>1126</v>
      </c>
      <c r="B96" s="587" t="s">
        <v>1127</v>
      </c>
      <c r="C96" s="587" t="s">
        <v>1527</v>
      </c>
      <c r="D96" s="587"/>
      <c r="E96" s="585"/>
      <c r="F96" s="585"/>
      <c r="G96" s="585"/>
    </row>
    <row r="97" spans="1:7" s="26" customFormat="1" ht="15.6">
      <c r="A97" s="586" t="s">
        <v>1129</v>
      </c>
      <c r="B97" s="587" t="s">
        <v>1130</v>
      </c>
      <c r="C97" s="587" t="s">
        <v>1527</v>
      </c>
      <c r="D97" s="587"/>
      <c r="E97" s="585"/>
      <c r="F97" s="585"/>
      <c r="G97" s="585"/>
    </row>
    <row r="98" spans="1:7" s="26" customFormat="1" ht="15.6">
      <c r="A98" s="586" t="s">
        <v>1132</v>
      </c>
      <c r="B98" s="587" t="s">
        <v>1133</v>
      </c>
      <c r="C98" s="587" t="s">
        <v>1527</v>
      </c>
      <c r="D98" s="587"/>
      <c r="E98" s="585"/>
      <c r="F98" s="585"/>
      <c r="G98" s="585"/>
    </row>
    <row r="99" spans="1:7" s="26" customFormat="1" ht="15.6">
      <c r="A99" s="586" t="s">
        <v>1135</v>
      </c>
      <c r="B99" s="587" t="s">
        <v>1136</v>
      </c>
      <c r="C99" s="587" t="s">
        <v>1527</v>
      </c>
      <c r="D99" s="587"/>
      <c r="E99" s="585"/>
      <c r="F99" s="585"/>
      <c r="G99" s="585"/>
    </row>
    <row r="100" spans="1:7" s="26" customFormat="1" ht="15.6">
      <c r="A100" s="586" t="s">
        <v>1138</v>
      </c>
      <c r="B100" s="587" t="s">
        <v>1139</v>
      </c>
      <c r="C100" s="587" t="s">
        <v>1527</v>
      </c>
      <c r="D100" s="587"/>
      <c r="E100" s="585"/>
      <c r="F100" s="585"/>
      <c r="G100" s="585"/>
    </row>
    <row r="101" spans="1:7" s="26" customFormat="1" ht="15.6">
      <c r="A101" s="586" t="s">
        <v>1141</v>
      </c>
      <c r="B101" s="587" t="s">
        <v>1142</v>
      </c>
      <c r="C101" s="587" t="s">
        <v>1527</v>
      </c>
      <c r="D101" s="587"/>
      <c r="E101" s="585"/>
      <c r="F101" s="585"/>
      <c r="G101" s="585"/>
    </row>
    <row r="102" spans="1:7" s="26" customFormat="1" ht="15.6">
      <c r="A102" s="586" t="s">
        <v>1144</v>
      </c>
      <c r="B102" s="587" t="s">
        <v>1145</v>
      </c>
      <c r="C102" s="587" t="s">
        <v>1527</v>
      </c>
      <c r="D102" s="587"/>
      <c r="E102" s="585"/>
      <c r="F102" s="585"/>
      <c r="G102" s="585"/>
    </row>
    <row r="103" spans="1:7" s="26" customFormat="1" ht="15.6">
      <c r="A103" s="586" t="s">
        <v>1147</v>
      </c>
      <c r="B103" s="587" t="s">
        <v>1148</v>
      </c>
      <c r="C103" s="587" t="s">
        <v>1527</v>
      </c>
      <c r="D103" s="587"/>
      <c r="E103" s="585"/>
      <c r="F103" s="585"/>
      <c r="G103" s="585"/>
    </row>
    <row r="104" spans="1:7" s="26" customFormat="1" ht="15.6">
      <c r="A104" s="586" t="s">
        <v>1150</v>
      </c>
      <c r="B104" s="587" t="s">
        <v>1151</v>
      </c>
      <c r="C104" s="587" t="s">
        <v>1527</v>
      </c>
      <c r="D104" s="587"/>
      <c r="E104" s="585"/>
      <c r="F104" s="585"/>
      <c r="G104" s="585"/>
    </row>
    <row r="105" spans="1:7" s="26" customFormat="1" ht="15.6">
      <c r="A105" s="586" t="s">
        <v>1153</v>
      </c>
      <c r="B105" s="587" t="s">
        <v>1154</v>
      </c>
      <c r="C105" s="587" t="s">
        <v>1527</v>
      </c>
      <c r="D105" s="587"/>
      <c r="E105" s="585"/>
      <c r="F105" s="585"/>
      <c r="G105" s="585"/>
    </row>
    <row r="106" spans="1:7" s="26" customFormat="1" ht="15.6">
      <c r="A106" s="586" t="s">
        <v>1156</v>
      </c>
      <c r="B106" s="587" t="s">
        <v>1157</v>
      </c>
      <c r="C106" s="587" t="s">
        <v>1527</v>
      </c>
      <c r="D106" s="587"/>
      <c r="E106" s="585"/>
      <c r="F106" s="585"/>
      <c r="G106" s="585"/>
    </row>
    <row r="107" spans="1:7" s="26" customFormat="1" ht="15.6">
      <c r="A107" s="586" t="s">
        <v>1159</v>
      </c>
      <c r="B107" s="587" t="s">
        <v>1160</v>
      </c>
      <c r="C107" s="587" t="s">
        <v>1527</v>
      </c>
      <c r="D107" s="587"/>
      <c r="E107" s="585"/>
      <c r="F107" s="585"/>
      <c r="G107" s="585"/>
    </row>
    <row r="108" spans="1:7" s="26" customFormat="1" ht="15.6">
      <c r="A108" s="586" t="s">
        <v>1162</v>
      </c>
      <c r="B108" s="587" t="s">
        <v>1163</v>
      </c>
      <c r="C108" s="587" t="s">
        <v>1527</v>
      </c>
      <c r="D108" s="587"/>
      <c r="E108" s="585"/>
      <c r="F108" s="585"/>
      <c r="G108" s="585"/>
    </row>
    <row r="109" spans="1:7" s="26" customFormat="1" ht="15.6">
      <c r="A109" s="586" t="s">
        <v>1165</v>
      </c>
      <c r="B109" s="587" t="s">
        <v>1166</v>
      </c>
      <c r="C109" s="587" t="s">
        <v>1527</v>
      </c>
      <c r="D109" s="587"/>
      <c r="E109" s="585"/>
      <c r="F109" s="585"/>
      <c r="G109" s="585"/>
    </row>
    <row r="110" spans="1:7" s="26" customFormat="1" ht="15.6">
      <c r="A110" s="586" t="s">
        <v>1168</v>
      </c>
      <c r="B110" s="587" t="s">
        <v>1169</v>
      </c>
      <c r="C110" s="587" t="s">
        <v>1527</v>
      </c>
      <c r="D110" s="587"/>
      <c r="E110" s="585"/>
      <c r="F110" s="585"/>
      <c r="G110" s="585"/>
    </row>
    <row r="111" spans="1:7" s="26" customFormat="1" ht="15.6">
      <c r="A111" s="586" t="s">
        <v>1171</v>
      </c>
      <c r="B111" s="587" t="s">
        <v>1172</v>
      </c>
      <c r="C111" s="587" t="s">
        <v>1527</v>
      </c>
      <c r="D111" s="587"/>
      <c r="E111" s="585"/>
      <c r="F111" s="585"/>
      <c r="G111" s="585"/>
    </row>
    <row r="112" spans="1:7" s="26" customFormat="1" ht="15.6">
      <c r="A112" s="586" t="s">
        <v>1174</v>
      </c>
      <c r="B112" s="587" t="s">
        <v>1175</v>
      </c>
      <c r="C112" s="587" t="s">
        <v>1527</v>
      </c>
      <c r="D112" s="587"/>
      <c r="E112" s="585"/>
      <c r="F112" s="585"/>
      <c r="G112" s="585"/>
    </row>
    <row r="113" spans="1:7" s="26" customFormat="1" ht="15.6">
      <c r="A113" s="586" t="s">
        <v>1177</v>
      </c>
      <c r="B113" s="587" t="s">
        <v>1178</v>
      </c>
      <c r="C113" s="587" t="s">
        <v>1527</v>
      </c>
      <c r="D113" s="587"/>
      <c r="E113" s="585"/>
      <c r="F113" s="585"/>
      <c r="G113" s="585"/>
    </row>
    <row r="114" spans="1:7" s="26" customFormat="1" ht="15.6">
      <c r="A114" s="586" t="s">
        <v>1180</v>
      </c>
      <c r="B114" s="587" t="s">
        <v>1181</v>
      </c>
      <c r="C114" s="587" t="s">
        <v>1527</v>
      </c>
      <c r="D114" s="587"/>
      <c r="E114" s="585"/>
      <c r="F114" s="585"/>
      <c r="G114" s="585"/>
    </row>
    <row r="115" spans="1:7" s="26" customFormat="1" ht="15.6">
      <c r="A115" s="586" t="s">
        <v>1183</v>
      </c>
      <c r="B115" s="587" t="s">
        <v>1184</v>
      </c>
      <c r="C115" s="587" t="s">
        <v>1527</v>
      </c>
      <c r="D115" s="587"/>
      <c r="E115" s="585"/>
      <c r="F115" s="585"/>
      <c r="G115" s="585"/>
    </row>
    <row r="116" spans="1:7" s="26" customFormat="1" ht="15.6">
      <c r="A116" s="586" t="s">
        <v>1186</v>
      </c>
      <c r="B116" s="587" t="s">
        <v>1187</v>
      </c>
      <c r="C116" s="587" t="s">
        <v>1527</v>
      </c>
      <c r="D116" s="587"/>
      <c r="E116" s="585"/>
      <c r="F116" s="585"/>
      <c r="G116" s="585"/>
    </row>
    <row r="117" spans="1:7" s="26" customFormat="1" ht="15.6">
      <c r="A117" s="586" t="s">
        <v>1189</v>
      </c>
      <c r="B117" s="587" t="s">
        <v>1190</v>
      </c>
      <c r="C117" s="587" t="s">
        <v>1527</v>
      </c>
      <c r="D117" s="587"/>
      <c r="E117" s="585"/>
      <c r="F117" s="585"/>
      <c r="G117" s="585"/>
    </row>
    <row r="118" spans="1:7" s="26" customFormat="1" ht="15.6">
      <c r="A118" s="586" t="s">
        <v>1192</v>
      </c>
      <c r="B118" s="587" t="s">
        <v>1193</v>
      </c>
      <c r="C118" s="587" t="s">
        <v>1527</v>
      </c>
      <c r="D118" s="587"/>
      <c r="E118" s="585"/>
      <c r="F118" s="585"/>
      <c r="G118" s="585"/>
    </row>
    <row r="119" spans="1:7" s="26" customFormat="1" ht="15.6">
      <c r="A119" s="586" t="s">
        <v>1195</v>
      </c>
      <c r="B119" s="587" t="s">
        <v>1196</v>
      </c>
      <c r="C119" s="587" t="s">
        <v>1527</v>
      </c>
      <c r="D119" s="587"/>
      <c r="E119" s="585"/>
      <c r="F119" s="585"/>
      <c r="G119" s="585"/>
    </row>
    <row r="120" spans="1:7" s="26" customFormat="1" ht="15.6">
      <c r="A120" s="586" t="s">
        <v>1198</v>
      </c>
      <c r="B120" s="587" t="s">
        <v>1199</v>
      </c>
      <c r="C120" s="587" t="s">
        <v>1527</v>
      </c>
      <c r="D120" s="587"/>
      <c r="E120" s="585"/>
      <c r="F120" s="585"/>
      <c r="G120" s="585"/>
    </row>
    <row r="121" spans="1:7" s="26" customFormat="1" ht="15.6">
      <c r="A121" s="586" t="s">
        <v>1201</v>
      </c>
      <c r="B121" s="587" t="s">
        <v>1202</v>
      </c>
      <c r="C121" s="587" t="s">
        <v>1527</v>
      </c>
      <c r="D121" s="587"/>
      <c r="E121" s="585"/>
      <c r="F121" s="585"/>
      <c r="G121" s="585"/>
    </row>
    <row r="122" spans="1:7" s="26" customFormat="1" ht="15.6">
      <c r="A122" s="586" t="s">
        <v>1204</v>
      </c>
      <c r="B122" s="587" t="s">
        <v>1205</v>
      </c>
      <c r="C122" s="587" t="s">
        <v>1527</v>
      </c>
      <c r="D122" s="587"/>
      <c r="E122" s="585"/>
      <c r="F122" s="585"/>
      <c r="G122" s="585"/>
    </row>
    <row r="123" spans="1:7" s="26" customFormat="1" ht="15.6">
      <c r="A123" s="586" t="s">
        <v>1207</v>
      </c>
      <c r="B123" s="587" t="s">
        <v>1208</v>
      </c>
      <c r="C123" s="587" t="s">
        <v>1527</v>
      </c>
      <c r="D123" s="587"/>
      <c r="E123" s="585"/>
      <c r="F123" s="585"/>
      <c r="G123" s="585"/>
    </row>
    <row r="124" spans="1:7" s="26" customFormat="1" ht="15.6">
      <c r="A124" s="586" t="s">
        <v>1210</v>
      </c>
      <c r="B124" s="587" t="s">
        <v>1211</v>
      </c>
      <c r="C124" s="587" t="s">
        <v>1527</v>
      </c>
      <c r="D124" s="587"/>
      <c r="E124" s="585"/>
      <c r="F124" s="585"/>
      <c r="G124" s="585"/>
    </row>
    <row r="125" spans="1:7" s="26" customFormat="1" ht="15.6">
      <c r="A125" s="586" t="s">
        <v>1213</v>
      </c>
      <c r="B125" s="587" t="s">
        <v>1214</v>
      </c>
      <c r="C125" s="587" t="s">
        <v>1527</v>
      </c>
      <c r="D125" s="587"/>
      <c r="E125" s="585"/>
      <c r="F125" s="585"/>
      <c r="G125" s="585"/>
    </row>
    <row r="126" spans="1:7" s="26" customFormat="1" ht="15.6">
      <c r="A126" s="586" t="s">
        <v>1216</v>
      </c>
      <c r="B126" s="587" t="s">
        <v>1217</v>
      </c>
      <c r="C126" s="587" t="s">
        <v>1527</v>
      </c>
      <c r="D126" s="587"/>
      <c r="E126" s="585"/>
      <c r="F126" s="585"/>
      <c r="G126" s="585"/>
    </row>
    <row r="127" spans="1:7" s="26" customFormat="1" ht="15.6">
      <c r="A127" s="586" t="s">
        <v>1219</v>
      </c>
      <c r="B127" s="587" t="s">
        <v>1220</v>
      </c>
      <c r="C127" s="587" t="s">
        <v>1527</v>
      </c>
      <c r="D127" s="587"/>
      <c r="E127" s="585"/>
      <c r="F127" s="585"/>
      <c r="G127" s="585"/>
    </row>
    <row r="128" spans="1:7" s="26" customFormat="1" ht="15.6">
      <c r="A128" s="586" t="s">
        <v>1222</v>
      </c>
      <c r="B128" s="587" t="s">
        <v>1223</v>
      </c>
      <c r="C128" s="587" t="s">
        <v>1527</v>
      </c>
      <c r="D128" s="587"/>
      <c r="E128" s="585"/>
      <c r="F128" s="585"/>
      <c r="G128" s="585"/>
    </row>
    <row r="129" spans="1:7" s="26" customFormat="1" ht="15.6">
      <c r="A129" s="586" t="s">
        <v>1225</v>
      </c>
      <c r="B129" s="587" t="s">
        <v>1226</v>
      </c>
      <c r="C129" s="587" t="s">
        <v>1527</v>
      </c>
      <c r="D129" s="587"/>
      <c r="E129" s="585"/>
      <c r="F129" s="585"/>
      <c r="G129" s="585"/>
    </row>
    <row r="130" spans="1:7" s="26" customFormat="1" ht="15.6">
      <c r="A130" s="586" t="s">
        <v>1228</v>
      </c>
      <c r="B130" s="587" t="s">
        <v>1229</v>
      </c>
      <c r="C130" s="587" t="s">
        <v>1527</v>
      </c>
      <c r="D130" s="587"/>
      <c r="E130" s="585"/>
      <c r="F130" s="585"/>
      <c r="G130" s="585"/>
    </row>
    <row r="131" spans="1:7" s="26" customFormat="1" ht="15.6">
      <c r="A131" s="586" t="s">
        <v>1231</v>
      </c>
      <c r="B131" s="587" t="s">
        <v>1232</v>
      </c>
      <c r="C131" s="587" t="s">
        <v>1527</v>
      </c>
      <c r="D131" s="587"/>
      <c r="E131" s="585"/>
      <c r="F131" s="585"/>
      <c r="G131" s="585"/>
    </row>
    <row r="132" spans="1:7" s="26" customFormat="1" ht="15.6">
      <c r="A132" s="586" t="s">
        <v>1234</v>
      </c>
      <c r="B132" s="587" t="s">
        <v>1235</v>
      </c>
      <c r="C132" s="587" t="s">
        <v>1527</v>
      </c>
      <c r="D132" s="587"/>
      <c r="E132" s="585"/>
      <c r="F132" s="585"/>
      <c r="G132" s="585"/>
    </row>
    <row r="133" spans="1:7" s="26" customFormat="1" ht="15.6">
      <c r="A133" s="586" t="s">
        <v>1237</v>
      </c>
      <c r="B133" s="587" t="s">
        <v>1238</v>
      </c>
      <c r="C133" s="587" t="s">
        <v>1527</v>
      </c>
      <c r="D133" s="587"/>
      <c r="E133" s="585"/>
      <c r="F133" s="585"/>
      <c r="G133" s="585"/>
    </row>
    <row r="134" spans="1:7" s="26" customFormat="1" ht="15.6">
      <c r="A134" s="586" t="s">
        <v>1240</v>
      </c>
      <c r="B134" s="587" t="s">
        <v>1241</v>
      </c>
      <c r="C134" s="587" t="s">
        <v>1527</v>
      </c>
      <c r="D134" s="587"/>
      <c r="E134" s="585"/>
      <c r="F134" s="585"/>
      <c r="G134" s="585"/>
    </row>
  </sheetData>
  <sheetProtection algorithmName="SHA-512" hashValue="WCekUD6XXE9owoxqrqHJgNd5G5c5fSQM4HOmqW7czsRlM2IT5My+aHox+eT/ENOFnY3nt0eHiU63wTp2lXhoDg==" saltValue="fDOQ8czQVN1gEe2JdqeVtA==" spinCount="100000" sheet="1" objects="1" scenarios="1" autoFilter="0"/>
  <mergeCells count="5">
    <mergeCell ref="A2:G2"/>
    <mergeCell ref="D4:G4"/>
    <mergeCell ref="D5:G5"/>
    <mergeCell ref="D38:G38"/>
    <mergeCell ref="D39:G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0D235C23C62C4AAE627F383E557377" ma:contentTypeVersion="4" ma:contentTypeDescription="Create a new document." ma:contentTypeScope="" ma:versionID="1cd993677cfb062a429f82df038f6ae5">
  <xsd:schema xmlns:xsd="http://www.w3.org/2001/XMLSchema" xmlns:xs="http://www.w3.org/2001/XMLSchema" xmlns:p="http://schemas.microsoft.com/office/2006/metadata/properties" xmlns:ns2="e59e0281-2642-4481-815c-2837cd88085a" xmlns:ns3="7b682e66-685e-4e9b-8b84-8a1dd957f27a" targetNamespace="http://schemas.microsoft.com/office/2006/metadata/properties" ma:root="true" ma:fieldsID="9c57357e7256565f138428f9e016629f" ns2:_="" ns3:_="">
    <xsd:import namespace="e59e0281-2642-4481-815c-2837cd88085a"/>
    <xsd:import namespace="7b682e66-685e-4e9b-8b84-8a1dd957f2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e0281-2642-4481-815c-2837cd880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682e66-685e-4e9b-8b84-8a1dd957f2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E6CD8D-8FFF-4839-8B6F-C77C17A00E25}">
  <ds:schemaRefs>
    <ds:schemaRef ds:uri="http://schemas.microsoft.com/sharepoint/v3/contenttype/forms"/>
  </ds:schemaRefs>
</ds:datastoreItem>
</file>

<file path=customXml/itemProps2.xml><?xml version="1.0" encoding="utf-8"?>
<ds:datastoreItem xmlns:ds="http://schemas.openxmlformats.org/officeDocument/2006/customXml" ds:itemID="{3B23F18B-0AAC-414D-B13C-10536E774814}">
  <ds:schemaRefs>
    <ds:schemaRef ds:uri="http://schemas.microsoft.com/office/infopath/2007/PartnerControls"/>
    <ds:schemaRef ds:uri="http://purl.org/dc/elements/1.1/"/>
    <ds:schemaRef ds:uri="http://schemas.microsoft.com/office/2006/metadata/properties"/>
    <ds:schemaRef ds:uri="e59e0281-2642-4481-815c-2837cd88085a"/>
    <ds:schemaRef ds:uri="http://purl.org/dc/terms/"/>
    <ds:schemaRef ds:uri="http://schemas.microsoft.com/office/2006/documentManagement/types"/>
    <ds:schemaRef ds:uri="http://schemas.openxmlformats.org/package/2006/metadata/core-properties"/>
    <ds:schemaRef ds:uri="7b682e66-685e-4e9b-8b84-8a1dd957f27a"/>
    <ds:schemaRef ds:uri="http://www.w3.org/XML/1998/namespace"/>
    <ds:schemaRef ds:uri="http://purl.org/dc/dcmitype/"/>
  </ds:schemaRefs>
</ds:datastoreItem>
</file>

<file path=customXml/itemProps3.xml><?xml version="1.0" encoding="utf-8"?>
<ds:datastoreItem xmlns:ds="http://schemas.openxmlformats.org/officeDocument/2006/customXml" ds:itemID="{9D60DC0E-C11A-494B-8995-71E2128C7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9e0281-2642-4481-815c-2837cd88085a"/>
    <ds:schemaRef ds:uri="7b682e66-685e-4e9b-8b84-8a1dd957f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68</vt:i4>
      </vt:variant>
    </vt:vector>
  </HeadingPairs>
  <TitlesOfParts>
    <vt:vector size="110" baseType="lpstr">
      <vt:lpstr>Index</vt:lpstr>
      <vt:lpstr>Dashboard</vt:lpstr>
      <vt:lpstr>Pkg Updates</vt:lpstr>
      <vt:lpstr>ExhA&amp;B</vt:lpstr>
      <vt:lpstr>Capital Assets</vt:lpstr>
      <vt:lpstr>Capital Asset Compilation</vt:lpstr>
      <vt:lpstr>Long-Term Liabilities</vt:lpstr>
      <vt:lpstr>Analytical Review</vt:lpstr>
      <vt:lpstr>101</vt:lpstr>
      <vt:lpstr>110</vt:lpstr>
      <vt:lpstr>120</vt:lpstr>
      <vt:lpstr>215</vt:lpstr>
      <vt:lpstr>220</vt:lpstr>
      <vt:lpstr>301</vt:lpstr>
      <vt:lpstr>302</vt:lpstr>
      <vt:lpstr>303</vt:lpstr>
      <vt:lpstr>323</vt:lpstr>
      <vt:lpstr>345</vt:lpstr>
      <vt:lpstr>350</vt:lpstr>
      <vt:lpstr>355</vt:lpstr>
      <vt:lpstr>360</vt:lpstr>
      <vt:lpstr>425</vt:lpstr>
      <vt:lpstr>430</vt:lpstr>
      <vt:lpstr>520</vt:lpstr>
      <vt:lpstr>525</vt:lpstr>
      <vt:lpstr>530</vt:lpstr>
      <vt:lpstr>602</vt:lpstr>
      <vt:lpstr>610</vt:lpstr>
      <vt:lpstr>616</vt:lpstr>
      <vt:lpstr>625</vt:lpstr>
      <vt:lpstr>Explanations</vt:lpstr>
      <vt:lpstr>Comments</vt:lpstr>
      <vt:lpstr>College Filenames</vt:lpstr>
      <vt:lpstr>Agencies</vt:lpstr>
      <vt:lpstr>ExhA&amp;B-definitions&amp;messages</vt:lpstr>
      <vt:lpstr>CapAssetBegBal</vt:lpstr>
      <vt:lpstr>LTLiabBegBal</vt:lpstr>
      <vt:lpstr>Pension_OPEB EndBal</vt:lpstr>
      <vt:lpstr>RestrDuefromPG</vt:lpstr>
      <vt:lpstr>Fund Equity</vt:lpstr>
      <vt:lpstr>2022PKG</vt:lpstr>
      <vt:lpstr>Datafor5XX</vt:lpstr>
      <vt:lpstr>'301'!_Hlk98233348</vt:lpstr>
      <vt:lpstr>'302'!_Hlk98233348</vt:lpstr>
      <vt:lpstr>'301'!_Hlk98237788</vt:lpstr>
      <vt:lpstr>'301'!_Hlk99373606</vt:lpstr>
      <vt:lpstr>CCAgNo</vt:lpstr>
      <vt:lpstr>CCNameTable</vt:lpstr>
      <vt:lpstr>CCTable</vt:lpstr>
      <vt:lpstr>College_Name</vt:lpstr>
      <vt:lpstr>College_Number</vt:lpstr>
      <vt:lpstr>DF_PGData</vt:lpstr>
      <vt:lpstr>DF_PGRow</vt:lpstr>
      <vt:lpstr>EquityData</vt:lpstr>
      <vt:lpstr>EquityDataRow</vt:lpstr>
      <vt:lpstr>ExhABData</vt:lpstr>
      <vt:lpstr>FileExtName</vt:lpstr>
      <vt:lpstr>FileNameAgency</vt:lpstr>
      <vt:lpstr>FileNameTable</vt:lpstr>
      <vt:lpstr>'Capital Assets'!FixedAssetData</vt:lpstr>
      <vt:lpstr>'Capital Assets'!FixedAssetRow</vt:lpstr>
      <vt:lpstr>FYEnd</vt:lpstr>
      <vt:lpstr>Landrow</vt:lpstr>
      <vt:lpstr>'302'!LeaseCol301</vt:lpstr>
      <vt:lpstr>LeaseCol301</vt:lpstr>
      <vt:lpstr>'302'!LeaseDat301</vt:lpstr>
      <vt:lpstr>LeaseDat301</vt:lpstr>
      <vt:lpstr>'302'!LeaseRow301</vt:lpstr>
      <vt:lpstr>LeaseRow301</vt:lpstr>
      <vt:lpstr>Listfor520</vt:lpstr>
      <vt:lpstr>Listfor525and530</vt:lpstr>
      <vt:lpstr>PreparerName</vt:lpstr>
      <vt:lpstr>PreparerPhone</vt:lpstr>
      <vt:lpstr>'101'!Print_Area</vt:lpstr>
      <vt:lpstr>'110'!Print_Area</vt:lpstr>
      <vt:lpstr>'120'!Print_Area</vt:lpstr>
      <vt:lpstr>'215'!Print_Area</vt:lpstr>
      <vt:lpstr>'220'!Print_Area</vt:lpstr>
      <vt:lpstr>'301'!Print_Area</vt:lpstr>
      <vt:lpstr>'302'!Print_Area</vt:lpstr>
      <vt:lpstr>'303'!Print_Area</vt:lpstr>
      <vt:lpstr>'323'!Print_Area</vt:lpstr>
      <vt:lpstr>'345'!Print_Area</vt:lpstr>
      <vt:lpstr>'350'!Print_Area</vt:lpstr>
      <vt:lpstr>'355'!Print_Area</vt:lpstr>
      <vt:lpstr>'360'!Print_Area</vt:lpstr>
      <vt:lpstr>'425'!Print_Area</vt:lpstr>
      <vt:lpstr>'430'!Print_Area</vt:lpstr>
      <vt:lpstr>'520'!Print_Area</vt:lpstr>
      <vt:lpstr>'525'!Print_Area</vt:lpstr>
      <vt:lpstr>'530'!Print_Area</vt:lpstr>
      <vt:lpstr>'602'!Print_Area</vt:lpstr>
      <vt:lpstr>'610'!Print_Area</vt:lpstr>
      <vt:lpstr>'616'!Print_Area</vt:lpstr>
      <vt:lpstr>'625'!Print_Area</vt:lpstr>
      <vt:lpstr>'Analytical Review'!Print_Area</vt:lpstr>
      <vt:lpstr>'Capital Assets'!Print_Area</vt:lpstr>
      <vt:lpstr>Comments!Print_Area</vt:lpstr>
      <vt:lpstr>'ExhA&amp;B'!Print_Area</vt:lpstr>
      <vt:lpstr>'ExhA&amp;B-definitions&amp;messages'!Print_Area</vt:lpstr>
      <vt:lpstr>Explanations!Print_Area</vt:lpstr>
      <vt:lpstr>Index!Print_Area</vt:lpstr>
      <vt:lpstr>'Pkg Updates'!Print_Area</vt:lpstr>
      <vt:lpstr>'Analytical Review'!Print_Titles</vt:lpstr>
      <vt:lpstr>CapAssetBegBal!Print_Titles</vt:lpstr>
      <vt:lpstr>'ExhA&amp;B'!Print_Titles</vt:lpstr>
      <vt:lpstr>'ExhA&amp;B-definitions&amp;messages'!Print_Titles</vt:lpstr>
      <vt:lpstr>Index!Print_Titles</vt:lpstr>
      <vt:lpstr>'Pkg Updates'!Print_Titles</vt:lpstr>
      <vt:lpstr>PriorYear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 Office of State Controller</dc:creator>
  <cp:keywords/>
  <dc:description/>
  <cp:lastModifiedBy>Krellner, John R</cp:lastModifiedBy>
  <cp:revision/>
  <dcterms:created xsi:type="dcterms:W3CDTF">1999-08-22T16:00:15Z</dcterms:created>
  <dcterms:modified xsi:type="dcterms:W3CDTF">2023-07-05T20:48:54Z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0x010100DD0D235C23C62C4AAE627F383E557377</vt:lpwstr>
  </property>
</Properties>
</file>