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PatchaKidking\Downloads\"/>
    </mc:Choice>
  </mc:AlternateContent>
  <xr:revisionPtr revIDLastSave="0" documentId="13_ncr:1_{BB361423-6D2E-41BF-A793-771310D85EFD}" xr6:coauthVersionLast="47" xr6:coauthVersionMax="47" xr10:uidLastSave="{00000000-0000-0000-0000-000000000000}"/>
  <bookViews>
    <workbookView xWindow="28680" yWindow="-120" windowWidth="29040" windowHeight="15720" tabRatio="635" activeTab="8" xr2:uid="{00000000-000D-0000-FFFF-FFFF00000000}"/>
  </bookViews>
  <sheets>
    <sheet name=" Use Stmt" sheetId="6" r:id="rId1"/>
    <sheet name="Info" sheetId="7" r:id="rId2"/>
    <sheet name="Package Updates" sheetId="12" r:id="rId3"/>
    <sheet name="Exh A" sheetId="1" r:id="rId4"/>
    <sheet name="Exh B" sheetId="2" r:id="rId5"/>
    <sheet name="Adjustments" sheetId="4" r:id="rId6"/>
    <sheet name="Exh D" sheetId="3" r:id="rId7"/>
    <sheet name="Exh E" sheetId="5" r:id="rId8"/>
    <sheet name="Restatements" sheetId="13" r:id="rId9"/>
    <sheet name="Comments" sheetId="8" r:id="rId10"/>
    <sheet name="Net Assets" sheetId="9" r:id="rId11"/>
    <sheet name="PriorYrExhD" sheetId="10" r:id="rId12"/>
    <sheet name="PriorYrExhE" sheetId="11" r:id="rId13"/>
    <sheet name="Notes" sheetId="14" state="hidden" r:id="rId14"/>
  </sheets>
  <definedNames>
    <definedName name="_OS1">#REF!</definedName>
    <definedName name="_OS2">#REF!</definedName>
    <definedName name="_OS3">#REF!</definedName>
    <definedName name="_OS4">#REF!</definedName>
    <definedName name="_OS5">#REF!</definedName>
    <definedName name="_OU1">#REF!</definedName>
    <definedName name="_OU2">#REF!</definedName>
    <definedName name="_OU3">#REF!</definedName>
    <definedName name="_OU4">#REF!</definedName>
    <definedName name="_OU5">#REF!</definedName>
    <definedName name="_OU6">#REF!</definedName>
    <definedName name="_OU7">#REF!</definedName>
    <definedName name="_OU8">#REF!</definedName>
    <definedName name="_PAY1">#REF!</definedName>
    <definedName name="_PAY2">#REF!</definedName>
    <definedName name="_PAY3">#REF!</definedName>
    <definedName name="_REC1">#REF!</definedName>
    <definedName name="_REC2">#REF!</definedName>
    <definedName name="_REC3">#REF!</definedName>
    <definedName name="AVL">#REF!</definedName>
    <definedName name="BP">#REF!</definedName>
    <definedName name="CCE">#REF!</definedName>
    <definedName name="CLP">#REF!</definedName>
    <definedName name="DA">#REF!</definedName>
    <definedName name="DP">#REF!</definedName>
    <definedName name="DR">#REF!</definedName>
    <definedName name="EquityData">'Net Assets'!$A$4:$D$64</definedName>
    <definedName name="EquityDataRow">'Net Assets'!$A$4:$A$64</definedName>
    <definedName name="ExhDData">'Exh D'!$A:$E</definedName>
    <definedName name="ExhEData">'Exh E'!$A:$E</definedName>
    <definedName name="FASB_ADJ">Adjustments!$A$9:$N$71</definedName>
    <definedName name="FASB_BS">'Exh A'!$A$9:$N$43</definedName>
    <definedName name="FASB_IS">'Exh B'!$A$9:$N$22</definedName>
    <definedName name="IFP">#REF!</definedName>
    <definedName name="IFR">#REF!</definedName>
    <definedName name="IMT">#REF!</definedName>
    <definedName name="IP">#REF!</definedName>
    <definedName name="IVS">#REF!</definedName>
    <definedName name="NI">#REF!</definedName>
    <definedName name="NP">#REF!</definedName>
    <definedName name="Number">'Net Assets'!$A$4:$A$62</definedName>
    <definedName name="PI">#REF!</definedName>
    <definedName name="PMLR">#REF!</definedName>
    <definedName name="PPE">#REF!</definedName>
    <definedName name="_xlnm.Print_Area" localSheetId="5">Adjustments!$A$7:$N$123</definedName>
    <definedName name="_xlnm.Print_Area" localSheetId="3">'Exh A'!$A$1:$N$51</definedName>
    <definedName name="_xlnm.Print_Area" localSheetId="4">'Exh B'!$A$1:$N$31</definedName>
    <definedName name="_xlnm.Print_Area" localSheetId="6">'Exh D'!$A$1:$J$43</definedName>
    <definedName name="_xlnm.Print_Area" localSheetId="2">'Package Updates'!$A$1:$E$33</definedName>
    <definedName name="_xlnm.Print_Area" localSheetId="11">PriorYrExhD!$A$1:$BL$42</definedName>
    <definedName name="_xlnm.Print_Area" localSheetId="8">Restatements!$A$1:$I$45</definedName>
    <definedName name="_xlnm.Print_Titles" localSheetId="5">Adjustments!$1:$6</definedName>
    <definedName name="_xlnm.Print_Titles" localSheetId="3">'Exh A'!$1:$3</definedName>
    <definedName name="_xlnm.Print_Titles" localSheetId="11">PriorYrExhD!$C:$C</definedName>
    <definedName name="_xlnm.Print_Titles" localSheetId="12">PriorYrExhE!$C:$C</definedName>
    <definedName name="PSB">#REF!</definedName>
    <definedName name="PSI">#REF!</definedName>
    <definedName name="SF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3" l="1"/>
  <c r="E49" i="13" l="1"/>
  <c r="F49" i="13" s="1"/>
  <c r="E47" i="13" s="1"/>
  <c r="E48" i="13"/>
  <c r="I46" i="13"/>
  <c r="H46" i="13"/>
  <c r="G46" i="13"/>
  <c r="E44" i="13"/>
  <c r="F44" i="13" s="1"/>
  <c r="F43" i="13"/>
  <c r="E33" i="13"/>
  <c r="F33" i="13" s="1"/>
  <c r="C41" i="13"/>
  <c r="C40" i="13"/>
  <c r="C39" i="13"/>
  <c r="C37" i="13"/>
  <c r="C36" i="13"/>
  <c r="C35" i="13"/>
  <c r="C32" i="13"/>
  <c r="C31" i="13"/>
  <c r="C30" i="13"/>
  <c r="C28" i="13"/>
  <c r="C27" i="13"/>
  <c r="E45" i="13"/>
  <c r="F41" i="13"/>
  <c r="F40" i="13"/>
  <c r="F39" i="13"/>
  <c r="F37" i="13"/>
  <c r="F36" i="13"/>
  <c r="F35" i="13"/>
  <c r="F32" i="13"/>
  <c r="F31" i="13"/>
  <c r="F30" i="13"/>
  <c r="F28" i="13"/>
  <c r="F27" i="13"/>
  <c r="F26" i="13"/>
  <c r="F22" i="13"/>
  <c r="F21" i="13"/>
  <c r="F20" i="13"/>
  <c r="F19" i="13"/>
  <c r="E47" i="14"/>
  <c r="E46" i="14"/>
  <c r="E45" i="14"/>
  <c r="E44" i="14"/>
  <c r="E43" i="14"/>
  <c r="E42" i="14"/>
  <c r="C26" i="13"/>
  <c r="C17" i="13"/>
  <c r="D46" i="13" l="1"/>
  <c r="B46" i="13"/>
  <c r="D23" i="13"/>
  <c r="E23" i="13"/>
  <c r="E68" i="14"/>
  <c r="E67" i="14"/>
  <c r="E66" i="14"/>
  <c r="E65" i="14"/>
  <c r="E61" i="14"/>
  <c r="E60" i="14"/>
  <c r="E59" i="14"/>
  <c r="E58" i="14"/>
  <c r="E57" i="14"/>
  <c r="E56" i="14"/>
  <c r="E55" i="14"/>
  <c r="E54" i="14"/>
  <c r="E53" i="14"/>
  <c r="E52" i="14"/>
  <c r="E51" i="14"/>
  <c r="E41" i="14"/>
  <c r="E40" i="14"/>
  <c r="E39" i="14"/>
  <c r="E38" i="14"/>
  <c r="E37" i="14"/>
  <c r="E36" i="14"/>
  <c r="E35" i="14"/>
  <c r="E34" i="14"/>
  <c r="E33" i="14"/>
  <c r="E32" i="14"/>
  <c r="E31" i="14"/>
  <c r="E30" i="14"/>
  <c r="E29" i="14"/>
  <c r="E28" i="14"/>
  <c r="E5" i="14"/>
  <c r="E6" i="14"/>
  <c r="E7" i="14"/>
  <c r="E8" i="14"/>
  <c r="E9" i="14"/>
  <c r="E10" i="14"/>
  <c r="E11" i="14"/>
  <c r="E12" i="14"/>
  <c r="E13" i="14"/>
  <c r="E14" i="14"/>
  <c r="E15" i="14"/>
  <c r="E16" i="14"/>
  <c r="E17" i="14"/>
  <c r="E18" i="14"/>
  <c r="E19" i="14"/>
  <c r="E20" i="14"/>
  <c r="E21" i="14"/>
  <c r="E22" i="14"/>
  <c r="E23" i="14"/>
  <c r="E24" i="14"/>
  <c r="E4" i="14"/>
  <c r="A3" i="8" l="1"/>
  <c r="A4" i="5"/>
  <c r="A4" i="3"/>
  <c r="A3" i="4"/>
  <c r="A3" i="2"/>
  <c r="A3" i="1"/>
  <c r="F3" i="5"/>
  <c r="F3" i="3"/>
  <c r="F7" i="3" s="1"/>
  <c r="AI28" i="11" l="1"/>
  <c r="AA28" i="11"/>
  <c r="F5" i="1"/>
  <c r="L45" i="4"/>
  <c r="J45" i="4"/>
  <c r="H45" i="4"/>
  <c r="F45" i="4"/>
  <c r="D45" i="4"/>
  <c r="L44" i="4" l="1"/>
  <c r="J44" i="4"/>
  <c r="H44" i="4"/>
  <c r="F44" i="4"/>
  <c r="D44" i="4"/>
  <c r="N43" i="4"/>
  <c r="N42" i="4"/>
  <c r="N44" i="4" l="1"/>
  <c r="N40" i="1" l="1"/>
  <c r="F11" i="3" l="1"/>
  <c r="BD28" i="11"/>
  <c r="V28" i="11"/>
  <c r="BD40" i="10"/>
  <c r="BL13" i="10"/>
  <c r="N22" i="1" l="1"/>
  <c r="D13" i="3" s="1"/>
  <c r="BL11" i="11" l="1"/>
  <c r="F4" i="4" l="1"/>
  <c r="L121" i="4"/>
  <c r="J121" i="4"/>
  <c r="H121" i="4"/>
  <c r="F121" i="4"/>
  <c r="D121" i="4"/>
  <c r="L112" i="4" l="1"/>
  <c r="J112" i="4"/>
  <c r="H112" i="4"/>
  <c r="F112" i="4"/>
  <c r="D112" i="4"/>
  <c r="L99" i="4"/>
  <c r="L100" i="4" s="1"/>
  <c r="J99" i="4"/>
  <c r="J100" i="4" s="1"/>
  <c r="H99" i="4"/>
  <c r="H100" i="4" s="1"/>
  <c r="F99" i="4"/>
  <c r="F100" i="4" s="1"/>
  <c r="D99" i="4"/>
  <c r="D100" i="4" s="1"/>
  <c r="N98" i="4"/>
  <c r="N97" i="4"/>
  <c r="D36" i="3" s="1"/>
  <c r="N99" i="4" l="1"/>
  <c r="N112" i="4"/>
  <c r="BL39" i="10"/>
  <c r="N40" i="10"/>
  <c r="AB17" i="10" l="1"/>
  <c r="BL36" i="10" l="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C63" i="9"/>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BI15" i="11"/>
  <c r="BJ15" i="11"/>
  <c r="I40" i="10"/>
  <c r="E17" i="10"/>
  <c r="F17" i="10"/>
  <c r="G17" i="10"/>
  <c r="H17" i="10"/>
  <c r="I17" i="10"/>
  <c r="J17" i="10"/>
  <c r="K17" i="10"/>
  <c r="L17" i="10"/>
  <c r="M17" i="10"/>
  <c r="N17" i="10"/>
  <c r="O17" i="10"/>
  <c r="P17" i="10"/>
  <c r="Q17" i="10"/>
  <c r="R17" i="10"/>
  <c r="S17" i="10"/>
  <c r="T17" i="10"/>
  <c r="U17" i="10"/>
  <c r="V17" i="10"/>
  <c r="W17" i="10"/>
  <c r="X17" i="10"/>
  <c r="Y17" i="10"/>
  <c r="Z17" i="10"/>
  <c r="AA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BL27" i="11"/>
  <c r="BL26" i="11"/>
  <c r="E22" i="11"/>
  <c r="BL21" i="11"/>
  <c r="BL20" i="11"/>
  <c r="BL19" i="11"/>
  <c r="BL18" i="11"/>
  <c r="BL14" i="11"/>
  <c r="BL13" i="11"/>
  <c r="BL12" i="11"/>
  <c r="BL10" i="11"/>
  <c r="BL9" i="11"/>
  <c r="BL8" i="11"/>
  <c r="BL7" i="11"/>
  <c r="BF40" i="10"/>
  <c r="AY40" i="10"/>
  <c r="AW40" i="10"/>
  <c r="AU40" i="10"/>
  <c r="AT40" i="10"/>
  <c r="AO40" i="10"/>
  <c r="AN40" i="10"/>
  <c r="AL40" i="10"/>
  <c r="AK40" i="10"/>
  <c r="AD40" i="10"/>
  <c r="AC40" i="10"/>
  <c r="Y40" i="10"/>
  <c r="U40" i="10"/>
  <c r="T40" i="10"/>
  <c r="S40" i="10"/>
  <c r="M40" i="10"/>
  <c r="H40" i="10"/>
  <c r="BL38" i="10"/>
  <c r="BL37" i="10"/>
  <c r="BL35" i="10"/>
  <c r="BL34" i="10"/>
  <c r="BJ40" i="10"/>
  <c r="BI40" i="10"/>
  <c r="BH40" i="10"/>
  <c r="BG40" i="10"/>
  <c r="BE40" i="10"/>
  <c r="BC40" i="10"/>
  <c r="BB40" i="10"/>
  <c r="BA40" i="10"/>
  <c r="AZ40" i="10"/>
  <c r="AX40" i="10"/>
  <c r="AV40" i="10"/>
  <c r="AS40" i="10"/>
  <c r="AR40" i="10"/>
  <c r="AQ40" i="10"/>
  <c r="AP40" i="10"/>
  <c r="AM40" i="10"/>
  <c r="AJ40" i="10"/>
  <c r="AI40" i="10"/>
  <c r="AH40" i="10"/>
  <c r="AG40" i="10"/>
  <c r="AF40" i="10"/>
  <c r="AE40" i="10"/>
  <c r="AB40" i="10"/>
  <c r="AA40" i="10"/>
  <c r="Z40" i="10"/>
  <c r="X40" i="10"/>
  <c r="W40" i="10"/>
  <c r="V40" i="10"/>
  <c r="V30" i="11" s="1"/>
  <c r="R40" i="10"/>
  <c r="Q40" i="10"/>
  <c r="P40" i="10"/>
  <c r="O40" i="10"/>
  <c r="L40" i="10"/>
  <c r="K40" i="10"/>
  <c r="J40" i="10"/>
  <c r="G40" i="10"/>
  <c r="F40" i="10"/>
  <c r="E40" i="10"/>
  <c r="E30" i="10"/>
  <c r="BL29" i="10"/>
  <c r="BL28" i="10"/>
  <c r="BL27" i="10"/>
  <c r="BL26" i="10"/>
  <c r="BL25" i="10"/>
  <c r="BL24" i="10"/>
  <c r="BL23" i="10"/>
  <c r="BL22" i="10"/>
  <c r="BL21" i="10"/>
  <c r="BL20" i="10"/>
  <c r="BL16" i="10"/>
  <c r="BL15" i="10"/>
  <c r="BL14" i="10"/>
  <c r="BL12" i="10"/>
  <c r="BL11" i="10"/>
  <c r="BL10" i="10"/>
  <c r="BL9" i="10"/>
  <c r="BL8" i="10"/>
  <c r="BL7" i="10"/>
  <c r="BL33" i="10"/>
  <c r="D114" i="4"/>
  <c r="D113" i="4"/>
  <c r="L72" i="4"/>
  <c r="L73" i="4" s="1"/>
  <c r="J72" i="4"/>
  <c r="J73" i="4" s="1"/>
  <c r="H72" i="4"/>
  <c r="H73" i="4" s="1"/>
  <c r="F72" i="4"/>
  <c r="F73" i="4" s="1"/>
  <c r="D72" i="4"/>
  <c r="N69" i="4"/>
  <c r="D18" i="5" s="1"/>
  <c r="N70" i="4"/>
  <c r="D19" i="5" s="1"/>
  <c r="N71" i="4"/>
  <c r="D20" i="5" s="1"/>
  <c r="L114" i="4"/>
  <c r="L113" i="4"/>
  <c r="J114" i="4"/>
  <c r="J113" i="4"/>
  <c r="H114" i="4"/>
  <c r="H113" i="4"/>
  <c r="F114" i="4"/>
  <c r="F113" i="4"/>
  <c r="N18" i="4"/>
  <c r="N17" i="4"/>
  <c r="N27" i="2"/>
  <c r="O27" i="2" s="1"/>
  <c r="D104" i="4"/>
  <c r="D105" i="4"/>
  <c r="D49" i="1"/>
  <c r="D118" i="4" s="1"/>
  <c r="D106" i="4"/>
  <c r="D107" i="4"/>
  <c r="D108" i="4"/>
  <c r="D94" i="4"/>
  <c r="F104" i="4"/>
  <c r="F105" i="4"/>
  <c r="F106" i="4"/>
  <c r="F107" i="4"/>
  <c r="F108" i="4"/>
  <c r="F94" i="4"/>
  <c r="H104" i="4"/>
  <c r="H105" i="4"/>
  <c r="H106" i="4"/>
  <c r="H107" i="4"/>
  <c r="H108" i="4"/>
  <c r="H94" i="4"/>
  <c r="J104" i="4"/>
  <c r="J105" i="4"/>
  <c r="J106" i="4"/>
  <c r="J107" i="4"/>
  <c r="J108" i="4"/>
  <c r="J94" i="4"/>
  <c r="L104" i="4"/>
  <c r="L105" i="4"/>
  <c r="L106" i="4"/>
  <c r="L107" i="4"/>
  <c r="L108" i="4"/>
  <c r="L94" i="4"/>
  <c r="D7" i="7"/>
  <c r="N10" i="2"/>
  <c r="N11" i="2"/>
  <c r="N60" i="4"/>
  <c r="N61" i="4"/>
  <c r="D8" i="5" s="1"/>
  <c r="N62" i="4"/>
  <c r="D9" i="5" s="1"/>
  <c r="N12" i="2"/>
  <c r="N13" i="2"/>
  <c r="N14" i="2"/>
  <c r="D11" i="5" s="1"/>
  <c r="N15" i="2"/>
  <c r="D12" i="5" s="1"/>
  <c r="N16" i="2"/>
  <c r="D13" i="5" s="1"/>
  <c r="N17" i="2"/>
  <c r="D14" i="5" s="1"/>
  <c r="N22" i="2"/>
  <c r="D21" i="5" s="1"/>
  <c r="N28" i="2"/>
  <c r="D27" i="5" s="1"/>
  <c r="L18" i="2"/>
  <c r="L23" i="2"/>
  <c r="J18" i="2"/>
  <c r="J23" i="2"/>
  <c r="H18" i="2"/>
  <c r="H23" i="2"/>
  <c r="F18" i="2"/>
  <c r="F23" i="2"/>
  <c r="D18" i="2"/>
  <c r="D23" i="2"/>
  <c r="N93" i="4"/>
  <c r="N92" i="4"/>
  <c r="D88" i="4"/>
  <c r="D89" i="4" s="1"/>
  <c r="F88" i="4"/>
  <c r="H88" i="4"/>
  <c r="H89" i="4" s="1"/>
  <c r="J88" i="4"/>
  <c r="J89" i="4" s="1"/>
  <c r="L88" i="4"/>
  <c r="L89" i="4" s="1"/>
  <c r="N87" i="4"/>
  <c r="N86" i="4"/>
  <c r="D82" i="4"/>
  <c r="F82" i="4"/>
  <c r="F83" i="4" s="1"/>
  <c r="H82" i="4"/>
  <c r="H83" i="4" s="1"/>
  <c r="J82" i="4"/>
  <c r="J83" i="4" s="1"/>
  <c r="L82" i="4"/>
  <c r="L83" i="4" s="1"/>
  <c r="N81" i="4"/>
  <c r="N80" i="4"/>
  <c r="D27" i="3"/>
  <c r="L26" i="1"/>
  <c r="L43" i="1"/>
  <c r="L49" i="1"/>
  <c r="L118" i="4" s="1"/>
  <c r="J26" i="1"/>
  <c r="J43" i="1"/>
  <c r="J49" i="1"/>
  <c r="J118" i="4" s="1"/>
  <c r="H26" i="1"/>
  <c r="H43" i="1"/>
  <c r="H49" i="1"/>
  <c r="H118" i="4" s="1"/>
  <c r="F26" i="1"/>
  <c r="F43" i="1"/>
  <c r="F49" i="1"/>
  <c r="D26" i="1"/>
  <c r="D43" i="1"/>
  <c r="N11" i="1"/>
  <c r="N12" i="1"/>
  <c r="N13" i="1"/>
  <c r="N14" i="1"/>
  <c r="N15" i="1"/>
  <c r="N16" i="1"/>
  <c r="N24" i="1"/>
  <c r="N11" i="4"/>
  <c r="N17" i="1"/>
  <c r="N18" i="1"/>
  <c r="N19" i="1"/>
  <c r="D10" i="3" s="1"/>
  <c r="N20" i="1"/>
  <c r="N21" i="1"/>
  <c r="D12" i="3" s="1"/>
  <c r="N10" i="4"/>
  <c r="D14" i="3" s="1"/>
  <c r="N23" i="1"/>
  <c r="N16" i="4"/>
  <c r="N19" i="4"/>
  <c r="N29" i="1"/>
  <c r="N36" i="1"/>
  <c r="N30" i="1"/>
  <c r="D21" i="3" s="1"/>
  <c r="N31" i="1"/>
  <c r="D22" i="3" s="1"/>
  <c r="N32" i="1"/>
  <c r="D23" i="3" s="1"/>
  <c r="N33" i="1"/>
  <c r="D24" i="3" s="1"/>
  <c r="N34" i="1"/>
  <c r="D25" i="3" s="1"/>
  <c r="N35" i="1"/>
  <c r="D26" i="3" s="1"/>
  <c r="N24" i="4"/>
  <c r="N30" i="4"/>
  <c r="N36" i="4"/>
  <c r="N48" i="4"/>
  <c r="N54" i="4"/>
  <c r="N25" i="4"/>
  <c r="N31" i="4"/>
  <c r="N37" i="4"/>
  <c r="N49" i="4"/>
  <c r="N55" i="4"/>
  <c r="N48" i="1"/>
  <c r="N100" i="4" s="1"/>
  <c r="N47" i="1"/>
  <c r="F12" i="4"/>
  <c r="F13" i="4" s="1"/>
  <c r="H12" i="4"/>
  <c r="H13" i="4" s="1"/>
  <c r="J12" i="4"/>
  <c r="J13" i="4" s="1"/>
  <c r="L12" i="4"/>
  <c r="L13" i="4" s="1"/>
  <c r="D12" i="4"/>
  <c r="L4" i="4"/>
  <c r="J4" i="4"/>
  <c r="H4" i="4"/>
  <c r="D4" i="4"/>
  <c r="L20" i="4"/>
  <c r="L21" i="4" s="1"/>
  <c r="J20" i="4"/>
  <c r="J21" i="4" s="1"/>
  <c r="H20" i="4"/>
  <c r="H21" i="4" s="1"/>
  <c r="F20" i="4"/>
  <c r="F21" i="4" s="1"/>
  <c r="L63" i="4"/>
  <c r="L64" i="4" s="1"/>
  <c r="J63" i="4"/>
  <c r="J64" i="4" s="1"/>
  <c r="H63" i="4"/>
  <c r="H64" i="4" s="1"/>
  <c r="F63" i="4"/>
  <c r="D63" i="4"/>
  <c r="L56" i="4"/>
  <c r="L57" i="4" s="1"/>
  <c r="J56" i="4"/>
  <c r="J57" i="4" s="1"/>
  <c r="H56" i="4"/>
  <c r="H57" i="4" s="1"/>
  <c r="F56" i="4"/>
  <c r="F57" i="4" s="1"/>
  <c r="D56" i="4"/>
  <c r="D57" i="4" s="1"/>
  <c r="L50" i="4"/>
  <c r="L51" i="4" s="1"/>
  <c r="J50" i="4"/>
  <c r="J51" i="4" s="1"/>
  <c r="H50" i="4"/>
  <c r="H51" i="4" s="1"/>
  <c r="F50" i="4"/>
  <c r="F51" i="4" s="1"/>
  <c r="D50" i="4"/>
  <c r="D51" i="4" s="1"/>
  <c r="L38" i="4"/>
  <c r="L39" i="4" s="1"/>
  <c r="J38" i="4"/>
  <c r="J39" i="4" s="1"/>
  <c r="H38" i="4"/>
  <c r="F38" i="4"/>
  <c r="F39" i="4" s="1"/>
  <c r="D38" i="4"/>
  <c r="D39" i="4" s="1"/>
  <c r="L32" i="4"/>
  <c r="L33" i="4" s="1"/>
  <c r="J32" i="4"/>
  <c r="J33" i="4" s="1"/>
  <c r="H32" i="4"/>
  <c r="F32" i="4"/>
  <c r="F33" i="4" s="1"/>
  <c r="D32" i="4"/>
  <c r="D33" i="4" s="1"/>
  <c r="L26" i="4"/>
  <c r="L27" i="4" s="1"/>
  <c r="J26" i="4"/>
  <c r="J27" i="4" s="1"/>
  <c r="H26" i="4"/>
  <c r="H27" i="4" s="1"/>
  <c r="F26" i="4"/>
  <c r="F27" i="4" s="1"/>
  <c r="D26" i="4"/>
  <c r="D27" i="4" s="1"/>
  <c r="D20" i="4"/>
  <c r="L5" i="1"/>
  <c r="J5" i="1"/>
  <c r="H5" i="1"/>
  <c r="D5" i="1"/>
  <c r="N37" i="1"/>
  <c r="N38" i="1"/>
  <c r="N39" i="1"/>
  <c r="N46" i="1"/>
  <c r="N42" i="1"/>
  <c r="N41" i="1"/>
  <c r="N25" i="1"/>
  <c r="N10" i="1"/>
  <c r="N9" i="1"/>
  <c r="D7" i="3" s="1"/>
  <c r="L5" i="2"/>
  <c r="J5" i="2"/>
  <c r="H5" i="2"/>
  <c r="F5" i="2"/>
  <c r="D5" i="2"/>
  <c r="N21" i="2"/>
  <c r="N9" i="2"/>
  <c r="D64" i="4"/>
  <c r="A1" i="1" l="1"/>
  <c r="B2" i="13"/>
  <c r="BL40" i="10"/>
  <c r="D20" i="3"/>
  <c r="F39" i="3"/>
  <c r="F25" i="3"/>
  <c r="F22" i="3"/>
  <c r="J22" i="3" s="1"/>
  <c r="F21" i="3"/>
  <c r="H21" i="3" s="1"/>
  <c r="F27" i="3"/>
  <c r="F38" i="3"/>
  <c r="F24" i="3"/>
  <c r="J24" i="3" s="1"/>
  <c r="F23" i="3"/>
  <c r="F29" i="3"/>
  <c r="F28" i="3"/>
  <c r="J28" i="3" s="1"/>
  <c r="F15" i="3"/>
  <c r="F36" i="3"/>
  <c r="H36" i="3" s="1"/>
  <c r="J36" i="3" s="1"/>
  <c r="F26" i="3"/>
  <c r="F33" i="3"/>
  <c r="F20" i="3"/>
  <c r="F16" i="3"/>
  <c r="F27" i="5"/>
  <c r="F13" i="5"/>
  <c r="F24" i="5"/>
  <c r="F26" i="5"/>
  <c r="F21" i="5"/>
  <c r="H21" i="5" s="1"/>
  <c r="J21" i="5" s="1"/>
  <c r="F19" i="5"/>
  <c r="H19" i="5" s="1"/>
  <c r="J19" i="5" s="1"/>
  <c r="F20" i="5"/>
  <c r="F18" i="5"/>
  <c r="H18" i="5" s="1"/>
  <c r="J18" i="5" s="1"/>
  <c r="F14" i="5"/>
  <c r="F14" i="3"/>
  <c r="H14" i="3" s="1"/>
  <c r="J14" i="3" s="1"/>
  <c r="F13" i="3"/>
  <c r="J13" i="3" s="1"/>
  <c r="J25" i="2"/>
  <c r="J29" i="2" s="1"/>
  <c r="D11" i="3"/>
  <c r="F10" i="3"/>
  <c r="H10" i="3" s="1"/>
  <c r="P2" i="3"/>
  <c r="F25" i="2"/>
  <c r="F29" i="2" s="1"/>
  <c r="F31" i="2" s="1"/>
  <c r="J115" i="4"/>
  <c r="J120" i="4" s="1"/>
  <c r="BI28" i="11"/>
  <c r="U28" i="11"/>
  <c r="U30" i="11" s="1"/>
  <c r="M28" i="11"/>
  <c r="M30" i="11" s="1"/>
  <c r="N94" i="4"/>
  <c r="D9" i="3"/>
  <c r="N23" i="2"/>
  <c r="AN28" i="11"/>
  <c r="AN30" i="11" s="1"/>
  <c r="X28" i="11"/>
  <c r="X30" i="11" s="1"/>
  <c r="P28" i="11"/>
  <c r="BH28" i="11"/>
  <c r="BH30" i="11" s="1"/>
  <c r="AR28" i="11"/>
  <c r="AR30" i="11" s="1"/>
  <c r="AJ28" i="11"/>
  <c r="AJ30" i="11" s="1"/>
  <c r="T28" i="11"/>
  <c r="T30" i="11" s="1"/>
  <c r="L28" i="11"/>
  <c r="L30" i="11" s="1"/>
  <c r="L25" i="2"/>
  <c r="L29" i="2" s="1"/>
  <c r="N106" i="4"/>
  <c r="R42" i="10"/>
  <c r="N113" i="4"/>
  <c r="H25" i="2"/>
  <c r="H29" i="2" s="1"/>
  <c r="N114" i="4"/>
  <c r="BL30" i="10"/>
  <c r="Y28" i="11"/>
  <c r="Y30" i="11" s="1"/>
  <c r="Q28" i="11"/>
  <c r="Q30" i="11" s="1"/>
  <c r="I28" i="11"/>
  <c r="I30" i="11" s="1"/>
  <c r="L115" i="4"/>
  <c r="L120" i="4" s="1"/>
  <c r="D8" i="3"/>
  <c r="D115" i="4"/>
  <c r="D120" i="4" s="1"/>
  <c r="AY28" i="11"/>
  <c r="AY30" i="11" s="1"/>
  <c r="AU28" i="11"/>
  <c r="AU30" i="11" s="1"/>
  <c r="AM28" i="11"/>
  <c r="AM30" i="11" s="1"/>
  <c r="AI30" i="11"/>
  <c r="AE28" i="11"/>
  <c r="W28" i="11"/>
  <c r="S28" i="11"/>
  <c r="S30" i="11" s="1"/>
  <c r="AC28" i="11"/>
  <c r="AC30" i="11" s="1"/>
  <c r="AK28" i="11"/>
  <c r="AK30" i="11" s="1"/>
  <c r="BA28" i="11"/>
  <c r="BA30" i="11" s="1"/>
  <c r="BH42" i="10"/>
  <c r="AZ42" i="10"/>
  <c r="AJ42" i="10"/>
  <c r="AF28" i="11"/>
  <c r="AF30" i="11" s="1"/>
  <c r="BJ28" i="11"/>
  <c r="BJ30" i="11" s="1"/>
  <c r="BF28" i="11"/>
  <c r="BF30" i="11" s="1"/>
  <c r="BB28" i="11"/>
  <c r="BB30" i="11" s="1"/>
  <c r="AX28" i="11"/>
  <c r="AX30" i="11" s="1"/>
  <c r="AT28" i="11"/>
  <c r="AT30" i="11" s="1"/>
  <c r="AP28" i="11"/>
  <c r="AP30" i="11" s="1"/>
  <c r="AL28" i="11"/>
  <c r="AL30" i="11" s="1"/>
  <c r="AD28" i="11"/>
  <c r="AD30" i="11" s="1"/>
  <c r="K28" i="11"/>
  <c r="K30" i="11" s="1"/>
  <c r="G28" i="11"/>
  <c r="G30" i="11" s="1"/>
  <c r="AW28" i="11"/>
  <c r="AW30" i="11" s="1"/>
  <c r="AS28" i="11"/>
  <c r="AS30" i="11" s="1"/>
  <c r="AO28" i="11"/>
  <c r="AO30" i="11" s="1"/>
  <c r="AG28" i="11"/>
  <c r="AG30" i="11" s="1"/>
  <c r="J28" i="11"/>
  <c r="J30" i="11" s="1"/>
  <c r="R28" i="11"/>
  <c r="R30" i="11" s="1"/>
  <c r="Z28" i="11"/>
  <c r="Z30" i="11" s="1"/>
  <c r="AH28" i="11"/>
  <c r="AH30" i="11" s="1"/>
  <c r="H42" i="10"/>
  <c r="AV42" i="10"/>
  <c r="AA42" i="10"/>
  <c r="W42" i="10"/>
  <c r="O42" i="10"/>
  <c r="K42" i="10"/>
  <c r="BF42" i="10"/>
  <c r="BB42" i="10"/>
  <c r="AX42" i="10"/>
  <c r="AT42" i="10"/>
  <c r="Y42" i="10"/>
  <c r="U42" i="10"/>
  <c r="M42" i="10"/>
  <c r="I42" i="10"/>
  <c r="BC42" i="10"/>
  <c r="AQ42" i="10"/>
  <c r="AI42" i="10"/>
  <c r="AE42" i="10"/>
  <c r="AS42" i="10"/>
  <c r="BL17" i="10"/>
  <c r="F9" i="3"/>
  <c r="AO42" i="10"/>
  <c r="AG42" i="10"/>
  <c r="S42" i="10"/>
  <c r="AC42" i="10"/>
  <c r="AN42" i="10"/>
  <c r="BD42" i="10"/>
  <c r="F7" i="5"/>
  <c r="F11" i="5"/>
  <c r="A1" i="8"/>
  <c r="F12" i="5"/>
  <c r="H12" i="5" s="1"/>
  <c r="A1" i="2"/>
  <c r="A1" i="3"/>
  <c r="A1" i="5"/>
  <c r="A1" i="4"/>
  <c r="N18" i="2"/>
  <c r="D25" i="2"/>
  <c r="D29" i="2" s="1"/>
  <c r="D31" i="2" s="1"/>
  <c r="L109" i="4"/>
  <c r="L119" i="4" s="1"/>
  <c r="BC28" i="11"/>
  <c r="BC30" i="11" s="1"/>
  <c r="N28" i="11"/>
  <c r="N30" i="11" s="1"/>
  <c r="F42" i="10"/>
  <c r="J42" i="10"/>
  <c r="E28" i="11"/>
  <c r="E30" i="11" s="1"/>
  <c r="BI30" i="11"/>
  <c r="H7" i="3"/>
  <c r="J7" i="3" s="1"/>
  <c r="N56" i="4"/>
  <c r="D13" i="4"/>
  <c r="N12" i="4"/>
  <c r="J31" i="2"/>
  <c r="F8" i="5"/>
  <c r="H8" i="5" s="1"/>
  <c r="J8" i="5" s="1"/>
  <c r="F10" i="5"/>
  <c r="F9" i="5"/>
  <c r="AM42" i="10"/>
  <c r="N42" i="10"/>
  <c r="F8" i="3"/>
  <c r="F12" i="3"/>
  <c r="N50" i="4"/>
  <c r="D16" i="3"/>
  <c r="BL22" i="11"/>
  <c r="AL42" i="10"/>
  <c r="D7" i="5"/>
  <c r="N108" i="4"/>
  <c r="F109" i="4"/>
  <c r="F119" i="4" s="1"/>
  <c r="AB42" i="10"/>
  <c r="AV28" i="11"/>
  <c r="AV30" i="11" s="1"/>
  <c r="F28" i="11"/>
  <c r="F30" i="11" s="1"/>
  <c r="AU42" i="10"/>
  <c r="AY42" i="10"/>
  <c r="D51" i="1"/>
  <c r="J51" i="1"/>
  <c r="Z42" i="10"/>
  <c r="AP42" i="10"/>
  <c r="AH42" i="10"/>
  <c r="Q42" i="10"/>
  <c r="E42" i="10"/>
  <c r="H28" i="11"/>
  <c r="H30" i="11" s="1"/>
  <c r="N26" i="4"/>
  <c r="D15" i="3"/>
  <c r="N43" i="1"/>
  <c r="N121" i="4"/>
  <c r="H115" i="4"/>
  <c r="H120" i="4" s="1"/>
  <c r="V42" i="10"/>
  <c r="BG42" i="10"/>
  <c r="BI42" i="10"/>
  <c r="BE42" i="10"/>
  <c r="BA42" i="10"/>
  <c r="BG28" i="11"/>
  <c r="BG30" i="11" s="1"/>
  <c r="AZ28" i="11"/>
  <c r="AZ30" i="11" s="1"/>
  <c r="O28" i="11"/>
  <c r="O30" i="11" s="1"/>
  <c r="X42" i="10"/>
  <c r="AF42" i="10"/>
  <c r="AB28" i="11"/>
  <c r="AB30" i="11" s="1"/>
  <c r="H33" i="4"/>
  <c r="N32" i="4"/>
  <c r="F64" i="4"/>
  <c r="N63" i="4"/>
  <c r="F118" i="4"/>
  <c r="N118" i="4" s="1"/>
  <c r="F51" i="1"/>
  <c r="F89" i="4"/>
  <c r="N88" i="4"/>
  <c r="D22" i="5"/>
  <c r="AD42" i="10"/>
  <c r="N82" i="4"/>
  <c r="J109" i="4"/>
  <c r="J119" i="4" s="1"/>
  <c r="J122" i="4" s="1"/>
  <c r="N104" i="4"/>
  <c r="H109" i="4"/>
  <c r="H119" i="4" s="1"/>
  <c r="N107" i="4"/>
  <c r="AR42" i="10"/>
  <c r="D73" i="4"/>
  <c r="N72" i="4"/>
  <c r="BJ42" i="10"/>
  <c r="T42" i="10"/>
  <c r="L42" i="10"/>
  <c r="P30" i="11"/>
  <c r="D83" i="4"/>
  <c r="H39" i="4"/>
  <c r="N38" i="4"/>
  <c r="N49" i="1"/>
  <c r="D21" i="4"/>
  <c r="N20" i="4"/>
  <c r="N105" i="4"/>
  <c r="D109" i="4"/>
  <c r="BL15" i="11"/>
  <c r="D29" i="3"/>
  <c r="N26" i="1"/>
  <c r="H51" i="1"/>
  <c r="L51" i="1"/>
  <c r="D10" i="5"/>
  <c r="AW42" i="10"/>
  <c r="AK42" i="10"/>
  <c r="P42" i="10"/>
  <c r="BE28" i="11"/>
  <c r="BE30" i="11" s="1"/>
  <c r="D26" i="5"/>
  <c r="G42" i="10"/>
  <c r="BD30" i="11"/>
  <c r="D28" i="3"/>
  <c r="F115" i="4"/>
  <c r="F120" i="4" s="1"/>
  <c r="AQ28" i="11"/>
  <c r="AQ30" i="11" s="1"/>
  <c r="L31" i="2" l="1"/>
  <c r="H20" i="3"/>
  <c r="J20" i="3" s="1"/>
  <c r="H13" i="3"/>
  <c r="J10" i="3"/>
  <c r="W30" i="11"/>
  <c r="AE30" i="11"/>
  <c r="L122" i="4"/>
  <c r="H9" i="3"/>
  <c r="J9" i="3" s="1"/>
  <c r="F28" i="5"/>
  <c r="H122" i="4"/>
  <c r="H8" i="3"/>
  <c r="J8" i="3" s="1"/>
  <c r="AA30" i="11"/>
  <c r="H11" i="3"/>
  <c r="J11" i="3" s="1"/>
  <c r="H10" i="5"/>
  <c r="J10" i="5" s="1"/>
  <c r="H26" i="5"/>
  <c r="J26" i="5" s="1"/>
  <c r="H16" i="3"/>
  <c r="J16" i="3" s="1"/>
  <c r="BL42" i="10"/>
  <c r="H9" i="5"/>
  <c r="J9" i="5" s="1"/>
  <c r="H26" i="3"/>
  <c r="J26" i="3" s="1"/>
  <c r="H25" i="3"/>
  <c r="J25" i="3" s="1"/>
  <c r="H7" i="5"/>
  <c r="J7" i="5" s="1"/>
  <c r="J12" i="5"/>
  <c r="H28" i="3"/>
  <c r="D17" i="3"/>
  <c r="J21" i="3"/>
  <c r="H24" i="3"/>
  <c r="H29" i="3"/>
  <c r="J29" i="3" s="1"/>
  <c r="H12" i="3"/>
  <c r="J12" i="3" s="1"/>
  <c r="H27" i="5"/>
  <c r="J27" i="5" s="1"/>
  <c r="H11" i="5"/>
  <c r="J11" i="5" s="1"/>
  <c r="H23" i="3"/>
  <c r="J23" i="3" s="1"/>
  <c r="H22" i="3"/>
  <c r="F30" i="3"/>
  <c r="F22" i="5"/>
  <c r="F15" i="5"/>
  <c r="N25" i="2"/>
  <c r="H27" i="3"/>
  <c r="J27" i="3" s="1"/>
  <c r="BL24" i="11"/>
  <c r="BL28" i="11" s="1"/>
  <c r="H15" i="3"/>
  <c r="J15" i="3" s="1"/>
  <c r="F40" i="3"/>
  <c r="H14" i="5"/>
  <c r="J14" i="5" s="1"/>
  <c r="H20" i="5"/>
  <c r="J20" i="5" s="1"/>
  <c r="H13" i="5"/>
  <c r="J13" i="5" s="1"/>
  <c r="F17" i="3"/>
  <c r="D15" i="5"/>
  <c r="D24" i="5" s="1"/>
  <c r="N120" i="4"/>
  <c r="N29" i="2"/>
  <c r="H31" i="2"/>
  <c r="F122" i="4"/>
  <c r="N109" i="4"/>
  <c r="D33" i="3" s="1"/>
  <c r="D119" i="4"/>
  <c r="D30" i="3"/>
  <c r="N115" i="4"/>
  <c r="D38" i="3" s="1"/>
  <c r="H38" i="3" s="1"/>
  <c r="J38" i="3" s="1"/>
  <c r="BL30" i="11" l="1"/>
  <c r="F42" i="3"/>
  <c r="F30" i="5"/>
  <c r="D28" i="5"/>
  <c r="H24" i="5"/>
  <c r="J24" i="5" s="1"/>
  <c r="N119" i="4"/>
  <c r="D122" i="4"/>
  <c r="N122" i="4" s="1"/>
  <c r="D39" i="3" s="1"/>
  <c r="H39" i="3" s="1"/>
  <c r="J39" i="3" s="1"/>
  <c r="H33" i="3"/>
  <c r="J33" i="3" s="1"/>
  <c r="D40" i="3" l="1"/>
  <c r="D42" i="3" s="1"/>
  <c r="D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tc={4E5FA7D2-F31F-49BC-8977-911F7F545914}</author>
  </authors>
  <commentList>
    <comment ref="B40" authorId="0" shapeId="0" xr:uid="{4E5FA7D2-F31F-49BC-8977-911F7F545914}">
      <text>
        <t>[Threaded comment]
Your version of Excel allows you to read this threaded comment; however, any edits to it will get removed if the file is opened in a newer version of Excel. Learn more: https://go.microsoft.com/fwlink/?linkid=870924
Comment:
    New account in FY2023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Patcha Kidking</author>
  </authors>
  <commentList>
    <comment ref="F68" authorId="0" shapeId="0" xr:uid="{8B309037-8859-49D6-9E7C-D1D223B262A0}">
      <text>
        <r>
          <rPr>
            <b/>
            <sz val="9"/>
            <color indexed="81"/>
            <rFont val="Tahoma"/>
            <family val="2"/>
          </rPr>
          <t>Patcha Kidking:</t>
        </r>
        <r>
          <rPr>
            <sz val="9"/>
            <color indexed="81"/>
            <rFont val="Tahoma"/>
            <family val="2"/>
          </rPr>
          <t xml:space="preserve">
I see this one at A67 on '431BTA-CU' tab, not on 'Notes' tab of NCFS package.</t>
        </r>
      </text>
    </comment>
  </commentList>
</comments>
</file>

<file path=xl/sharedStrings.xml><?xml version="1.0" encoding="utf-8"?>
<sst xmlns="http://schemas.openxmlformats.org/spreadsheetml/2006/main" count="1308" uniqueCount="708">
  <si>
    <t>Foundation Conversion Template</t>
  </si>
  <si>
    <t>North Carolina Community Colleges</t>
  </si>
  <si>
    <r>
      <t>The accompanying "</t>
    </r>
    <r>
      <rPr>
        <i/>
        <sz val="10"/>
        <color indexed="12"/>
        <rFont val="Arial"/>
        <family val="2"/>
      </rPr>
      <t>Foundation Conversion Template - North Carolina Community Colleges"</t>
    </r>
  </si>
  <si>
    <t>was developed by the North Carolina Office of the State Controller (OSC). This template converts</t>
  </si>
  <si>
    <t>private foundations from the FASB 117 format (as amended by FASB Update 2016-14)</t>
  </si>
  <si>
    <t xml:space="preserve"> to the State ACFR format (i.e., GASB 34).</t>
  </si>
  <si>
    <t>Except for North Carolina public colleges and universities, we request that users make reference to OSC</t>
  </si>
  <si>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</si>
  <si>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</si>
  <si>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</si>
  <si>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</si>
  <si>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</si>
  <si>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</si>
  <si>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</si>
  <si>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 for Colleges</t>
  </si>
  <si>
    <t>General Information</t>
  </si>
  <si>
    <t>Select College Number from the drop down list:</t>
  </si>
  <si>
    <t>College Number</t>
  </si>
  <si>
    <t>Name of College</t>
  </si>
  <si>
    <t>Enter Preparer Information:</t>
  </si>
  <si>
    <t>Preparer's Name</t>
  </si>
  <si>
    <t>Preparer's Phone No.</t>
  </si>
  <si>
    <t>Preparer's E-mail</t>
  </si>
  <si>
    <t>Enter Foundation Name(s):</t>
  </si>
  <si>
    <t>Name of Foundation 1</t>
  </si>
  <si>
    <t>Name of Foundation 2</t>
  </si>
  <si>
    <t>Name of Foundation 3</t>
  </si>
  <si>
    <t xml:space="preserve"> </t>
  </si>
  <si>
    <t>Name of Foundation 4</t>
  </si>
  <si>
    <t>Name of Foundation 5</t>
  </si>
  <si>
    <t>(Note: Names must fit within the shaded areas)</t>
  </si>
  <si>
    <t>GENERAL INSTRUCTIONS:</t>
  </si>
  <si>
    <r>
      <t xml:space="preserve">Throughout the workbook, please enter all amounts in </t>
    </r>
    <r>
      <rPr>
        <b/>
        <sz val="10"/>
        <rFont val="Arial"/>
        <family val="2"/>
      </rPr>
      <t>"</t>
    </r>
    <r>
      <rPr>
        <b/>
        <u/>
        <sz val="10"/>
        <rFont val="Arial"/>
        <family val="2"/>
      </rPr>
      <t>whole dollars</t>
    </r>
    <r>
      <rPr>
        <b/>
        <sz val="10"/>
        <rFont val="Arial"/>
        <family val="2"/>
      </rPr>
      <t>"</t>
    </r>
    <r>
      <rPr>
        <sz val="10"/>
        <rFont val="Arial"/>
        <family val="2"/>
      </rPr>
      <t xml:space="preserve"> not cents.  </t>
    </r>
  </si>
  <si>
    <t>Refer to the notes at the bottom of each tab for further information and instructions.</t>
  </si>
  <si>
    <t xml:space="preserve">Please add any suggestions or explanations of special situations on the "Comments" tab </t>
  </si>
  <si>
    <t>so that we may update the template as needed.</t>
  </si>
  <si>
    <t>library.  OSC will not accept year-end packages via email.  Thank you!</t>
  </si>
  <si>
    <t>Exhibit A</t>
  </si>
  <si>
    <r>
      <t xml:space="preserve">Statement of Net Assets - FASB 117 Format </t>
    </r>
    <r>
      <rPr>
        <vertAlign val="superscript"/>
        <sz val="10"/>
        <rFont val="Arial"/>
        <family val="2"/>
      </rPr>
      <t>(1)</t>
    </r>
  </si>
  <si>
    <t>Total</t>
  </si>
  <si>
    <t>Assets</t>
  </si>
  <si>
    <t>Cash and cash equivalents</t>
  </si>
  <si>
    <t>**</t>
  </si>
  <si>
    <t>Investments</t>
  </si>
  <si>
    <t>Investment in joint venture</t>
  </si>
  <si>
    <t>Cash surrender value of life insurance</t>
  </si>
  <si>
    <t>Assets held in charitable trusts and annuities</t>
  </si>
  <si>
    <t>Security deposits</t>
  </si>
  <si>
    <t>Assets held by trustee</t>
  </si>
  <si>
    <t>Real estate held for resale</t>
  </si>
  <si>
    <t>Receivables, net</t>
  </si>
  <si>
    <t>Promises to give</t>
  </si>
  <si>
    <t>Inventories</t>
  </si>
  <si>
    <t>Prepaid expenses</t>
  </si>
  <si>
    <t>Notes/loans receivable, net</t>
  </si>
  <si>
    <t>Lease receivable, net</t>
  </si>
  <si>
    <t>Deferred charges</t>
  </si>
  <si>
    <t>In-kind gifts</t>
  </si>
  <si>
    <t>Property and equipment, net</t>
  </si>
  <si>
    <t>Total assets</t>
  </si>
  <si>
    <r>
      <t xml:space="preserve">Liabilities </t>
    </r>
    <r>
      <rPr>
        <vertAlign val="superscript"/>
        <sz val="8"/>
        <rFont val="Arial"/>
        <family val="2"/>
      </rPr>
      <t>(2)</t>
    </r>
  </si>
  <si>
    <t>Accounts payable and accrued expenses</t>
  </si>
  <si>
    <r>
      <t xml:space="preserve">Due to the College </t>
    </r>
    <r>
      <rPr>
        <vertAlign val="superscript"/>
        <sz val="8"/>
        <rFont val="Arial"/>
        <family val="2"/>
      </rPr>
      <t>(3)</t>
    </r>
  </si>
  <si>
    <r>
      <t xml:space="preserve">Grants payable to the College </t>
    </r>
    <r>
      <rPr>
        <vertAlign val="superscript"/>
        <sz val="8"/>
        <rFont val="Arial"/>
        <family val="2"/>
      </rPr>
      <t>(3)</t>
    </r>
  </si>
  <si>
    <t>Unearned revenue</t>
  </si>
  <si>
    <t>Interest payable</t>
  </si>
  <si>
    <t>Deposits payable</t>
  </si>
  <si>
    <t>Funds held for others</t>
  </si>
  <si>
    <t>Interest rate swap fair value liability</t>
  </si>
  <si>
    <t>Split interest agreement obligations</t>
  </si>
  <si>
    <t>Annuities payable</t>
  </si>
  <si>
    <t>Leases payable</t>
  </si>
  <si>
    <t>Notes payable</t>
  </si>
  <si>
    <t>Bonds payable</t>
  </si>
  <si>
    <t>Total liabilities</t>
  </si>
  <si>
    <t>Net Assets</t>
  </si>
  <si>
    <t>Net Assets Without Donor Restrictions</t>
  </si>
  <si>
    <t>Net Assets With Donor Restrictions</t>
  </si>
  <si>
    <t>Total net assets</t>
  </si>
  <si>
    <t>(Assets minus liabilities equals net assets)</t>
  </si>
  <si>
    <t>Notes:</t>
  </si>
  <si>
    <t>(1)</t>
  </si>
  <si>
    <t>If the Foundation's separately issued Statement of Net Assets includes more than one column,</t>
  </si>
  <si>
    <t>key the amounts from the "Total" column.</t>
  </si>
  <si>
    <t>(2)</t>
  </si>
  <si>
    <t>Within a foundation, amounts due to/due from other funds of that foundation should be eliminated and</t>
  </si>
  <si>
    <t>excluded from Exhibit A.  Amounts due to other College foundations should be included with</t>
  </si>
  <si>
    <t>"Accounts payable and accrued expenses".</t>
  </si>
  <si>
    <t>(3)</t>
  </si>
  <si>
    <t>Total foundation payables to the College should agree with the offsetting amount recorded by the</t>
  </si>
  <si>
    <t xml:space="preserve">College as "Due from College Component Units".  The only exception is for timing differences for </t>
  </si>
  <si>
    <t>foundations with different fiscal year-end dates.  When the fiscal years are the same and the total</t>
  </si>
  <si>
    <t>foundation payables to the College do not equal the offsetting receivable recognized by the</t>
  </si>
  <si>
    <t>College, the difference should be reclassified to "Accounts payable and accrued expenses".</t>
  </si>
  <si>
    <t>See Adjustments tab for further breakdown.</t>
  </si>
  <si>
    <t>Exhibit B</t>
  </si>
  <si>
    <r>
      <t>Statement of Activities - FASB 117 Format</t>
    </r>
    <r>
      <rPr>
        <sz val="10"/>
        <rFont val="Arial"/>
        <family val="2"/>
      </rPr>
      <t xml:space="preserve"> </t>
    </r>
    <r>
      <rPr>
        <vertAlign val="superscript"/>
        <sz val="10"/>
        <rFont val="Arial"/>
        <family val="2"/>
      </rPr>
      <t>(1)</t>
    </r>
  </si>
  <si>
    <r>
      <t xml:space="preserve">Revenues </t>
    </r>
    <r>
      <rPr>
        <vertAlign val="superscript"/>
        <sz val="10"/>
        <rFont val="Arial"/>
        <family val="2"/>
      </rPr>
      <t>(2)</t>
    </r>
  </si>
  <si>
    <t>Gifts, donations, and contributions</t>
  </si>
  <si>
    <t>Contributed services and facilities</t>
  </si>
  <si>
    <t>Change in value of split interest agreements</t>
  </si>
  <si>
    <t>Investment income</t>
  </si>
  <si>
    <t>Net realized/unrealized gains (losses) on investments</t>
  </si>
  <si>
    <t>Sales and services</t>
  </si>
  <si>
    <t>Rental and lease income</t>
  </si>
  <si>
    <t>Gain on sale of capital assets</t>
  </si>
  <si>
    <t>Miscellaneous income</t>
  </si>
  <si>
    <t>Total revenues</t>
  </si>
  <si>
    <r>
      <t xml:space="preserve">Expenses </t>
    </r>
    <r>
      <rPr>
        <b/>
        <vertAlign val="superscript"/>
        <sz val="10"/>
        <rFont val="Arial"/>
        <family val="2"/>
      </rPr>
      <t>(3)</t>
    </r>
  </si>
  <si>
    <t>Payments to College</t>
  </si>
  <si>
    <r>
      <t xml:space="preserve">Other expenses </t>
    </r>
    <r>
      <rPr>
        <sz val="8"/>
        <rFont val="Arial"/>
        <family val="2"/>
      </rPr>
      <t>(include losses on sale of capital assets)</t>
    </r>
  </si>
  <si>
    <t>Total expenses</t>
  </si>
  <si>
    <t>Change in net assets</t>
  </si>
  <si>
    <r>
      <t xml:space="preserve">Net assets - beginning of year </t>
    </r>
    <r>
      <rPr>
        <sz val="8"/>
        <rFont val="Arial"/>
        <family val="2"/>
      </rPr>
      <t>(per prior year template )</t>
    </r>
  </si>
  <si>
    <t>Restatements</t>
  </si>
  <si>
    <t>Net assets - end of year</t>
  </si>
  <si>
    <t>(Ending net assets agree with Exhibit A)</t>
  </si>
  <si>
    <t>Notes</t>
  </si>
  <si>
    <t>If the Foundation's separately issued Statement of Activities includes more than one column, key the amounts from the "Total" column.</t>
  </si>
  <si>
    <t>Also, if separate sections are presented for amounts "Without Donor Restrictions" and "With Donor Restrictions",</t>
  </si>
  <si>
    <t>the amounts from each section should be added together.</t>
  </si>
  <si>
    <t>Membership fees that are exchange transactions should be included with "Sales and services".  Conversely, membership fees that are</t>
  </si>
  <si>
    <t>nonexchange transactions should be included with "Gifts, donations, and contributions".</t>
  </si>
  <si>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</si>
  <si>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</si>
  <si>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</si>
  <si>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Exhibit C</t>
  </si>
  <si>
    <t>ACFR Adjustments</t>
  </si>
  <si>
    <r>
      <t xml:space="preserve">Analysis - ACFR Format </t>
    </r>
    <r>
      <rPr>
        <b/>
        <u/>
        <vertAlign val="superscript"/>
        <sz val="10"/>
        <rFont val="Arial"/>
        <family val="2"/>
      </rPr>
      <t>(1)</t>
    </r>
  </si>
  <si>
    <t>Restricted/endowment investments</t>
  </si>
  <si>
    <t>Other Investments</t>
  </si>
  <si>
    <t>(Note: Should equal amount on Exhibit A)</t>
  </si>
  <si>
    <r>
      <t>Property and equipment, net</t>
    </r>
    <r>
      <rPr>
        <b/>
        <vertAlign val="superscript"/>
        <sz val="10"/>
        <rFont val="Arial"/>
        <family val="2"/>
      </rPr>
      <t xml:space="preserve"> (2)</t>
    </r>
  </si>
  <si>
    <t>Unrestricted property/equipment, nondepreciable</t>
  </si>
  <si>
    <t>Unrestricted property/equipment, depreciable, net</t>
  </si>
  <si>
    <t>Restricted property/equipment, nondepreciable</t>
  </si>
  <si>
    <t>Restricted property/equipment, depreciable, net</t>
  </si>
  <si>
    <t>Current portion</t>
  </si>
  <si>
    <t>Noncurrent portion</t>
  </si>
  <si>
    <t>Noncapital gifts</t>
  </si>
  <si>
    <t>Capital gifts</t>
  </si>
  <si>
    <t>Additions to endowments</t>
  </si>
  <si>
    <t>(Note: Should equal amount on Exhibit B)</t>
  </si>
  <si>
    <t>Elimination Data - ACFR Level</t>
  </si>
  <si>
    <r>
      <t xml:space="preserve">Payments to College </t>
    </r>
    <r>
      <rPr>
        <b/>
        <sz val="8"/>
        <rFont val="Arial"/>
        <family val="2"/>
      </rPr>
      <t>(accrual)</t>
    </r>
    <r>
      <rPr>
        <b/>
        <sz val="10"/>
        <rFont val="Arial"/>
        <family val="2"/>
      </rPr>
      <t xml:space="preserve"> </t>
    </r>
    <r>
      <rPr>
        <b/>
        <vertAlign val="superscript"/>
        <sz val="10"/>
        <rFont val="Arial"/>
        <family val="2"/>
      </rPr>
      <t xml:space="preserve">(3) </t>
    </r>
  </si>
  <si>
    <t>Student tuition and fees recognized by College</t>
  </si>
  <si>
    <t>Noncapital gift revenues recognized by College</t>
  </si>
  <si>
    <t>Capital gift revenues recognized by College</t>
  </si>
  <si>
    <t>Other Information</t>
  </si>
  <si>
    <t>Foundation's fiscal year-end date (MM/DD/YY)</t>
  </si>
  <si>
    <t>-</t>
  </si>
  <si>
    <t xml:space="preserve">Notes payable - capital </t>
  </si>
  <si>
    <t>Notes payable - noncapital</t>
  </si>
  <si>
    <t xml:space="preserve">Bonds payable - capital </t>
  </si>
  <si>
    <t>Bonds payable - noncapital</t>
  </si>
  <si>
    <r>
      <t xml:space="preserve">Unspent debt proceeds - notes and bonds </t>
    </r>
    <r>
      <rPr>
        <vertAlign val="superscript"/>
        <sz val="10"/>
        <rFont val="Arial"/>
        <family val="2"/>
      </rPr>
      <t>(4)</t>
    </r>
  </si>
  <si>
    <t>Amount of unspent proceeds - capital debt</t>
  </si>
  <si>
    <t>Amount of unspent proceeds - noncapital debt</t>
  </si>
  <si>
    <r>
      <t xml:space="preserve">Net Position </t>
    </r>
    <r>
      <rPr>
        <b/>
        <vertAlign val="superscript"/>
        <sz val="10"/>
        <rFont val="Arial"/>
        <family val="2"/>
      </rPr>
      <t>(5)</t>
    </r>
  </si>
  <si>
    <t>Permanently Restricted Net Assets</t>
  </si>
  <si>
    <t>Temporarily Restricted Net Assets</t>
  </si>
  <si>
    <r>
      <t xml:space="preserve">Automatic Calculations - GASB 63 Categories </t>
    </r>
    <r>
      <rPr>
        <u/>
        <vertAlign val="superscript"/>
        <sz val="10"/>
        <rFont val="Arial"/>
        <family val="2"/>
      </rPr>
      <t>(5)</t>
    </r>
  </si>
  <si>
    <t>Net investment in capital assets</t>
  </si>
  <si>
    <t>Capital assets, net</t>
  </si>
  <si>
    <t>Less: Leases payable</t>
  </si>
  <si>
    <t>Less: Notes payable - capital</t>
  </si>
  <si>
    <t>Less: Bonds payable - capital</t>
  </si>
  <si>
    <t>Add:  Amount of unspent proceeds - capital debt</t>
  </si>
  <si>
    <t>Restricted, expendable net position</t>
  </si>
  <si>
    <t>Temporarily restricted net assets per Exhibit A</t>
  </si>
  <si>
    <t>Less: Restricted property/equipment, nondepreciable</t>
  </si>
  <si>
    <t>Less: Restricted property/equipment, depreciable, net</t>
  </si>
  <si>
    <t>Restricted, expendable net position per Exhibit D</t>
  </si>
  <si>
    <t>Unrestricted net position</t>
  </si>
  <si>
    <t>Total net assets per Exhibit A</t>
  </si>
  <si>
    <t>Less: Net investment in capital assets</t>
  </si>
  <si>
    <t>Less: Restricted, expendable net position</t>
  </si>
  <si>
    <t>Less: Restricted, nonexpendable net position</t>
  </si>
  <si>
    <t>Unrestricted net position per Exhibit D</t>
  </si>
  <si>
    <t>The "Analysis - ACFR Format" section provides additional details that are necessary to convert the</t>
  </si>
  <si>
    <t>financial statements of private foundations from the FASB 117 format to the GASB 34 format (e.g.,</t>
  </si>
  <si>
    <t>breakdown of investments into restricted/other investments, long-term debt into current/noncurrent</t>
  </si>
  <si>
    <t xml:space="preserve">portions, capital assets into depreciable/nondepreciable portions, and gifts and donations into </t>
  </si>
  <si>
    <t>noncapital/capital gifts and additions to endowments).</t>
  </si>
  <si>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</si>
  <si>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</si>
  <si>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</si>
  <si>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</si>
  <si>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</si>
  <si>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assets per GASB 34.</t>
  </si>
  <si>
    <t>In the State ACFR, colleges and component unit foundations will be presented in a single column.</t>
  </si>
  <si>
    <t xml:space="preserve">Therefore, to avoid overstating revenues, OSC will make an ACFR level entry to eliminate foundation </t>
  </si>
  <si>
    <t>payments to colleges (per Exhibit B) and the related revenues recognized by colleges.  OSC needs</t>
  </si>
  <si>
    <t>this breakdown for the elimination entry.</t>
  </si>
  <si>
    <t>(4)</t>
  </si>
  <si>
    <t>Include the unspent debt proceeds (bonds/notes) related to outstanding capital and noncapital debt as of</t>
  </si>
  <si>
    <t>June 30.  As required by GASB Codification Section 1800.156, the unspent portion of bonds and notes payable should</t>
  </si>
  <si>
    <t>reduce the net asset balance of the component that includes the unspent cash.  For example, if a foundation</t>
  </si>
  <si>
    <t>has unspent capital debt proceeds at year-end, the portion of the debt attributable to the unspent proceeds</t>
  </si>
  <si>
    <t>should not be included in the calculation of "invested in capital assets, net of related debt".  Rather, that</t>
  </si>
  <si>
    <t>portion of the debt should be included in the same net assets component as the unspent proceeds (e.g.,</t>
  </si>
  <si>
    <t>"Unrestricted under the FASB 117 Model").</t>
  </si>
  <si>
    <t>(5)</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</si>
  <si>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</si>
  <si>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Exhibit D</t>
  </si>
  <si>
    <t>FCCS Entity</t>
  </si>
  <si>
    <t>48200G</t>
  </si>
  <si>
    <t>Statement of Net Position - ACFR Format</t>
  </si>
  <si>
    <t>FCCS Agency</t>
  </si>
  <si>
    <t>*Enter FCCS equivalent Agency. Example - C0</t>
  </si>
  <si>
    <r>
      <t xml:space="preserve">With Prior Year Balances and Computed Variances </t>
    </r>
    <r>
      <rPr>
        <b/>
        <vertAlign val="superscript"/>
        <sz val="10"/>
        <rFont val="Arial"/>
        <family val="2"/>
      </rPr>
      <t>(2)</t>
    </r>
  </si>
  <si>
    <t>Current Year</t>
  </si>
  <si>
    <t>Prior Year Balance</t>
  </si>
  <si>
    <t>Variance (CY-PY)</t>
  </si>
  <si>
    <t>% Change</t>
  </si>
  <si>
    <t>ASSETS</t>
  </si>
  <si>
    <t>Prepaid items</t>
  </si>
  <si>
    <t>Notes receivable, net</t>
  </si>
  <si>
    <t>Leases receivable, net</t>
  </si>
  <si>
    <t>Restricted investments</t>
  </si>
  <si>
    <t>Capital assets - nondepreciable</t>
  </si>
  <si>
    <t>Capital assets - depreciable, net</t>
  </si>
  <si>
    <t>LIABILITIES</t>
  </si>
  <si>
    <t>Accounts payable and accrued liabilities</t>
  </si>
  <si>
    <r>
      <t xml:space="preserve">Due to the College </t>
    </r>
    <r>
      <rPr>
        <vertAlign val="superscript"/>
        <sz val="10"/>
        <rFont val="Arial"/>
        <family val="2"/>
      </rPr>
      <t>(1)</t>
    </r>
  </si>
  <si>
    <r>
      <t>Grants payable to the College</t>
    </r>
    <r>
      <rPr>
        <vertAlign val="superscript"/>
        <sz val="10"/>
        <rFont val="Arial"/>
        <family val="2"/>
      </rPr>
      <t xml:space="preserve"> (1)</t>
    </r>
  </si>
  <si>
    <t>2127GRNT</t>
  </si>
  <si>
    <t>Long-term liabilities:</t>
  </si>
  <si>
    <t>Due within one year</t>
  </si>
  <si>
    <t>DueOneYear</t>
  </si>
  <si>
    <t>Due in more than one year</t>
  </si>
  <si>
    <t>DueMoreOneYear</t>
  </si>
  <si>
    <t>NET POSITION</t>
  </si>
  <si>
    <t>NetinvestmentCapitalAssets</t>
  </si>
  <si>
    <t>CapProjectsReno</t>
  </si>
  <si>
    <t>Restricted for:</t>
  </si>
  <si>
    <t>Nonexpendable:</t>
  </si>
  <si>
    <t>Higher education</t>
  </si>
  <si>
    <t>NonExpendable</t>
  </si>
  <si>
    <t>Higher Ed</t>
  </si>
  <si>
    <t>Expendable:</t>
  </si>
  <si>
    <t>Expendable</t>
  </si>
  <si>
    <t>Unrestricted</t>
  </si>
  <si>
    <t>UnRestricted</t>
  </si>
  <si>
    <t>No Function</t>
  </si>
  <si>
    <t>Total net position</t>
  </si>
  <si>
    <t>(Assets minus liabilities equals net position)</t>
  </si>
  <si>
    <r>
      <t>OSC will make an</t>
    </r>
    <r>
      <rPr>
        <sz val="10"/>
        <color rgb="FFFF0000"/>
        <rFont val="Arial"/>
        <family val="2"/>
      </rPr>
      <t xml:space="preserve"> </t>
    </r>
    <r>
      <rPr>
        <sz val="10"/>
        <rFont val="Arial"/>
        <family val="2"/>
      </rPr>
      <t>entry for the State's ACFR to eliminate the "grossing-up" of assets and liabilities between</t>
    </r>
  </si>
  <si>
    <t>colleges and their component unit foundations.</t>
  </si>
  <si>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</si>
  <si>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</si>
  <si>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</si>
  <si>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before submitting the template. The prior year balances are from the foundation template submitted to OSC.</t>
  </si>
  <si>
    <r>
      <rPr>
        <b/>
        <sz val="10"/>
        <rFont val="Arial"/>
        <family val="2"/>
      </rPr>
      <t>Note:</t>
    </r>
    <r>
      <rPr>
        <sz val="10"/>
        <rFont val="Arial"/>
        <family val="2"/>
      </rPr>
      <t xml:space="preserve"> This template does not include deferred outflows/inflows of resources (per GASB 65). Colleges typically are </t>
    </r>
  </si>
  <si>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</si>
  <si>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</si>
  <si>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</si>
  <si>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t xml:space="preserve">GASB 65, please contact your OSC analyst. </t>
  </si>
  <si>
    <t>Exhibit E</t>
  </si>
  <si>
    <t>Statement of Activities - ACFR Format</t>
  </si>
  <si>
    <t>Revenues</t>
  </si>
  <si>
    <t>Rental and lease earnings</t>
  </si>
  <si>
    <t>Miscellaneous</t>
  </si>
  <si>
    <t>Expenses</t>
  </si>
  <si>
    <r>
      <t xml:space="preserve">Payments to College </t>
    </r>
    <r>
      <rPr>
        <sz val="8"/>
        <rFont val="Arial"/>
        <family val="2"/>
      </rPr>
      <t>(accrual)</t>
    </r>
    <r>
      <rPr>
        <sz val="10"/>
        <rFont val="Arial"/>
        <family val="2"/>
      </rPr>
      <t xml:space="preserve"> - student tuition/fees </t>
    </r>
    <r>
      <rPr>
        <vertAlign val="superscript"/>
        <sz val="10"/>
        <rFont val="Arial"/>
        <family val="2"/>
      </rPr>
      <t>(1)</t>
    </r>
  </si>
  <si>
    <t>PymtStuTuition</t>
  </si>
  <si>
    <r>
      <t xml:space="preserve">Payments to College </t>
    </r>
    <r>
      <rPr>
        <sz val="8"/>
        <rFont val="Arial"/>
        <family val="2"/>
      </rPr>
      <t>(accrual)</t>
    </r>
    <r>
      <rPr>
        <sz val="10"/>
        <rFont val="Arial"/>
        <family val="2"/>
      </rPr>
      <t xml:space="preserve"> - noncapital </t>
    </r>
    <r>
      <rPr>
        <vertAlign val="superscript"/>
        <sz val="10"/>
        <rFont val="Arial"/>
        <family val="2"/>
      </rPr>
      <t>(1)</t>
    </r>
  </si>
  <si>
    <t>PymtNonCapital</t>
  </si>
  <si>
    <r>
      <t xml:space="preserve">Payments to College </t>
    </r>
    <r>
      <rPr>
        <sz val="8"/>
        <rFont val="Arial"/>
        <family val="2"/>
      </rPr>
      <t>(accrual)</t>
    </r>
    <r>
      <rPr>
        <sz val="10"/>
        <rFont val="Arial"/>
        <family val="2"/>
      </rPr>
      <t xml:space="preserve"> - capital </t>
    </r>
    <r>
      <rPr>
        <vertAlign val="superscript"/>
        <sz val="10"/>
        <rFont val="Arial"/>
        <family val="2"/>
      </rPr>
      <t>(1)</t>
    </r>
  </si>
  <si>
    <t>PymntCapital</t>
  </si>
  <si>
    <t>Other expenses</t>
  </si>
  <si>
    <t>Increase (decrease) in net position</t>
  </si>
  <si>
    <t>Net position - beginning of year</t>
  </si>
  <si>
    <t>Restatement</t>
  </si>
  <si>
    <t>Net position - end of year</t>
  </si>
  <si>
    <t>(Ending net position agrees with Exhibit D)</t>
  </si>
  <si>
    <t>OSC will make an entry for the State's ACFR to eliminate the "grossing-up" of revenues and expenses between</t>
  </si>
  <si>
    <t>[FYI:  A college is not required to present cash flows data for a discretely presented component unit</t>
  </si>
  <si>
    <t>within its basic financial statements (GASB Codification Section 2200.214 and 2200.768-30).</t>
  </si>
  <si>
    <t>Therefore, foundation cash flows data is not needed.]</t>
  </si>
  <si>
    <t>Comments and Suggestions for Foundation Template for Colleges</t>
  </si>
  <si>
    <t>College</t>
  </si>
  <si>
    <t>Ending Net Assets</t>
  </si>
  <si>
    <t>COMMUNITY COLLEGE</t>
  </si>
  <si>
    <t>Per Annual Report</t>
  </si>
  <si>
    <t>Equals "Net Assets/Position - Beginning</t>
  </si>
  <si>
    <t xml:space="preserve">     of Year" on Exh B &amp; Exh E</t>
  </si>
  <si>
    <t>Alamance Community College</t>
  </si>
  <si>
    <t>South Piedmont Community College</t>
  </si>
  <si>
    <t>Asheville-Buncombe Tech Community College</t>
  </si>
  <si>
    <t>Beaufort County Community College</t>
  </si>
  <si>
    <t>Bladen Community College</t>
  </si>
  <si>
    <t>Blue Ridge Community College</t>
  </si>
  <si>
    <t>Brunswick Community College</t>
  </si>
  <si>
    <t>Caldwell Community College and Tech Institute</t>
  </si>
  <si>
    <t>Cape Fear Community College</t>
  </si>
  <si>
    <t>Carteret Community College</t>
  </si>
  <si>
    <t>Catawba Valley Community College</t>
  </si>
  <si>
    <t>Central Carolina Community College</t>
  </si>
  <si>
    <t>Central Piedmont Community College</t>
  </si>
  <si>
    <t>Cleveland Community College</t>
  </si>
  <si>
    <t>Coastal Carolina Community College</t>
  </si>
  <si>
    <t>College of the Albemarle</t>
  </si>
  <si>
    <t>Craven Community College</t>
  </si>
  <si>
    <t>Davidson-Davie Community College</t>
  </si>
  <si>
    <t>Durham Technical Community College</t>
  </si>
  <si>
    <t>Edgecombe Community College</t>
  </si>
  <si>
    <t>Fayetteville Technical Community College</t>
  </si>
  <si>
    <t>Forsyth Technical Community College</t>
  </si>
  <si>
    <t>Gaston College</t>
  </si>
  <si>
    <t>Guilford Technical Community College</t>
  </si>
  <si>
    <t>Halifax Community College</t>
  </si>
  <si>
    <t>Haywood Community College</t>
  </si>
  <si>
    <t>Isothermal Community College</t>
  </si>
  <si>
    <t>James Sprunt Community College</t>
  </si>
  <si>
    <t>Johnston Community College</t>
  </si>
  <si>
    <t>Lenoir Community College</t>
  </si>
  <si>
    <t>Martin Community College</t>
  </si>
  <si>
    <t>Mayland Community College</t>
  </si>
  <si>
    <t>McDowell Technical Community College</t>
  </si>
  <si>
    <t>Mitchell Community College</t>
  </si>
  <si>
    <t>Montgomery Community College</t>
  </si>
  <si>
    <t>Nash Community College</t>
  </si>
  <si>
    <t>Pamlico Community College</t>
  </si>
  <si>
    <t>Piedmont Community College</t>
  </si>
  <si>
    <t>Pitt Community College</t>
  </si>
  <si>
    <t>Randolph Community College</t>
  </si>
  <si>
    <t>Richmond Community College</t>
  </si>
  <si>
    <t>Roanoke-Chowan Community College</t>
  </si>
  <si>
    <t>Robeson Community College</t>
  </si>
  <si>
    <t>Rockingham Community College</t>
  </si>
  <si>
    <t>Rowan-Cabarrus Community College</t>
  </si>
  <si>
    <t>Sampson Community College</t>
  </si>
  <si>
    <t>Sandhills Community College</t>
  </si>
  <si>
    <t>Southeastern Community College</t>
  </si>
  <si>
    <t xml:space="preserve">  </t>
  </si>
  <si>
    <t>Southwestern Community College</t>
  </si>
  <si>
    <t>Stanly Community College</t>
  </si>
  <si>
    <t>Surry Community College</t>
  </si>
  <si>
    <t>Tri-County Community College</t>
  </si>
  <si>
    <t>Vance-Granville Community College</t>
  </si>
  <si>
    <t>Wake Technical Community College</t>
  </si>
  <si>
    <t>Wayne Community College</t>
  </si>
  <si>
    <t>Western Piedmont Community College</t>
  </si>
  <si>
    <t>Wilkes Community College</t>
  </si>
  <si>
    <t>Wilson Community College</t>
  </si>
  <si>
    <t>Each year when the template is updated for the current year ACFR, the OSC team enters  the ending net position balances per the prior</t>
  </si>
  <si>
    <t>year workpapers into this worksheet.  This is the source for the total beginning net position balances on Exh B &amp; Exh E for the current</t>
  </si>
  <si>
    <t>year Foundation template.</t>
  </si>
  <si>
    <t>Note for OSC - Go to CC Foundations folder, ComboCCF file, highlight Net assets end of year, copy, paste special - values and transpose.</t>
  </si>
  <si>
    <t>NC Colleges</t>
  </si>
  <si>
    <t>Comm College Foundations  Combining File</t>
  </si>
  <si>
    <t>CC1F</t>
  </si>
  <si>
    <t>CC2F</t>
  </si>
  <si>
    <t>CC3F</t>
  </si>
  <si>
    <t>CC4F</t>
  </si>
  <si>
    <t>CC5F</t>
  </si>
  <si>
    <t>CC6F</t>
  </si>
  <si>
    <t>CC7F</t>
  </si>
  <si>
    <t>CC8F</t>
  </si>
  <si>
    <t>CC9F</t>
  </si>
  <si>
    <t>CC10F</t>
  </si>
  <si>
    <t>CC11F</t>
  </si>
  <si>
    <t>CC12F</t>
  </si>
  <si>
    <t>CC13F</t>
  </si>
  <si>
    <t>CC14F</t>
  </si>
  <si>
    <t>CC15F</t>
  </si>
  <si>
    <t>CC16F</t>
  </si>
  <si>
    <t>CC17F</t>
  </si>
  <si>
    <t>CC18F</t>
  </si>
  <si>
    <t>CC19F</t>
  </si>
  <si>
    <t>CC20F</t>
  </si>
  <si>
    <t>CC21F</t>
  </si>
  <si>
    <t>CC22F</t>
  </si>
  <si>
    <t>CC23F</t>
  </si>
  <si>
    <t>CC24F</t>
  </si>
  <si>
    <t>CC25F</t>
  </si>
  <si>
    <t>CC26F</t>
  </si>
  <si>
    <t>CC27F</t>
  </si>
  <si>
    <t>CC28F</t>
  </si>
  <si>
    <t>CC29F</t>
  </si>
  <si>
    <t>CC30F</t>
  </si>
  <si>
    <t>CC31F</t>
  </si>
  <si>
    <t>CC32F</t>
  </si>
  <si>
    <t>CC33F</t>
  </si>
  <si>
    <t>CC34F</t>
  </si>
  <si>
    <t>CC35F</t>
  </si>
  <si>
    <t>CC36F</t>
  </si>
  <si>
    <t>CC37F</t>
  </si>
  <si>
    <t>CC38F</t>
  </si>
  <si>
    <t>CC39F</t>
  </si>
  <si>
    <t>CC40F</t>
  </si>
  <si>
    <t>CC41F</t>
  </si>
  <si>
    <t>CC42F</t>
  </si>
  <si>
    <t>CC43F</t>
  </si>
  <si>
    <t>CC44F</t>
  </si>
  <si>
    <t>CC45F</t>
  </si>
  <si>
    <t>CC46F</t>
  </si>
  <si>
    <t>CC47F</t>
  </si>
  <si>
    <t>CC48F</t>
  </si>
  <si>
    <t>CC49F</t>
  </si>
  <si>
    <t>CC50F</t>
  </si>
  <si>
    <t>CC51F</t>
  </si>
  <si>
    <t>CC52F</t>
  </si>
  <si>
    <t>CC53F</t>
  </si>
  <si>
    <t>CC54F</t>
  </si>
  <si>
    <t>CC55F</t>
  </si>
  <si>
    <t>CC56F</t>
  </si>
  <si>
    <t>CC57F</t>
  </si>
  <si>
    <t>CC58F</t>
  </si>
  <si>
    <t>Source - Filename: ComboCCF.xls</t>
  </si>
  <si>
    <t xml:space="preserve">For reference only </t>
  </si>
  <si>
    <t xml:space="preserve">Central </t>
  </si>
  <si>
    <t>College of</t>
  </si>
  <si>
    <t>Davidson-</t>
  </si>
  <si>
    <t>Roanoke-</t>
  </si>
  <si>
    <t>Rowan-</t>
  </si>
  <si>
    <t>Vance-</t>
  </si>
  <si>
    <t>GRAND</t>
  </si>
  <si>
    <t>Alamance</t>
  </si>
  <si>
    <t>S. Piedmont</t>
  </si>
  <si>
    <t>Asheville-Bun</t>
  </si>
  <si>
    <t>Beaufort</t>
  </si>
  <si>
    <t>Bladen</t>
  </si>
  <si>
    <t>Blue Ridge</t>
  </si>
  <si>
    <t>Brunswick</t>
  </si>
  <si>
    <t>Caldwell</t>
  </si>
  <si>
    <t>Cape Fear</t>
  </si>
  <si>
    <t>Carteret</t>
  </si>
  <si>
    <t>Catawba</t>
  </si>
  <si>
    <t>Carolina</t>
  </si>
  <si>
    <t>Piedmont</t>
  </si>
  <si>
    <t>Cleveland</t>
  </si>
  <si>
    <t>Coastal</t>
  </si>
  <si>
    <t>Albemarle</t>
  </si>
  <si>
    <t>Craven</t>
  </si>
  <si>
    <t>Davie</t>
  </si>
  <si>
    <t>Durham</t>
  </si>
  <si>
    <t>Edgecombe</t>
  </si>
  <si>
    <t>Fayetteville</t>
  </si>
  <si>
    <t>Forsyth</t>
  </si>
  <si>
    <t>Gaston</t>
  </si>
  <si>
    <t>Guilford</t>
  </si>
  <si>
    <t>Halifax</t>
  </si>
  <si>
    <t>Haywood</t>
  </si>
  <si>
    <t>Isothermal</t>
  </si>
  <si>
    <t>James Sprunt</t>
  </si>
  <si>
    <t>Johnston</t>
  </si>
  <si>
    <t>Lenoir</t>
  </si>
  <si>
    <t>Martin</t>
  </si>
  <si>
    <t>Mayland</t>
  </si>
  <si>
    <t>McDowell</t>
  </si>
  <si>
    <t>Mitchell</t>
  </si>
  <si>
    <t>Montgomery</t>
  </si>
  <si>
    <t>Nash</t>
  </si>
  <si>
    <t>Pamlico</t>
  </si>
  <si>
    <t>Pitt</t>
  </si>
  <si>
    <t>Randolph</t>
  </si>
  <si>
    <t>Richmond</t>
  </si>
  <si>
    <t>Chowan</t>
  </si>
  <si>
    <t>Robeson</t>
  </si>
  <si>
    <t>Rockingham</t>
  </si>
  <si>
    <t>Cabarrus</t>
  </si>
  <si>
    <t>Sampson</t>
  </si>
  <si>
    <t>Sandhills</t>
  </si>
  <si>
    <t>S. Eastern</t>
  </si>
  <si>
    <t>S. Western</t>
  </si>
  <si>
    <t>Stanly</t>
  </si>
  <si>
    <t>Surry</t>
  </si>
  <si>
    <t>Tri-County</t>
  </si>
  <si>
    <t>Granville</t>
  </si>
  <si>
    <t>Wake</t>
  </si>
  <si>
    <t>Wayne</t>
  </si>
  <si>
    <t>W. Piedmont</t>
  </si>
  <si>
    <t>Wilkes</t>
  </si>
  <si>
    <t>Wilson</t>
  </si>
  <si>
    <t>TOTAL</t>
  </si>
  <si>
    <r>
      <t xml:space="preserve">Due to the College </t>
    </r>
    <r>
      <rPr>
        <i/>
        <vertAlign val="superscript"/>
        <sz val="10"/>
        <rFont val="Arial"/>
        <family val="2"/>
      </rPr>
      <t>(1)</t>
    </r>
  </si>
  <si>
    <r>
      <t>Grants payable to the College</t>
    </r>
    <r>
      <rPr>
        <i/>
        <vertAlign val="superscript"/>
        <sz val="10"/>
        <rFont val="Arial"/>
        <family val="2"/>
      </rPr>
      <t xml:space="preserve"> (1)</t>
    </r>
  </si>
  <si>
    <t>Net invested in capital assets</t>
  </si>
  <si>
    <t>(1) Will be used in Elimination entry</t>
  </si>
  <si>
    <t>Source: Prior year OSC Foundation compilation WPs.</t>
  </si>
  <si>
    <t>Each year OSC ACFR team will update</t>
  </si>
  <si>
    <t>these balances. To update: use copy, paste special,</t>
  </si>
  <si>
    <t>choose values,  instead of bringing in links.</t>
  </si>
  <si>
    <t>Do one section at a time.</t>
  </si>
  <si>
    <t>Consider material reclass entries needed in the</t>
  </si>
  <si>
    <t>prior year for each college.</t>
  </si>
  <si>
    <t>Comm College Foundations Combining File</t>
  </si>
  <si>
    <t>For reference only</t>
  </si>
  <si>
    <t>Miscellaneous non op revenue</t>
  </si>
  <si>
    <t>Payments to College - student tuition/fees</t>
  </si>
  <si>
    <r>
      <t xml:space="preserve">Payments to College - noncapital </t>
    </r>
    <r>
      <rPr>
        <i/>
        <vertAlign val="superscript"/>
        <sz val="10"/>
        <rFont val="Arial"/>
        <family val="2"/>
      </rPr>
      <t>(1)</t>
    </r>
  </si>
  <si>
    <r>
      <t xml:space="preserve">Payments to College - capital </t>
    </r>
    <r>
      <rPr>
        <i/>
        <vertAlign val="superscript"/>
        <sz val="10"/>
        <rFont val="Arial"/>
        <family val="2"/>
      </rPr>
      <t>(1)</t>
    </r>
  </si>
  <si>
    <t>these balances. To update: use copy, paste special</t>
  </si>
  <si>
    <t>Please upload the template to your entity's Sharepoint Year End ACFR 2023</t>
  </si>
  <si>
    <t>Leases receivable,net</t>
  </si>
  <si>
    <t>SBITA liability</t>
  </si>
  <si>
    <t>For the Year Ended June 30, 2024</t>
  </si>
  <si>
    <t>C9F</t>
  </si>
  <si>
    <t>June 30, 2023</t>
  </si>
  <si>
    <t>updated 02/08/2024 -jrk</t>
  </si>
  <si>
    <t>updated 2/08/2024-jrk</t>
  </si>
  <si>
    <t>File in: K\SASD\23CAFR\Statements\Component\Foundations\CCFoundations\ComboCCF-FY2023</t>
  </si>
  <si>
    <t>Foundation 6/30/23</t>
  </si>
  <si>
    <t>Updated for 6/30/23 totals on 2/08/24 - jrk</t>
  </si>
  <si>
    <t>Foundation Number</t>
  </si>
  <si>
    <t>Select College Foundation Number</t>
  </si>
  <si>
    <t>C0F</t>
  </si>
  <si>
    <t>C1F</t>
  </si>
  <si>
    <t>C2F</t>
  </si>
  <si>
    <t>C3F</t>
  </si>
  <si>
    <t>C4F</t>
  </si>
  <si>
    <t>C5F</t>
  </si>
  <si>
    <t>C6F</t>
  </si>
  <si>
    <t>C7F</t>
  </si>
  <si>
    <t>C8F</t>
  </si>
  <si>
    <t>CAF</t>
  </si>
  <si>
    <t>CBF</t>
  </si>
  <si>
    <t>CCF</t>
  </si>
  <si>
    <t>CDF</t>
  </si>
  <si>
    <t>CEF</t>
  </si>
  <si>
    <t>CFF</t>
  </si>
  <si>
    <t>CGF</t>
  </si>
  <si>
    <t>CHF</t>
  </si>
  <si>
    <t>CJF</t>
  </si>
  <si>
    <t>CKF</t>
  </si>
  <si>
    <t>CLF</t>
  </si>
  <si>
    <t>CMF</t>
  </si>
  <si>
    <t>CNF</t>
  </si>
  <si>
    <t>CPF</t>
  </si>
  <si>
    <t>CQF</t>
  </si>
  <si>
    <t>CRF</t>
  </si>
  <si>
    <t>CSF</t>
  </si>
  <si>
    <t>CTF</t>
  </si>
  <si>
    <t>CUF</t>
  </si>
  <si>
    <t>CVF</t>
  </si>
  <si>
    <t>CWF</t>
  </si>
  <si>
    <t>CXF</t>
  </si>
  <si>
    <t>CYF</t>
  </si>
  <si>
    <t>CZF</t>
  </si>
  <si>
    <t>D0F</t>
  </si>
  <si>
    <t>D1F</t>
  </si>
  <si>
    <t>D2F</t>
  </si>
  <si>
    <t>D3F</t>
  </si>
  <si>
    <t>D4F</t>
  </si>
  <si>
    <t>D5F</t>
  </si>
  <si>
    <t>D6F</t>
  </si>
  <si>
    <t>D7F</t>
  </si>
  <si>
    <t>D8F</t>
  </si>
  <si>
    <t>D9F</t>
  </si>
  <si>
    <t>DAF</t>
  </si>
  <si>
    <t>DBF</t>
  </si>
  <si>
    <t>DCF</t>
  </si>
  <si>
    <t>DDF</t>
  </si>
  <si>
    <t>DEF</t>
  </si>
  <si>
    <t>DFF</t>
  </si>
  <si>
    <t>DGF</t>
  </si>
  <si>
    <t>DHF</t>
  </si>
  <si>
    <t>DJF</t>
  </si>
  <si>
    <t>DKF</t>
  </si>
  <si>
    <t>DLF</t>
  </si>
  <si>
    <t>DMF</t>
  </si>
  <si>
    <t>DNF</t>
  </si>
  <si>
    <t>DPF</t>
  </si>
  <si>
    <t>Date of Change</t>
  </si>
  <si>
    <t>Worksheet / Narrative #</t>
  </si>
  <si>
    <t>Description of Change</t>
  </si>
  <si>
    <r>
      <t>John Krellner at John.Krellner</t>
    </r>
    <r>
      <rPr>
        <b/>
        <sz val="10"/>
        <rFont val="Arial"/>
        <family val="2"/>
      </rPr>
      <t>@ncosc.gov.</t>
    </r>
  </si>
  <si>
    <t>NEW FY2024</t>
  </si>
  <si>
    <t>For the State Fiscal Year Ended June 30, 2024</t>
  </si>
  <si>
    <r>
      <rPr>
        <b/>
        <sz val="10"/>
        <rFont val="Arial"/>
        <family val="2"/>
      </rPr>
      <t>Background:</t>
    </r>
    <r>
      <rPr>
        <sz val="10"/>
        <rFont val="Arial"/>
        <family val="2"/>
      </rPr>
      <t xml:space="preserve"> Per Implementation Guidance 2021-1 Sec 5.1 (Group Assets) and GASB 100 - Accounting Changes and Error Corrections, foundation is required to report the detail of restatement for additional disclosure.</t>
    </r>
  </si>
  <si>
    <t xml:space="preserve">Instructions: </t>
  </si>
  <si>
    <t>Row</t>
  </si>
  <si>
    <t>Net Position effect per GASB 63 categories</t>
  </si>
  <si>
    <t>A</t>
  </si>
  <si>
    <t>Restricted - nonexpendable</t>
  </si>
  <si>
    <t>Restricted - expendable</t>
  </si>
  <si>
    <t>B</t>
  </si>
  <si>
    <t>Select an account</t>
  </si>
  <si>
    <t>Liabilities</t>
  </si>
  <si>
    <t>C</t>
  </si>
  <si>
    <t>D</t>
  </si>
  <si>
    <t>E</t>
  </si>
  <si>
    <t>OSC Use only</t>
  </si>
  <si>
    <t>Package Updates made after May 10, 2024</t>
  </si>
  <si>
    <t xml:space="preserve">Restatement Reason </t>
  </si>
  <si>
    <t>What type of restatement?</t>
  </si>
  <si>
    <t>Select Reason</t>
  </si>
  <si>
    <t>431 Reasons for Error Corrections</t>
  </si>
  <si>
    <t>ER_Capital asset audit adj and other error corrections</t>
  </si>
  <si>
    <t>ER_Capital assets (prior year) entered after cut-off date</t>
  </si>
  <si>
    <t>ER_Capital assets - reclassification of asset type</t>
  </si>
  <si>
    <t>ER_Other asset audit adj and error corrections</t>
  </si>
  <si>
    <t>ER_Long-term liability audit adj and other error corrections</t>
  </si>
  <si>
    <t>ER_Other liability audit adj and error corrections</t>
  </si>
  <si>
    <t xml:space="preserve">ER_Revenues understated in prior year </t>
  </si>
  <si>
    <t>ER_Revenues overstated in prior year</t>
  </si>
  <si>
    <t>ER_Expenditures understated in prior year</t>
  </si>
  <si>
    <t>ER_Expenditures overstated in prior year</t>
  </si>
  <si>
    <t>431 Reasons for Change in Accounts Principle or Change to or in a Financial Reporting Entity</t>
  </si>
  <si>
    <t>O_Other change in accounting principle</t>
  </si>
  <si>
    <t>ER_Deferred outflows audit adj and other error corrections</t>
  </si>
  <si>
    <t>ER_Deferred inflow audit adj and other error corrections</t>
  </si>
  <si>
    <t>Reasons</t>
  </si>
  <si>
    <t>ER - Error Corrections</t>
  </si>
  <si>
    <t>O - Change in Accounts Principle or Change to or in a Financial Reporting Entity</t>
  </si>
  <si>
    <t>R_BegBalances</t>
  </si>
  <si>
    <t>R_Restatements</t>
  </si>
  <si>
    <t>R_EndBalance</t>
  </si>
  <si>
    <t>ErrorCorr</t>
  </si>
  <si>
    <t>Column</t>
  </si>
  <si>
    <t>Balances as of 
July 1, 2023</t>
  </si>
  <si>
    <t>2023 Beginning Balances 
as Restated</t>
  </si>
  <si>
    <t>Total Net Position effect</t>
  </si>
  <si>
    <t>Restatement accounts (Exh D and Exh E)</t>
  </si>
  <si>
    <t>Total restatement from Exh E</t>
  </si>
  <si>
    <t>R_Net investment in capital assets</t>
  </si>
  <si>
    <t>R_Restricted - nonexpendable</t>
  </si>
  <si>
    <t>R_Restricted - expendable</t>
  </si>
  <si>
    <t>R_Unrestricted</t>
  </si>
  <si>
    <t>Increase (+); Decrease (-)    Note: An increase to an asset should be entered as a positive amount on the table but will calculate to increase net position.</t>
  </si>
  <si>
    <t>Decrease (+); Increase (-)    Note: An increase to a liability should be entered as a positive amount on the table but will calculate to decrease net position.</t>
  </si>
  <si>
    <t>Increase (+); Decrease (-)    Note: An increase to a revenue should be entered as a positive amount on the table but will calculate to increase net position.</t>
  </si>
  <si>
    <t>Decrease (+); Increase (-)    Note: An increase to an expense should be entered as a positive amount on the table but will calculate to decrease net position.</t>
  </si>
  <si>
    <t>For list at 'Restatement' tab at column B</t>
  </si>
  <si>
    <t>Macro Read account</t>
  </si>
  <si>
    <t>For Reference</t>
  </si>
  <si>
    <t>FCCS Account</t>
  </si>
  <si>
    <t>R_Cash and cash equivalents</t>
  </si>
  <si>
    <t>R_Restricted investments</t>
  </si>
  <si>
    <t>R_Investments</t>
  </si>
  <si>
    <t>R_Inventories</t>
  </si>
  <si>
    <t>R_Prepaid items</t>
  </si>
  <si>
    <t>R_Lease receivable</t>
  </si>
  <si>
    <t>R_Nondepreciable assets</t>
  </si>
  <si>
    <t>R_Depreciable assets</t>
  </si>
  <si>
    <t>LeaseObRec</t>
  </si>
  <si>
    <t>R_Accrued interest payable</t>
  </si>
  <si>
    <t>R_Unearned revenue</t>
  </si>
  <si>
    <t>R_Funds held for others</t>
  </si>
  <si>
    <t>R_Interest rate swap fair value liability</t>
  </si>
  <si>
    <t>R_Split interest agreement obligations</t>
  </si>
  <si>
    <t>R_Split interest agreement obligations_NC</t>
  </si>
  <si>
    <t>R_Bond &amp; similar debt payable</t>
  </si>
  <si>
    <t xml:space="preserve">Due to the College </t>
  </si>
  <si>
    <t xml:space="preserve">Grants payable to the College </t>
  </si>
  <si>
    <t>R_Grants Payable to the College</t>
  </si>
  <si>
    <t>Split interest agreement obligations - Due in 1 year</t>
  </si>
  <si>
    <t>Split interest agreement obligations - Noncurrent</t>
  </si>
  <si>
    <t>Annuities payable - Due in 1 year</t>
  </si>
  <si>
    <t>Annuities payable - Noncurrent</t>
  </si>
  <si>
    <t>Capital leases payable - Due in 1 year</t>
  </si>
  <si>
    <t>Capital leases payable - Noncurrent</t>
  </si>
  <si>
    <t>SBITA liability - Due in 1 year</t>
  </si>
  <si>
    <t>SBITA liability - Noncurrent</t>
  </si>
  <si>
    <t>Notes payable - Due in 1 year</t>
  </si>
  <si>
    <t>Notes payable - Noncurrent</t>
  </si>
  <si>
    <t>Bonds payable - Due in 1 year</t>
  </si>
  <si>
    <t>Bonds payable - Noncurrent</t>
  </si>
  <si>
    <t>R_Noncapital gifts</t>
  </si>
  <si>
    <t>R_Other capital grants and contributions</t>
  </si>
  <si>
    <t>R_Contributions to endowments</t>
  </si>
  <si>
    <t>R_Unrestricted investment earnings</t>
  </si>
  <si>
    <t>R_Charges for services</t>
  </si>
  <si>
    <t>R_Gain on sale of capital assets</t>
  </si>
  <si>
    <t>R_Miscellaneous</t>
  </si>
  <si>
    <t>R_Total expenses</t>
  </si>
  <si>
    <t>R_Payments to Community Colleges</t>
  </si>
  <si>
    <t>Check Total Restatement effect</t>
  </si>
  <si>
    <t>R_Accounts receivable</t>
  </si>
  <si>
    <t>R_Notes receivable</t>
  </si>
  <si>
    <t>R_Accounts payable</t>
  </si>
  <si>
    <t>R_Due to the College</t>
  </si>
  <si>
    <t>R_Deposits payable</t>
  </si>
  <si>
    <t>R_Notes payable</t>
  </si>
  <si>
    <t>R_Annuity &amp; life income payable due in 1 year</t>
  </si>
  <si>
    <t>R_Annuity &amp; life income payable_noncurrent</t>
  </si>
  <si>
    <t>R_Lease payable due in 1 year</t>
  </si>
  <si>
    <t>R_Lease payable_noncurrent</t>
  </si>
  <si>
    <t>R_Subscription liability due in 1 year</t>
  </si>
  <si>
    <t>R_Subscription liability_noncurrent</t>
  </si>
  <si>
    <t>R_Notes payable_noncurrent</t>
  </si>
  <si>
    <t>R_Bond &amp; similar debt payable_noncurrent</t>
  </si>
  <si>
    <t xml:space="preserve">O_IG 2021-1 Sec 5.1 Grouped Asset </t>
  </si>
  <si>
    <t>Revised 6/26/2024</t>
  </si>
  <si>
    <t>1) Add "R_Net position (beginning restated)" line and update formula to correctly capture total net position effect prior to FY 2023
2) Add Balance Sheet Change and Operating Statement Change line
3) Add error check at row 23.
4) Update formula at error check at row 46 &amp; 47
5) Update "note" column 6 to "Explanation (Refer to instruction at 430 narrative - Accounting Changes and Error Corrections)"
6) Revise instruction to include prior year restatement at #2 and link to narrative for column 6 - Explanation at #4</t>
  </si>
  <si>
    <t>1. Enter the net position effect per GASB 63 classifications at row A - the beginning balance (column 1) and the restatement amount (column 2).</t>
  </si>
  <si>
    <t>2. Select an account(s) that is(are) affected by the restatements for 1) Balance Sheet at row B and/or C and 2) Operating Statement at row D and/or E, or Restated Beginning Balance of Net Position at row F.</t>
  </si>
  <si>
    <t>Enter the beginning balance (column 1) and the restatement amount (column 2).</t>
  </si>
  <si>
    <r>
      <rPr>
        <u/>
        <sz val="10"/>
        <color rgb="FF7030A0"/>
        <rFont val="Arial"/>
        <family val="2"/>
      </rPr>
      <t>Note:</t>
    </r>
    <r>
      <rPr>
        <sz val="10"/>
        <color rgb="FF7030A0"/>
        <rFont val="Arial"/>
        <family val="2"/>
      </rPr>
      <t xml:space="preserve"> Row F - Restated Beginning Balance of Net Position before FY2023</t>
    </r>
  </si>
  <si>
    <t>3. Provide restatement reason at column 4 and 5. Choose the main reason at Column 4 which is either an Error Correction (ER) or an Changes in Accounting Principles/Financial Reporting (O).</t>
  </si>
  <si>
    <t>At column 5 Choose a type of restatement under "ER" or "O" category.</t>
  </si>
  <si>
    <t>4. Provide explanation for disclosure at column 6 per instruction at Worksheet 430 - Accounting Changes and Error Corrections</t>
  </si>
  <si>
    <t>Click Here</t>
  </si>
  <si>
    <t>ERROR CHECK</t>
  </si>
  <si>
    <t>Explanation (Refer to instruction at 430 narrative - Accounting Changes and Error Corrections)</t>
  </si>
  <si>
    <t>Balance Sheet Change</t>
  </si>
  <si>
    <t>Net Position Restatement prior to FY2023</t>
  </si>
  <si>
    <t>Increase (+); Decrease (-)    Note: An increase to a net position should be entered as a positive amount on the table but will calculate to increase net position.</t>
  </si>
  <si>
    <t>F</t>
  </si>
  <si>
    <t>R_Net position (beginning restated)</t>
  </si>
  <si>
    <t>Select Category</t>
  </si>
  <si>
    <t>Operating Statement Change</t>
  </si>
  <si>
    <t>Check Total Restatement effect VS Total Restatement from Exh B and E</t>
  </si>
  <si>
    <t>IF(C17&lt;&gt;0,IF(F49=0,IF(C17=E49,"OK",IF((E33-E44=0),0,"ERROR"))))</t>
  </si>
  <si>
    <t>Row 45 - Calculation Net effect</t>
  </si>
  <si>
    <t>Due Date:  September 11, 2024 - Earlier submission is strongly encouraged!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</si>
</sst>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0_);\(#,##0\);* \ \-\ \ \ \ \ "/>
    <numFmt numFmtId="174" formatCode="_(* #,##0_);_(* \(#,##0\);_(* &quot;-&quot;??_);_(@_)"/>
    <numFmt numFmtId="175" formatCode="#,##0_);\(#,##0\);&quot;-       &quot;"/>
    <numFmt numFmtId="176" formatCode="mm/dd/yy;@"/>
  </numFmts>
  <fonts count="73" x14ac:knownFonts="1">
    <font>
      <sz val="10"/>
      <name val="Arial"/>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u/>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vertAlign val="superscript"/>
      <sz val="8"/>
      <name val="Arial"/>
      <family val="2"/>
    </font>
    <font>
      <i/>
      <sz val="8"/>
      <name val="Arial"/>
      <family val="2"/>
    </font>
    <font>
      <b/>
      <sz val="10"/>
      <color indexed="10"/>
      <name val="Arial"/>
      <family val="2"/>
    </font>
    <font>
      <sz val="10"/>
      <color indexed="12"/>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b/>
      <sz val="8"/>
      <color indexed="12"/>
      <name val="Arial"/>
      <family val="2"/>
    </font>
    <font>
      <sz val="8"/>
      <name val="Arial Narrow"/>
      <family val="2"/>
    </font>
    <font>
      <b/>
      <sz val="8"/>
      <name val="Arial Narrow"/>
      <family val="2"/>
    </font>
    <font>
      <i/>
      <sz val="8"/>
      <name val="Arial Narrow"/>
      <family val="2"/>
    </font>
    <font>
      <i/>
      <vertAlign val="superscript"/>
      <sz val="10"/>
      <name val="Arial"/>
      <family val="2"/>
    </font>
    <font>
      <sz val="8"/>
      <name val="Arial"/>
      <family val="2"/>
    </font>
    <font>
      <sz val="8"/>
      <name val="Arial"/>
      <family val="2"/>
    </font>
    <font>
      <sz val="8"/>
      <name val="Arial"/>
      <family val="2"/>
    </font>
    <font>
      <sz val="8"/>
      <color rgb="FF000080"/>
      <name val="Arial Narrow"/>
      <family val="2"/>
    </font>
    <font>
      <b/>
      <sz val="10"/>
      <color rgb="FF7030A0"/>
      <name val="Arial"/>
      <family val="2"/>
    </font>
    <font>
      <sz val="10"/>
      <color rgb="FF7030A0"/>
      <name val="Arial"/>
      <family val="2"/>
    </font>
    <font>
      <sz val="6"/>
      <name val="Calibri"/>
      <family val="2"/>
      <scheme val="minor"/>
    </font>
    <font>
      <b/>
      <sz val="10"/>
      <color rgb="FFFF0000"/>
      <name val="Arial"/>
      <family val="2"/>
    </font>
    <font>
      <sz val="10"/>
      <color rgb="FFFF0000"/>
      <name val="Arial"/>
      <family val="2"/>
    </font>
    <font>
      <b/>
      <sz val="9"/>
      <color rgb="FFFF0000"/>
      <name val="Arial"/>
      <family val="2"/>
    </font>
    <font>
      <sz val="8"/>
      <name val="Arial"/>
      <family val="2"/>
    </font>
    <font>
      <sz val="10"/>
      <color rgb="FF0066FF"/>
      <name val="Arial"/>
      <family val="2"/>
    </font>
    <font>
      <sz val="11"/>
      <name val="Calibri"/>
      <family val="2"/>
    </font>
    <font>
      <b/>
      <sz val="10"/>
      <color rgb="FF0066FF"/>
      <name val="Arial"/>
      <family val="2"/>
    </font>
    <font>
      <sz val="10"/>
      <color theme="1"/>
      <name val="Arial"/>
      <family val="2"/>
    </font>
    <font>
      <sz val="8"/>
      <color theme="1"/>
      <name val="Arial"/>
      <family val="2"/>
    </font>
    <font>
      <b/>
      <sz val="10"/>
      <color theme="1"/>
      <name val="Arial"/>
      <family val="2"/>
    </font>
    <font>
      <b/>
      <sz val="14"/>
      <name val="Times New Roman"/>
      <family val="1"/>
    </font>
    <font>
      <u/>
      <sz val="10"/>
      <color indexed="12"/>
      <name val="Arial"/>
      <family val="2"/>
    </font>
    <font>
      <b/>
      <sz val="12"/>
      <color indexed="12"/>
      <name val="Arial"/>
      <family val="2"/>
    </font>
    <font>
      <sz val="11"/>
      <name val="Arial"/>
      <family val="2"/>
    </font>
    <font>
      <sz val="10"/>
      <name val="Arial"/>
      <family val="2"/>
    </font>
    <font>
      <b/>
      <sz val="18"/>
      <color rgb="FFFF0000"/>
      <name val="Arial"/>
      <family val="2"/>
    </font>
    <font>
      <b/>
      <sz val="10"/>
      <color theme="0"/>
      <name val="Arial"/>
      <family val="2"/>
    </font>
    <font>
      <sz val="18"/>
      <color rgb="FFFF0000"/>
      <name val="Arial"/>
      <family val="2"/>
    </font>
    <font>
      <sz val="12"/>
      <name val="Times New Roman"/>
      <family val="1"/>
    </font>
    <font>
      <b/>
      <sz val="12"/>
      <name val="Times New Roman"/>
      <family val="1"/>
    </font>
    <font>
      <sz val="10"/>
      <color theme="4"/>
      <name val="Arial"/>
      <family val="2"/>
    </font>
    <font>
      <sz val="9.75"/>
      <name val="Helv"/>
    </font>
    <font>
      <sz val="10"/>
      <color rgb="FF0000FF"/>
      <name val="Helv"/>
    </font>
    <font>
      <sz val="12"/>
      <name val="Aptos"/>
      <family val="2"/>
    </font>
    <font>
      <b/>
      <sz val="9"/>
      <color indexed="81"/>
      <name val="Tahoma"/>
      <family val="2"/>
    </font>
    <font>
      <sz val="9"/>
      <color indexed="81"/>
      <name val="Tahoma"/>
      <family val="2"/>
    </font>
    <font>
      <u/>
      <sz val="10"/>
      <color rgb="FF7030A0"/>
      <name val="Arial"/>
      <family val="2"/>
    </font>
    <font>
      <sz val="12"/>
      <color rgb="FFFF0000"/>
      <name val="Aptos"/>
      <family val="2"/>
    </font>
    <font>
      <b/>
      <sz val="8"/>
      <color rgb="FFFF0000"/>
      <name val="Arial"/>
      <family val="2"/>
    </font>
    <font>
      <sz val="14"/>
      <color theme="5" tint="-0.249977111117893"/>
      <name val="Arial"/>
      <family val="2"/>
    </font>
    <font>
      <b/>
      <sz val="10"/>
      <color theme="5" tint="-0.249977111117893"/>
      <name val="Arial"/>
      <family val="2"/>
    </font>
  </fonts>
  <fills count="2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gray125">
        <bgColor theme="0" tint="-0.14996795556505021"/>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59999389629810485"/>
        <bgColor indexed="64"/>
      </patternFill>
    </fill>
  </fills>
  <borders count="20">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26">
    <xf numFmtId="0" fontId="0" fillId="0" borderId="0"/>
    <xf numFmtId="43" fontId="1" fillId="0" borderId="0" applyFont="0" applyFill="0" applyBorder="0" applyAlignment="0" applyProtection="0"/>
    <xf numFmtId="0" fontId="25" fillId="0" borderId="1">
      <alignment horizontal="right"/>
      <protection locked="0"/>
    </xf>
    <xf numFmtId="0" fontId="26" fillId="0" borderId="2" applyBorder="0">
      <protection locked="0"/>
    </xf>
    <xf numFmtId="0" fontId="27" fillId="0" borderId="0">
      <protection locked="0"/>
    </xf>
    <xf numFmtId="15" fontId="28" fillId="0" borderId="1" applyNumberFormat="0" applyBorder="0">
      <protection locked="0"/>
    </xf>
    <xf numFmtId="166" fontId="35" fillId="0" borderId="0">
      <protection locked="0"/>
    </xf>
    <xf numFmtId="166" fontId="9" fillId="0" borderId="0">
      <protection locked="0"/>
    </xf>
    <xf numFmtId="166" fontId="36" fillId="0" borderId="0">
      <protection locked="0"/>
    </xf>
    <xf numFmtId="166" fontId="37"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166" fontId="45" fillId="0" borderId="0">
      <protection locked="0"/>
    </xf>
    <xf numFmtId="0" fontId="1" fillId="0" borderId="0"/>
    <xf numFmtId="0" fontId="53" fillId="0" borderId="0" applyNumberFormat="0" applyFill="0" applyBorder="0" applyAlignment="0" applyProtection="0">
      <alignment vertical="top"/>
      <protection locked="0"/>
    </xf>
    <xf numFmtId="44" fontId="56" fillId="0" borderId="0" applyFont="0" applyFill="0" applyBorder="0" applyAlignment="0" applyProtection="0"/>
    <xf numFmtId="0" fontId="63" fillId="0" borderId="0"/>
  </cellStyleXfs>
  <cellXfs count="333">
    <xf numFmtId="0" fontId="0" fillId="0" borderId="0" xfId="0"/>
    <xf numFmtId="0" fontId="2"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3"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4" fillId="0" borderId="0" xfId="0" applyFont="1"/>
    <xf numFmtId="0" fontId="0" fillId="2" borderId="0" xfId="0" applyFill="1"/>
    <xf numFmtId="0" fontId="2"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0" borderId="4" xfId="0" applyNumberFormat="1" applyBorder="1"/>
    <xf numFmtId="0" fontId="2" fillId="2" borderId="0" xfId="0" applyFont="1" applyFill="1"/>
    <xf numFmtId="0" fontId="6" fillId="0" borderId="0" xfId="0" applyFont="1"/>
    <xf numFmtId="0" fontId="0" fillId="0" borderId="0" xfId="0" applyAlignment="1">
      <alignment horizontal="left" indent="3"/>
    </xf>
    <xf numFmtId="0" fontId="5" fillId="0" borderId="0" xfId="0" applyFont="1"/>
    <xf numFmtId="0" fontId="0" fillId="0" borderId="0" xfId="0" applyAlignment="1">
      <alignment horizontal="left"/>
    </xf>
    <xf numFmtId="0" fontId="0" fillId="0" borderId="0" xfId="0" applyAlignment="1">
      <alignment horizontal="center"/>
    </xf>
    <xf numFmtId="42" fontId="0" fillId="0" borderId="0" xfId="0" applyNumberFormat="1"/>
    <xf numFmtId="0" fontId="5" fillId="2" borderId="0" xfId="0" applyFont="1" applyFill="1" applyAlignment="1">
      <alignment horizontal="left"/>
    </xf>
    <xf numFmtId="42" fontId="0" fillId="2" borderId="0" xfId="0" applyNumberFormat="1" applyFill="1"/>
    <xf numFmtId="0" fontId="2"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15" fontId="12" fillId="0" borderId="0" xfId="0" quotePrefix="1" applyNumberFormat="1" applyFont="1" applyAlignment="1">
      <alignment horizontal="center"/>
    </xf>
    <xf numFmtId="15" fontId="2" fillId="0" borderId="0" xfId="0" quotePrefix="1" applyNumberFormat="1" applyFont="1" applyAlignment="1">
      <alignment horizontal="center"/>
    </xf>
    <xf numFmtId="0" fontId="9" fillId="0" borderId="1" xfId="0" applyFont="1" applyBorder="1" applyAlignment="1">
      <alignment horizontal="center"/>
    </xf>
    <xf numFmtId="15" fontId="3"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2" fillId="0" borderId="0" xfId="0" applyFont="1" applyAlignment="1">
      <alignment horizontal="center"/>
    </xf>
    <xf numFmtId="0" fontId="0" fillId="0" borderId="0" xfId="0" quotePrefix="1"/>
    <xf numFmtId="0" fontId="0" fillId="3" borderId="0" xfId="0" quotePrefix="1" applyFill="1" applyAlignment="1" applyProtection="1">
      <alignment horizontal="left"/>
      <protection locked="0"/>
    </xf>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0" fillId="3" borderId="0" xfId="0" applyFill="1" applyAlignment="1" applyProtection="1">
      <alignment horizontal="left"/>
      <protection locked="0"/>
    </xf>
    <xf numFmtId="0" fontId="2" fillId="3" borderId="0" xfId="0" applyFont="1" applyFill="1" applyAlignment="1">
      <alignment horizontal="left"/>
    </xf>
    <xf numFmtId="0" fontId="22" fillId="0" borderId="0" xfId="0" applyFont="1"/>
    <xf numFmtId="0" fontId="2" fillId="0" borderId="0" xfId="0" applyFont="1" applyAlignment="1">
      <alignment horizontal="left"/>
    </xf>
    <xf numFmtId="41" fontId="0" fillId="2" borderId="0" xfId="0" applyNumberFormat="1" applyFill="1" applyAlignment="1">
      <alignment horizontal="right"/>
    </xf>
    <xf numFmtId="0" fontId="0" fillId="2" borderId="0" xfId="0" applyFill="1" applyAlignment="1">
      <alignment horizontal="right"/>
    </xf>
    <xf numFmtId="41" fontId="0" fillId="2" borderId="4" xfId="0" applyNumberFormat="1" applyFill="1" applyBorder="1"/>
    <xf numFmtId="41" fontId="24" fillId="4" borderId="0" xfId="1" applyNumberFormat="1" applyFont="1" applyFill="1"/>
    <xf numFmtId="166" fontId="20" fillId="0" borderId="0" xfId="10" applyProtection="1"/>
    <xf numFmtId="170" fontId="2" fillId="0" borderId="0" xfId="10" applyNumberFormat="1" applyFont="1" applyAlignment="1" applyProtection="1">
      <alignment horizontal="center"/>
    </xf>
    <xf numFmtId="166" fontId="2" fillId="0" borderId="0" xfId="10" applyFont="1" applyAlignment="1" applyProtection="1">
      <alignment horizontal="center"/>
    </xf>
    <xf numFmtId="166" fontId="29" fillId="0" borderId="0" xfId="10" applyFont="1" applyProtection="1"/>
    <xf numFmtId="4" fontId="2" fillId="0" borderId="0" xfId="10" applyNumberFormat="1" applyFont="1" applyAlignment="1" applyProtection="1">
      <alignment horizontal="center"/>
    </xf>
    <xf numFmtId="166" fontId="2" fillId="0" borderId="1" xfId="10" applyFont="1" applyBorder="1" applyAlignment="1" applyProtection="1">
      <alignment horizontal="center"/>
    </xf>
    <xf numFmtId="4" fontId="2" fillId="0" borderId="1" xfId="10" applyNumberFormat="1" applyFont="1" applyBorder="1" applyAlignment="1" applyProtection="1">
      <alignment horizontal="center"/>
    </xf>
    <xf numFmtId="3" fontId="20" fillId="0" borderId="0" xfId="10" applyNumberFormat="1" applyProtection="1"/>
    <xf numFmtId="4" fontId="20" fillId="0" borderId="0" xfId="10" applyNumberFormat="1" applyProtection="1"/>
    <xf numFmtId="0" fontId="30" fillId="0" borderId="0" xfId="0" applyFont="1" applyAlignment="1">
      <alignment horizontal="center"/>
    </xf>
    <xf numFmtId="3" fontId="1" fillId="0" borderId="3" xfId="10" applyNumberFormat="1" applyFont="1" applyBorder="1" applyProtection="1"/>
    <xf numFmtId="3" fontId="1" fillId="0" borderId="0" xfId="10" applyNumberFormat="1" applyFont="1" applyProtection="1"/>
    <xf numFmtId="166" fontId="9" fillId="0" borderId="0" xfId="10" applyFont="1" applyProtection="1"/>
    <xf numFmtId="4" fontId="9" fillId="0" borderId="0" xfId="10" applyNumberFormat="1" applyFont="1" applyProtection="1"/>
    <xf numFmtId="0" fontId="2" fillId="0" borderId="0" xfId="0" quotePrefix="1" applyFont="1"/>
    <xf numFmtId="1" fontId="31" fillId="0" borderId="0" xfId="0" applyNumberFormat="1" applyFont="1" applyAlignment="1">
      <alignment horizontal="center"/>
    </xf>
    <xf numFmtId="166" fontId="31" fillId="0" borderId="0" xfId="0" applyNumberFormat="1" applyFont="1"/>
    <xf numFmtId="166" fontId="2" fillId="0" borderId="0" xfId="0" applyNumberFormat="1" applyFont="1" applyAlignment="1">
      <alignment horizontal="center"/>
    </xf>
    <xf numFmtId="166" fontId="32" fillId="0" borderId="0" xfId="0" applyNumberFormat="1" applyFont="1" applyAlignment="1">
      <alignment horizontal="center"/>
    </xf>
    <xf numFmtId="165" fontId="31" fillId="0" borderId="0" xfId="0" applyNumberFormat="1" applyFont="1"/>
    <xf numFmtId="166" fontId="2" fillId="5" borderId="0" xfId="0" applyNumberFormat="1" applyFont="1" applyFill="1" applyAlignment="1">
      <alignment horizontal="center"/>
    </xf>
    <xf numFmtId="165" fontId="32" fillId="0" borderId="0" xfId="0" applyNumberFormat="1" applyFont="1" applyAlignment="1">
      <alignment horizontal="center"/>
    </xf>
    <xf numFmtId="165" fontId="32" fillId="0" borderId="0" xfId="15" applyFont="1" applyAlignment="1">
      <alignment horizontal="center"/>
    </xf>
    <xf numFmtId="170" fontId="23" fillId="0" borderId="0" xfId="0" applyNumberFormat="1" applyFont="1" applyAlignment="1">
      <alignment horizontal="center"/>
    </xf>
    <xf numFmtId="165" fontId="23" fillId="0" borderId="0" xfId="15" applyFont="1" applyAlignment="1">
      <alignment horizontal="center"/>
    </xf>
    <xf numFmtId="166" fontId="32" fillId="0" borderId="1" xfId="0" applyNumberFormat="1" applyFont="1" applyBorder="1" applyAlignment="1">
      <alignment horizontal="center"/>
    </xf>
    <xf numFmtId="165" fontId="32" fillId="0" borderId="1" xfId="0" applyNumberFormat="1" applyFont="1" applyBorder="1" applyAlignment="1">
      <alignment horizontal="center"/>
    </xf>
    <xf numFmtId="169" fontId="31" fillId="0" borderId="0" xfId="0" applyNumberFormat="1" applyFont="1"/>
    <xf numFmtId="165" fontId="31" fillId="0" borderId="0" xfId="15" applyFont="1"/>
    <xf numFmtId="169" fontId="31" fillId="0" borderId="0" xfId="0" applyNumberFormat="1" applyFont="1" applyAlignment="1">
      <alignment horizontal="left"/>
    </xf>
    <xf numFmtId="166" fontId="31" fillId="0" borderId="0" xfId="0" applyNumberFormat="1" applyFont="1" applyAlignment="1">
      <alignment horizontal="left"/>
    </xf>
    <xf numFmtId="168" fontId="31" fillId="0" borderId="0" xfId="0" applyNumberFormat="1" applyFont="1"/>
    <xf numFmtId="165" fontId="31" fillId="0" borderId="1" xfId="15" applyFont="1" applyBorder="1"/>
    <xf numFmtId="166" fontId="31" fillId="0" borderId="4" xfId="0" applyNumberFormat="1" applyFont="1" applyBorder="1" applyAlignment="1">
      <alignment horizontal="center"/>
    </xf>
    <xf numFmtId="168" fontId="33" fillId="5" borderId="0" xfId="0" applyNumberFormat="1" applyFont="1" applyFill="1" applyAlignment="1">
      <alignment horizontal="left"/>
    </xf>
    <xf numFmtId="165" fontId="33" fillId="5" borderId="0" xfId="15" applyFont="1" applyFill="1"/>
    <xf numFmtId="168" fontId="31" fillId="0" borderId="0" xfId="0" applyNumberFormat="1" applyFont="1" applyAlignment="1">
      <alignment horizontal="left"/>
    </xf>
    <xf numFmtId="165" fontId="31" fillId="0" borderId="0" xfId="17" applyFont="1" applyBorder="1"/>
    <xf numFmtId="165" fontId="31" fillId="0" borderId="4" xfId="15" applyFont="1" applyBorder="1"/>
    <xf numFmtId="166" fontId="32" fillId="0" borderId="0" xfId="0" applyNumberFormat="1" applyFont="1"/>
    <xf numFmtId="165" fontId="31" fillId="0" borderId="0" xfId="15" applyFont="1" applyAlignment="1">
      <alignment horizontal="center"/>
    </xf>
    <xf numFmtId="165" fontId="32" fillId="0" borderId="0" xfId="17" applyFont="1" applyBorder="1" applyAlignment="1">
      <alignment horizontal="center"/>
    </xf>
    <xf numFmtId="170" fontId="2" fillId="0" borderId="0" xfId="0" quotePrefix="1" applyNumberFormat="1" applyFont="1" applyAlignment="1">
      <alignment horizontal="center"/>
    </xf>
    <xf numFmtId="172" fontId="38" fillId="0" borderId="0" xfId="0" applyNumberFormat="1" applyFont="1"/>
    <xf numFmtId="171" fontId="38" fillId="0" borderId="0" xfId="0" applyNumberFormat="1" applyFont="1"/>
    <xf numFmtId="0" fontId="2" fillId="6" borderId="5" xfId="0" applyFont="1" applyFill="1" applyBorder="1"/>
    <xf numFmtId="0" fontId="0" fillId="6" borderId="6" xfId="0" applyFill="1" applyBorder="1"/>
    <xf numFmtId="0" fontId="0" fillId="6" borderId="7" xfId="0" applyFill="1" applyBorder="1"/>
    <xf numFmtId="166" fontId="2" fillId="0" borderId="0" xfId="0" applyNumberFormat="1" applyFont="1"/>
    <xf numFmtId="166" fontId="6" fillId="5" borderId="0" xfId="0" applyNumberFormat="1" applyFont="1" applyFill="1" applyAlignment="1">
      <alignment horizontal="center"/>
    </xf>
    <xf numFmtId="166" fontId="6" fillId="5" borderId="0" xfId="0" applyNumberFormat="1" applyFont="1" applyFill="1" applyAlignment="1">
      <alignment horizontal="left" indent="1"/>
    </xf>
    <xf numFmtId="166" fontId="9" fillId="0" borderId="0" xfId="0" applyNumberFormat="1" applyFont="1" applyAlignment="1">
      <alignment horizontal="center"/>
    </xf>
    <xf numFmtId="1" fontId="0" fillId="0" borderId="0" xfId="0" applyNumberFormat="1"/>
    <xf numFmtId="166" fontId="0" fillId="0" borderId="0" xfId="0" applyNumberFormat="1"/>
    <xf numFmtId="166" fontId="0" fillId="5" borderId="0" xfId="0" applyNumberFormat="1" applyFill="1"/>
    <xf numFmtId="166" fontId="0" fillId="0" borderId="1" xfId="0" applyNumberFormat="1" applyBorder="1"/>
    <xf numFmtId="166" fontId="0" fillId="0" borderId="4" xfId="0" applyNumberFormat="1" applyBorder="1"/>
    <xf numFmtId="166" fontId="6" fillId="5" borderId="0" xfId="0" applyNumberFormat="1" applyFont="1" applyFill="1"/>
    <xf numFmtId="166" fontId="0" fillId="6" borderId="0" xfId="0" applyNumberFormat="1" applyFill="1"/>
    <xf numFmtId="166" fontId="22" fillId="5" borderId="0" xfId="0" applyNumberFormat="1" applyFont="1" applyFill="1"/>
    <xf numFmtId="4" fontId="0" fillId="0" borderId="0" xfId="0" applyNumberFormat="1"/>
    <xf numFmtId="166" fontId="0" fillId="0" borderId="0" xfId="0" applyNumberFormat="1" applyAlignment="1">
      <alignment horizontal="center"/>
    </xf>
    <xf numFmtId="37" fontId="0" fillId="0" borderId="3" xfId="0" applyNumberFormat="1" applyBorder="1"/>
    <xf numFmtId="166" fontId="31" fillId="0" borderId="3" xfId="15" applyNumberFormat="1" applyFont="1" applyBorder="1"/>
    <xf numFmtId="0" fontId="39" fillId="0" borderId="0" xfId="0" applyFont="1"/>
    <xf numFmtId="0" fontId="40" fillId="0" borderId="0" xfId="0" applyFont="1"/>
    <xf numFmtId="173" fontId="31" fillId="0" borderId="4" xfId="15" applyNumberFormat="1" applyFont="1" applyBorder="1"/>
    <xf numFmtId="166" fontId="31" fillId="0" borderId="0" xfId="6" applyFont="1" applyAlignment="1" applyProtection="1">
      <alignment horizontal="center"/>
    </xf>
    <xf numFmtId="173" fontId="0" fillId="0" borderId="3" xfId="0" applyNumberFormat="1" applyBorder="1"/>
    <xf numFmtId="0" fontId="9" fillId="0" borderId="0" xfId="0" applyFont="1" applyAlignment="1">
      <alignment horizontal="left" indent="2"/>
    </xf>
    <xf numFmtId="0" fontId="19" fillId="0" borderId="0" xfId="0" applyFont="1"/>
    <xf numFmtId="166" fontId="36" fillId="0" borderId="0" xfId="8">
      <protection locked="0"/>
    </xf>
    <xf numFmtId="166" fontId="22" fillId="5" borderId="0" xfId="8" applyFont="1" applyFill="1">
      <protection locked="0"/>
    </xf>
    <xf numFmtId="166" fontId="36" fillId="5" borderId="0" xfId="8" applyFill="1">
      <protection locked="0"/>
    </xf>
    <xf numFmtId="166" fontId="31" fillId="0" borderId="0" xfId="7" applyFont="1" applyAlignment="1" applyProtection="1">
      <alignment horizontal="center"/>
    </xf>
    <xf numFmtId="166" fontId="33" fillId="5" borderId="0" xfId="7" applyFont="1" applyFill="1" applyAlignment="1" applyProtection="1">
      <alignment horizontal="center"/>
    </xf>
    <xf numFmtId="166" fontId="31" fillId="5" borderId="0" xfId="7" applyFont="1" applyFill="1" applyAlignment="1" applyProtection="1">
      <alignment horizontal="center"/>
    </xf>
    <xf numFmtId="166" fontId="31" fillId="6" borderId="0" xfId="7" applyFont="1" applyFill="1" applyAlignment="1" applyProtection="1">
      <alignment horizontal="center"/>
    </xf>
    <xf numFmtId="166" fontId="31" fillId="0" borderId="1" xfId="7" applyFont="1" applyBorder="1" applyAlignment="1" applyProtection="1">
      <alignment horizontal="center"/>
    </xf>
    <xf numFmtId="166" fontId="31" fillId="0" borderId="1" xfId="0" applyNumberFormat="1" applyFont="1" applyBorder="1"/>
    <xf numFmtId="166" fontId="33" fillId="5" borderId="0" xfId="0" applyNumberFormat="1" applyFont="1" applyFill="1"/>
    <xf numFmtId="166" fontId="31" fillId="0" borderId="1" xfId="15" applyNumberFormat="1" applyFont="1" applyBorder="1"/>
    <xf numFmtId="166" fontId="31" fillId="7" borderId="4" xfId="0" applyNumberFormat="1" applyFont="1" applyFill="1" applyBorder="1" applyAlignment="1">
      <alignment horizontal="center"/>
    </xf>
    <xf numFmtId="166" fontId="9" fillId="0" borderId="0" xfId="7">
      <protection locked="0"/>
    </xf>
    <xf numFmtId="166" fontId="9" fillId="0" borderId="1" xfId="7" applyBorder="1">
      <protection locked="0"/>
    </xf>
    <xf numFmtId="166" fontId="22" fillId="5" borderId="0" xfId="7" applyFont="1" applyFill="1">
      <protection locked="0"/>
    </xf>
    <xf numFmtId="166" fontId="9" fillId="5" borderId="0" xfId="7" applyFill="1">
      <protection locked="0"/>
    </xf>
    <xf numFmtId="1" fontId="41" fillId="0" borderId="0" xfId="0" applyNumberFormat="1" applyFont="1" applyAlignment="1">
      <alignment horizontal="left"/>
    </xf>
    <xf numFmtId="14" fontId="23" fillId="0" borderId="0" xfId="0" applyNumberFormat="1" applyFont="1" applyAlignment="1">
      <alignment horizontal="right"/>
    </xf>
    <xf numFmtId="0" fontId="42" fillId="0" borderId="0" xfId="0" applyFont="1"/>
    <xf numFmtId="0" fontId="43" fillId="0" borderId="0" xfId="0" applyFont="1"/>
    <xf numFmtId="0" fontId="44" fillId="0" borderId="0" xfId="0" applyFont="1" applyAlignment="1">
      <alignment horizontal="center"/>
    </xf>
    <xf numFmtId="174" fontId="17" fillId="0" borderId="4" xfId="1" applyNumberFormat="1" applyFont="1" applyFill="1" applyBorder="1" applyAlignment="1">
      <alignment horizontal="center"/>
    </xf>
    <xf numFmtId="43" fontId="17" fillId="0" borderId="4" xfId="1" applyFont="1" applyFill="1" applyBorder="1" applyAlignment="1">
      <alignment horizontal="center"/>
    </xf>
    <xf numFmtId="0" fontId="0" fillId="0" borderId="0" xfId="0" applyAlignment="1">
      <alignment horizontal="right"/>
    </xf>
    <xf numFmtId="41" fontId="0" fillId="0" borderId="0" xfId="0" applyNumberFormat="1" applyAlignment="1">
      <alignment horizontal="right"/>
    </xf>
    <xf numFmtId="0" fontId="0" fillId="0" borderId="0" xfId="0" quotePrefix="1" applyAlignment="1">
      <alignment horizontal="center" vertical="center"/>
    </xf>
    <xf numFmtId="174" fontId="17" fillId="0" borderId="0" xfId="1" applyNumberFormat="1" applyFont="1" applyFill="1" applyBorder="1" applyAlignment="1" applyProtection="1">
      <alignment horizontal="center"/>
      <protection locked="0"/>
    </xf>
    <xf numFmtId="43" fontId="17" fillId="0" borderId="0" xfId="1" applyFont="1" applyFill="1" applyBorder="1" applyAlignment="1" applyProtection="1">
      <alignment horizontal="center"/>
      <protection locked="0"/>
    </xf>
    <xf numFmtId="174" fontId="17" fillId="0" borderId="1" xfId="1" applyNumberFormat="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0" fontId="46" fillId="0" borderId="0" xfId="0" applyFont="1" applyAlignment="1">
      <alignment horizontal="center" vertical="center"/>
    </xf>
    <xf numFmtId="0" fontId="31" fillId="0" borderId="0" xfId="0" applyFont="1"/>
    <xf numFmtId="0" fontId="47" fillId="8" borderId="8" xfId="0" applyFont="1" applyFill="1" applyBorder="1" applyProtection="1">
      <protection locked="0"/>
    </xf>
    <xf numFmtId="0" fontId="32" fillId="0" borderId="0" xfId="0" applyFont="1" applyAlignment="1">
      <alignment horizontal="center"/>
    </xf>
    <xf numFmtId="0" fontId="48" fillId="0" borderId="0" xfId="0" applyFont="1" applyAlignment="1">
      <alignment horizontal="left" vertical="center"/>
    </xf>
    <xf numFmtId="0" fontId="46" fillId="0" borderId="0" xfId="0" applyFont="1"/>
    <xf numFmtId="165" fontId="31" fillId="0" borderId="0" xfId="16" applyFont="1" applyAlignment="1">
      <alignment horizontal="center"/>
    </xf>
    <xf numFmtId="0" fontId="46" fillId="0" borderId="0" xfId="0" applyFont="1" applyAlignment="1">
      <alignment horizontal="center" wrapText="1"/>
    </xf>
    <xf numFmtId="0" fontId="47" fillId="8" borderId="8" xfId="0" applyFont="1" applyFill="1" applyBorder="1"/>
    <xf numFmtId="0" fontId="1" fillId="0" borderId="0" xfId="0" applyFont="1"/>
    <xf numFmtId="0" fontId="1" fillId="0" borderId="0" xfId="0" applyFont="1" applyAlignment="1">
      <alignment horizontal="center"/>
    </xf>
    <xf numFmtId="0" fontId="1" fillId="0" borderId="0" xfId="0" quotePrefix="1" applyFont="1"/>
    <xf numFmtId="0" fontId="15" fillId="0" borderId="0" xfId="0" applyFont="1" applyAlignment="1">
      <alignment horizontal="center"/>
    </xf>
    <xf numFmtId="0" fontId="14" fillId="0" borderId="0" xfId="0" applyFont="1" applyAlignment="1">
      <alignment horizontal="center"/>
    </xf>
    <xf numFmtId="0" fontId="1" fillId="3" borderId="0" xfId="0" applyFont="1" applyFill="1" applyAlignment="1" applyProtection="1">
      <alignment horizontal="left"/>
      <protection locked="0"/>
    </xf>
    <xf numFmtId="0" fontId="1" fillId="0" borderId="0" xfId="0" applyFont="1" applyAlignment="1">
      <alignment horizontal="left"/>
    </xf>
    <xf numFmtId="42" fontId="9" fillId="0" borderId="0" xfId="1" applyNumberFormat="1" applyFont="1" applyProtection="1">
      <protection locked="0"/>
    </xf>
    <xf numFmtId="42" fontId="9" fillId="0" borderId="0" xfId="1" applyNumberFormat="1" applyFont="1"/>
    <xf numFmtId="41" fontId="9" fillId="0" borderId="0" xfId="1" applyNumberFormat="1" applyFont="1" applyProtection="1">
      <protection locked="0"/>
    </xf>
    <xf numFmtId="41" fontId="9" fillId="0" borderId="0" xfId="1" applyNumberFormat="1" applyFont="1"/>
    <xf numFmtId="41" fontId="9" fillId="0" borderId="1" xfId="1" applyNumberFormat="1" applyFont="1" applyBorder="1" applyProtection="1">
      <protection locked="0"/>
    </xf>
    <xf numFmtId="41" fontId="9" fillId="0" borderId="1" xfId="1" applyNumberFormat="1" applyFont="1" applyBorder="1"/>
    <xf numFmtId="41" fontId="9" fillId="0" borderId="4" xfId="1" applyNumberFormat="1" applyFont="1" applyBorder="1"/>
    <xf numFmtId="42" fontId="9" fillId="0" borderId="3" xfId="1" applyNumberFormat="1" applyFont="1" applyBorder="1"/>
    <xf numFmtId="0" fontId="24" fillId="0" borderId="0" xfId="0" applyFont="1" applyAlignment="1">
      <alignment horizontal="left"/>
    </xf>
    <xf numFmtId="0" fontId="1" fillId="0" borderId="0" xfId="0" applyFont="1" applyAlignment="1">
      <alignment horizontal="left" indent="1"/>
    </xf>
    <xf numFmtId="0" fontId="1" fillId="0" borderId="0" xfId="0" applyFont="1" applyProtection="1">
      <protection locked="0"/>
    </xf>
    <xf numFmtId="174" fontId="1" fillId="0" borderId="0" xfId="0" applyNumberFormat="1" applyFont="1"/>
    <xf numFmtId="174" fontId="1" fillId="0" borderId="1" xfId="0" applyNumberFormat="1" applyFont="1" applyBorder="1"/>
    <xf numFmtId="174" fontId="1" fillId="0" borderId="4" xfId="0" applyNumberFormat="1" applyFont="1" applyBorder="1"/>
    <xf numFmtId="0" fontId="1" fillId="0" borderId="1" xfId="0" applyFont="1" applyBorder="1"/>
    <xf numFmtId="0" fontId="1" fillId="0" borderId="0" xfId="0" applyFont="1" applyAlignment="1">
      <alignment horizontal="left" indent="2"/>
    </xf>
    <xf numFmtId="166" fontId="1" fillId="0" borderId="0" xfId="0" applyNumberFormat="1" applyFont="1" applyAlignment="1">
      <alignment horizontal="center"/>
    </xf>
    <xf numFmtId="166" fontId="1" fillId="0" borderId="0" xfId="0" applyNumberFormat="1" applyFont="1" applyAlignment="1">
      <alignment horizontal="left" indent="1"/>
    </xf>
    <xf numFmtId="166" fontId="1" fillId="0" borderId="0" xfId="0" applyNumberFormat="1" applyFont="1" applyAlignment="1">
      <alignment horizontal="left" indent="2"/>
    </xf>
    <xf numFmtId="166" fontId="1" fillId="0" borderId="0" xfId="0" applyNumberFormat="1" applyFont="1"/>
    <xf numFmtId="166" fontId="1" fillId="0" borderId="0" xfId="0" applyNumberFormat="1" applyFont="1" applyAlignment="1">
      <alignment horizontal="left"/>
    </xf>
    <xf numFmtId="0" fontId="1" fillId="3" borderId="0" xfId="0" quotePrefix="1" applyFont="1" applyFill="1" applyAlignment="1" applyProtection="1">
      <alignment horizontal="left"/>
      <protection locked="0"/>
    </xf>
    <xf numFmtId="0" fontId="50" fillId="0" borderId="0" xfId="0" applyFont="1"/>
    <xf numFmtId="0" fontId="51" fillId="0" borderId="0" xfId="0" applyFont="1"/>
    <xf numFmtId="0" fontId="49" fillId="0" borderId="0" xfId="0" applyFont="1" applyAlignment="1">
      <alignment horizontal="left" indent="1"/>
    </xf>
    <xf numFmtId="0" fontId="55" fillId="0" borderId="0" xfId="0" applyFont="1" applyAlignment="1">
      <alignment horizontal="left"/>
    </xf>
    <xf numFmtId="0" fontId="55" fillId="0" borderId="0" xfId="0" applyFont="1"/>
    <xf numFmtId="176" fontId="55" fillId="0" borderId="0" xfId="0" applyNumberFormat="1" applyFont="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xf>
    <xf numFmtId="14" fontId="55" fillId="0" borderId="0" xfId="0" applyNumberFormat="1" applyFont="1" applyAlignment="1">
      <alignment horizontal="center"/>
    </xf>
    <xf numFmtId="49" fontId="55" fillId="0" borderId="0" xfId="0" applyNumberFormat="1" applyFont="1" applyAlignment="1">
      <alignment horizontal="left" wrapText="1"/>
    </xf>
    <xf numFmtId="0" fontId="55" fillId="0" borderId="0" xfId="0" applyFont="1" applyAlignment="1">
      <alignment horizontal="center"/>
    </xf>
    <xf numFmtId="49" fontId="55" fillId="0" borderId="0" xfId="0" applyNumberFormat="1" applyFont="1" applyAlignment="1">
      <alignment horizontal="center" wrapText="1"/>
    </xf>
    <xf numFmtId="15" fontId="1" fillId="0" borderId="0" xfId="0" quotePrefix="1" applyNumberFormat="1" applyFont="1"/>
    <xf numFmtId="15" fontId="1" fillId="0" borderId="0" xfId="0" applyNumberFormat="1" applyFont="1"/>
    <xf numFmtId="0" fontId="57" fillId="0" borderId="0" xfId="0" applyFont="1"/>
    <xf numFmtId="0" fontId="2" fillId="12" borderId="0" xfId="0" applyFont="1" applyFill="1" applyAlignment="1">
      <alignment horizontal="center" vertical="center" wrapText="1"/>
    </xf>
    <xf numFmtId="0" fontId="2" fillId="13" borderId="8" xfId="0" applyFont="1" applyFill="1" applyBorder="1" applyAlignment="1">
      <alignment vertical="center"/>
    </xf>
    <xf numFmtId="0" fontId="0" fillId="11" borderId="8" xfId="0" applyFill="1" applyBorder="1" applyAlignment="1">
      <alignment horizontal="center" vertical="center" wrapText="1"/>
    </xf>
    <xf numFmtId="0" fontId="0" fillId="0" borderId="0" xfId="0" applyAlignment="1">
      <alignment horizontal="center" vertical="center" wrapText="1"/>
    </xf>
    <xf numFmtId="0" fontId="1" fillId="15" borderId="8" xfId="0" applyFont="1" applyFill="1" applyBorder="1"/>
    <xf numFmtId="0" fontId="1" fillId="0" borderId="8" xfId="0" applyFont="1" applyBorder="1"/>
    <xf numFmtId="44" fontId="1" fillId="0" borderId="16" xfId="24" applyFont="1" applyFill="1" applyBorder="1" applyAlignment="1" applyProtection="1">
      <alignment horizontal="center"/>
      <protection locked="0"/>
    </xf>
    <xf numFmtId="0" fontId="0" fillId="0" borderId="8" xfId="0" applyBorder="1" applyAlignment="1" applyProtection="1">
      <alignment wrapText="1"/>
      <protection locked="0"/>
    </xf>
    <xf numFmtId="0" fontId="0" fillId="0" borderId="0" xfId="0" applyAlignment="1">
      <alignment horizontal="center" vertical="center"/>
    </xf>
    <xf numFmtId="0" fontId="2" fillId="18" borderId="8" xfId="0" applyFont="1" applyFill="1" applyBorder="1"/>
    <xf numFmtId="0" fontId="1" fillId="15" borderId="13" xfId="0" applyFont="1" applyFill="1" applyBorder="1"/>
    <xf numFmtId="0" fontId="1" fillId="15" borderId="4" xfId="0" applyFont="1" applyFill="1" applyBorder="1"/>
    <xf numFmtId="0" fontId="1" fillId="15" borderId="14" xfId="0" applyFont="1" applyFill="1" applyBorder="1"/>
    <xf numFmtId="0" fontId="1" fillId="15" borderId="8" xfId="0" applyFont="1" applyFill="1" applyBorder="1" applyAlignment="1">
      <alignment horizontal="center"/>
    </xf>
    <xf numFmtId="0" fontId="59" fillId="0" borderId="0" xfId="0" applyFont="1"/>
    <xf numFmtId="0" fontId="60" fillId="0" borderId="0" xfId="0" applyFont="1" applyProtection="1">
      <protection hidden="1"/>
    </xf>
    <xf numFmtId="0" fontId="61" fillId="0" borderId="0" xfId="0" applyFont="1" applyProtection="1">
      <protection hidden="1"/>
    </xf>
    <xf numFmtId="0" fontId="2" fillId="0" borderId="0" xfId="0" applyFont="1" applyAlignment="1">
      <alignment horizontal="left" indent="1"/>
    </xf>
    <xf numFmtId="0" fontId="62" fillId="0" borderId="8" xfId="0" applyFont="1" applyBorder="1" applyAlignment="1" applyProtection="1">
      <alignment horizontal="left" wrapText="1" indent="1"/>
      <protection locked="0"/>
    </xf>
    <xf numFmtId="0" fontId="58" fillId="10" borderId="13" xfId="0" applyFont="1" applyFill="1" applyBorder="1" applyAlignment="1">
      <alignment horizontal="center"/>
    </xf>
    <xf numFmtId="0" fontId="58" fillId="10" borderId="4" xfId="0" applyFont="1" applyFill="1" applyBorder="1" applyAlignment="1">
      <alignment horizontal="center"/>
    </xf>
    <xf numFmtId="0" fontId="58" fillId="10" borderId="14" xfId="0" applyFont="1" applyFill="1" applyBorder="1" applyAlignment="1">
      <alignment horizontal="center"/>
    </xf>
    <xf numFmtId="0" fontId="64" fillId="0" borderId="0" xfId="25" applyFont="1" applyAlignment="1">
      <alignment horizontal="center"/>
    </xf>
    <xf numFmtId="0" fontId="64" fillId="0" borderId="0" xfId="25" applyFont="1"/>
    <xf numFmtId="44" fontId="0" fillId="11" borderId="8" xfId="24" applyFont="1" applyFill="1" applyBorder="1" applyAlignment="1">
      <alignment horizontal="center" vertical="center" wrapText="1"/>
    </xf>
    <xf numFmtId="0" fontId="2" fillId="11"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 fillId="18" borderId="8" xfId="0" applyFont="1" applyFill="1" applyBorder="1" applyAlignment="1">
      <alignment vertical="center"/>
    </xf>
    <xf numFmtId="0" fontId="64" fillId="0" borderId="8" xfId="25" applyFont="1" applyBorder="1"/>
    <xf numFmtId="0" fontId="1" fillId="8" borderId="0" xfId="0" applyFont="1" applyFill="1"/>
    <xf numFmtId="0" fontId="60" fillId="20" borderId="0" xfId="0" applyFont="1" applyFill="1" applyProtection="1">
      <protection hidden="1"/>
    </xf>
    <xf numFmtId="44" fontId="1" fillId="17" borderId="16" xfId="24" applyFont="1" applyFill="1" applyBorder="1" applyAlignment="1" applyProtection="1">
      <alignment horizontal="center"/>
      <protection locked="0"/>
    </xf>
    <xf numFmtId="43" fontId="1" fillId="0" borderId="16" xfId="1" applyFont="1" applyFill="1" applyBorder="1" applyAlignment="1" applyProtection="1">
      <alignment horizontal="center"/>
      <protection locked="0"/>
    </xf>
    <xf numFmtId="43" fontId="65" fillId="19" borderId="8" xfId="1" applyFont="1" applyFill="1" applyBorder="1" applyAlignment="1">
      <alignment vertical="center"/>
    </xf>
    <xf numFmtId="0" fontId="42" fillId="0" borderId="0" xfId="0" applyFont="1" applyAlignment="1">
      <alignment horizontal="center" vertical="center" wrapText="1"/>
    </xf>
    <xf numFmtId="14" fontId="55" fillId="0" borderId="0" xfId="0" applyNumberFormat="1" applyFont="1" applyAlignment="1">
      <alignment horizontal="center" vertical="center"/>
    </xf>
    <xf numFmtId="0" fontId="55" fillId="0" borderId="0" xfId="0" applyFont="1" applyAlignment="1">
      <alignment vertical="center"/>
    </xf>
    <xf numFmtId="0" fontId="55" fillId="0" borderId="0" xfId="0" applyFont="1" applyAlignment="1">
      <alignment horizontal="center" vertical="center"/>
    </xf>
    <xf numFmtId="49" fontId="55" fillId="0" borderId="0" xfId="0" applyNumberFormat="1" applyFont="1" applyAlignment="1">
      <alignment horizontal="left" vertical="center" wrapText="1"/>
    </xf>
    <xf numFmtId="0" fontId="1" fillId="9" borderId="17" xfId="0" quotePrefix="1" applyFont="1" applyFill="1" applyBorder="1" applyAlignment="1">
      <alignment vertical="center"/>
    </xf>
    <xf numFmtId="0" fontId="1" fillId="9" borderId="6" xfId="0" applyFont="1" applyFill="1" applyBorder="1" applyAlignment="1">
      <alignment vertical="center"/>
    </xf>
    <xf numFmtId="0" fontId="2" fillId="9" borderId="6" xfId="0" applyFont="1" applyFill="1" applyBorder="1" applyAlignment="1">
      <alignment horizontal="right" vertical="center"/>
    </xf>
    <xf numFmtId="0" fontId="1" fillId="9" borderId="7" xfId="0" applyFont="1" applyFill="1" applyBorder="1" applyAlignment="1">
      <alignment vertical="center"/>
    </xf>
    <xf numFmtId="0" fontId="2" fillId="9" borderId="9" xfId="0" quotePrefix="1" applyFont="1" applyFill="1" applyBorder="1" applyAlignment="1">
      <alignment vertical="center"/>
    </xf>
    <xf numFmtId="0" fontId="1" fillId="9" borderId="0" xfId="0" applyFont="1" applyFill="1" applyAlignment="1">
      <alignment vertical="center"/>
    </xf>
    <xf numFmtId="0" fontId="2" fillId="9" borderId="0" xfId="0" applyFont="1" applyFill="1" applyAlignment="1">
      <alignment horizontal="right" vertical="center"/>
    </xf>
    <xf numFmtId="0" fontId="1" fillId="9" borderId="10" xfId="0" applyFont="1" applyFill="1" applyBorder="1" applyAlignment="1">
      <alignment vertical="center"/>
    </xf>
    <xf numFmtId="0" fontId="1" fillId="9" borderId="9" xfId="0" quotePrefix="1" applyFont="1" applyFill="1" applyBorder="1" applyAlignment="1">
      <alignment vertical="center"/>
    </xf>
    <xf numFmtId="0" fontId="40" fillId="9" borderId="9" xfId="0" quotePrefix="1" applyFont="1" applyFill="1" applyBorder="1" applyAlignment="1">
      <alignment vertical="center"/>
    </xf>
    <xf numFmtId="0" fontId="1" fillId="9" borderId="11" xfId="0" quotePrefix="1" applyFont="1" applyFill="1" applyBorder="1" applyAlignment="1">
      <alignment vertical="center"/>
    </xf>
    <xf numFmtId="0" fontId="1" fillId="9" borderId="2" xfId="0" applyFont="1" applyFill="1" applyBorder="1" applyAlignment="1">
      <alignment vertical="center"/>
    </xf>
    <xf numFmtId="0" fontId="53" fillId="9" borderId="2" xfId="23" applyFill="1" applyBorder="1" applyAlignment="1" applyProtection="1">
      <alignment vertical="center"/>
    </xf>
    <xf numFmtId="0" fontId="1" fillId="9" borderId="12" xfId="0" applyFont="1" applyFill="1" applyBorder="1" applyAlignment="1">
      <alignment vertical="center"/>
    </xf>
    <xf numFmtId="0" fontId="2" fillId="18" borderId="14" xfId="0" applyFont="1" applyFill="1" applyBorder="1" applyAlignment="1">
      <alignment horizontal="center" vertical="center" wrapText="1"/>
    </xf>
    <xf numFmtId="0" fontId="69" fillId="13" borderId="5" xfId="0" applyFont="1" applyFill="1" applyBorder="1" applyAlignment="1">
      <alignment horizontal="center" vertical="center" wrapText="1"/>
    </xf>
    <xf numFmtId="0" fontId="70" fillId="11" borderId="5" xfId="0" applyFont="1" applyFill="1" applyBorder="1" applyAlignment="1">
      <alignment horizontal="center" vertical="center" wrapText="1"/>
    </xf>
    <xf numFmtId="0" fontId="58" fillId="10" borderId="14" xfId="0" applyFont="1" applyFill="1" applyBorder="1" applyAlignment="1">
      <alignment horizontal="center" vertical="center"/>
    </xf>
    <xf numFmtId="0" fontId="1" fillId="11" borderId="18" xfId="0" applyFont="1" applyFill="1" applyBorder="1" applyAlignment="1">
      <alignment horizontal="center" vertical="center" wrapText="1"/>
    </xf>
    <xf numFmtId="0" fontId="0" fillId="0" borderId="0" xfId="0" applyAlignment="1">
      <alignment vertical="center"/>
    </xf>
    <xf numFmtId="43" fontId="12" fillId="21" borderId="5" xfId="1" applyFont="1" applyFill="1" applyBorder="1" applyAlignment="1" applyProtection="1">
      <alignment vertical="center"/>
      <protection locked="0"/>
    </xf>
    <xf numFmtId="43" fontId="71" fillId="21" borderId="4" xfId="1" applyFont="1" applyFill="1" applyBorder="1" applyAlignment="1" applyProtection="1">
      <alignment vertical="center"/>
    </xf>
    <xf numFmtId="43" fontId="1" fillId="21" borderId="4" xfId="1" applyFont="1" applyFill="1" applyBorder="1" applyAlignment="1" applyProtection="1">
      <alignment vertical="center"/>
    </xf>
    <xf numFmtId="0" fontId="1" fillId="0" borderId="0" xfId="0" applyFont="1" applyAlignment="1">
      <alignment horizontal="center" vertical="center"/>
    </xf>
    <xf numFmtId="0" fontId="2" fillId="18" borderId="13" xfId="0" applyFont="1" applyFill="1" applyBorder="1" applyAlignment="1">
      <alignment vertical="center"/>
    </xf>
    <xf numFmtId="0" fontId="2" fillId="18" borderId="4" xfId="0" applyFont="1" applyFill="1" applyBorder="1" applyAlignment="1">
      <alignment vertical="center"/>
    </xf>
    <xf numFmtId="0" fontId="2" fillId="18" borderId="14" xfId="0" applyFont="1" applyFill="1" applyBorder="1" applyAlignment="1">
      <alignment horizontal="center" vertical="center"/>
    </xf>
    <xf numFmtId="0" fontId="1" fillId="15" borderId="8" xfId="0" applyFont="1" applyFill="1" applyBorder="1" applyAlignment="1">
      <alignment horizontal="center" vertical="center"/>
    </xf>
    <xf numFmtId="0" fontId="1" fillId="16" borderId="0" xfId="0" applyFont="1" applyFill="1" applyAlignment="1">
      <alignment horizontal="center" vertical="center"/>
    </xf>
    <xf numFmtId="0" fontId="1" fillId="0" borderId="8" xfId="0" applyFont="1" applyBorder="1" applyAlignment="1">
      <alignment vertical="center"/>
    </xf>
    <xf numFmtId="0" fontId="64" fillId="0" borderId="8" xfId="25" applyFont="1" applyBorder="1" applyAlignment="1">
      <alignment vertical="center" wrapText="1"/>
    </xf>
    <xf numFmtId="43" fontId="1" fillId="17" borderId="8" xfId="1" applyFont="1" applyFill="1" applyBorder="1" applyAlignment="1" applyProtection="1">
      <alignment vertical="center"/>
      <protection locked="0"/>
    </xf>
    <xf numFmtId="43" fontId="2" fillId="17" borderId="8" xfId="1" applyFont="1" applyFill="1" applyBorder="1" applyAlignment="1" applyProtection="1">
      <alignment vertical="center"/>
      <protection locked="0"/>
    </xf>
    <xf numFmtId="43" fontId="1" fillId="0" borderId="18" xfId="1" applyFont="1" applyBorder="1" applyAlignment="1" applyProtection="1">
      <alignment vertical="center"/>
    </xf>
    <xf numFmtId="43" fontId="1" fillId="0" borderId="8" xfId="1" applyFont="1" applyBorder="1" applyAlignment="1" applyProtection="1">
      <alignment vertical="center" wrapText="1"/>
      <protection locked="0"/>
    </xf>
    <xf numFmtId="0" fontId="64" fillId="0" borderId="8" xfId="25" applyFont="1" applyBorder="1" applyAlignment="1" applyProtection="1">
      <alignment vertical="center" wrapText="1"/>
      <protection locked="0"/>
    </xf>
    <xf numFmtId="0" fontId="1" fillId="0" borderId="8" xfId="0" applyFont="1" applyBorder="1" applyAlignment="1" applyProtection="1">
      <alignment horizontal="left" vertical="center" wrapText="1"/>
      <protection locked="0"/>
    </xf>
    <xf numFmtId="43" fontId="1" fillId="21" borderId="13" xfId="1" applyFont="1" applyFill="1" applyBorder="1" applyAlignment="1" applyProtection="1">
      <alignment vertical="center"/>
    </xf>
    <xf numFmtId="43" fontId="1" fillId="21" borderId="8" xfId="1" applyFont="1" applyFill="1" applyBorder="1" applyAlignment="1" applyProtection="1">
      <alignment horizontal="left" vertical="center"/>
    </xf>
    <xf numFmtId="0" fontId="42" fillId="13" borderId="5" xfId="0" applyFont="1" applyFill="1" applyBorder="1" applyAlignment="1">
      <alignment horizontal="center" vertical="center" wrapText="1"/>
    </xf>
    <xf numFmtId="44" fontId="42" fillId="0" borderId="0" xfId="24" applyFont="1" applyFill="1" applyBorder="1" applyAlignment="1" applyProtection="1">
      <alignment horizontal="center" vertical="center" wrapText="1"/>
    </xf>
    <xf numFmtId="44" fontId="42" fillId="13" borderId="5" xfId="24" applyFont="1" applyFill="1" applyBorder="1" applyAlignment="1" applyProtection="1">
      <alignment horizontal="center" vertical="center" wrapText="1"/>
    </xf>
    <xf numFmtId="44" fontId="42" fillId="13" borderId="5" xfId="24" applyFont="1" applyFill="1" applyBorder="1" applyAlignment="1">
      <alignment horizontal="center" vertical="center" wrapText="1"/>
    </xf>
    <xf numFmtId="0" fontId="39" fillId="0" borderId="0" xfId="0" applyFont="1" applyAlignment="1">
      <alignment horizontal="center" vertical="center" wrapText="1"/>
    </xf>
    <xf numFmtId="44" fontId="42" fillId="0" borderId="0" xfId="0" applyNumberFormat="1" applyFont="1" applyAlignment="1">
      <alignment horizontal="center" vertical="center"/>
    </xf>
    <xf numFmtId="0" fontId="65" fillId="19" borderId="8" xfId="0" applyFont="1" applyFill="1" applyBorder="1" applyAlignment="1">
      <alignment horizontal="center" vertical="center"/>
    </xf>
    <xf numFmtId="44" fontId="42" fillId="0" borderId="0" xfId="24" applyFont="1" applyFill="1" applyBorder="1" applyAlignment="1" applyProtection="1">
      <alignment horizontal="left" vertical="center"/>
    </xf>
    <xf numFmtId="44" fontId="42" fillId="0" borderId="0" xfId="0" applyNumberFormat="1" applyFont="1" applyAlignment="1">
      <alignment horizontal="left" vertical="center"/>
    </xf>
    <xf numFmtId="0" fontId="9" fillId="0" borderId="0" xfId="0" applyFont="1" applyAlignment="1">
      <alignment horizontal="center" vertical="center"/>
    </xf>
    <xf numFmtId="43" fontId="0" fillId="0" borderId="0" xfId="1" applyFont="1" applyAlignment="1">
      <alignment vertical="center"/>
    </xf>
    <xf numFmtId="0" fontId="1" fillId="0" borderId="0" xfId="0" applyFont="1" applyAlignment="1">
      <alignment horizontal="center"/>
    </xf>
    <xf numFmtId="0" fontId="15" fillId="0" borderId="0" xfId="0" applyFont="1" applyAlignment="1">
      <alignment horizontal="center"/>
    </xf>
    <xf numFmtId="0" fontId="52" fillId="0" borderId="0" xfId="22" applyFont="1" applyAlignment="1">
      <alignment horizontal="center"/>
    </xf>
    <xf numFmtId="175" fontId="54" fillId="0" borderId="0" xfId="23" applyNumberFormat="1" applyFont="1" applyAlignment="1" applyProtection="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1"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xf>
    <xf numFmtId="0" fontId="2" fillId="14" borderId="13" xfId="0" applyFont="1" applyFill="1" applyBorder="1" applyAlignment="1">
      <alignment horizontal="center"/>
    </xf>
    <xf numFmtId="0" fontId="2" fillId="14" borderId="4" xfId="0" applyFont="1" applyFill="1" applyBorder="1" applyAlignment="1">
      <alignment horizontal="center"/>
    </xf>
    <xf numFmtId="0" fontId="2" fillId="14" borderId="14" xfId="0" applyFont="1" applyFill="1" applyBorder="1" applyAlignment="1">
      <alignment horizontal="center"/>
    </xf>
    <xf numFmtId="0" fontId="1" fillId="16" borderId="15" xfId="0" applyFont="1" applyFill="1" applyBorder="1" applyAlignment="1">
      <alignment horizontal="center" vertical="center"/>
    </xf>
    <xf numFmtId="0" fontId="1" fillId="15" borderId="8" xfId="0" applyFont="1" applyFill="1" applyBorder="1" applyAlignment="1">
      <alignment horizontal="center"/>
    </xf>
    <xf numFmtId="0" fontId="2" fillId="18" borderId="13" xfId="0" applyFont="1" applyFill="1" applyBorder="1" applyAlignment="1">
      <alignment horizontal="left"/>
    </xf>
    <xf numFmtId="0" fontId="2" fillId="18" borderId="4" xfId="0" applyFont="1" applyFill="1" applyBorder="1" applyAlignment="1">
      <alignment horizontal="left"/>
    </xf>
    <xf numFmtId="0" fontId="2" fillId="18" borderId="14" xfId="0" applyFont="1" applyFill="1" applyBorder="1" applyAlignment="1">
      <alignment horizontal="left"/>
    </xf>
    <xf numFmtId="0" fontId="2" fillId="19" borderId="13" xfId="0" applyFont="1" applyFill="1" applyBorder="1" applyAlignment="1">
      <alignment horizontal="center" vertical="center"/>
    </xf>
    <xf numFmtId="0" fontId="2" fillId="19" borderId="4" xfId="0" applyFont="1" applyFill="1" applyBorder="1" applyAlignment="1">
      <alignment horizontal="center" vertical="center"/>
    </xf>
    <xf numFmtId="0" fontId="2" fillId="19" borderId="14" xfId="0" applyFont="1" applyFill="1" applyBorder="1" applyAlignment="1">
      <alignment horizontal="center" vertical="center"/>
    </xf>
    <xf numFmtId="44" fontId="1" fillId="17" borderId="13" xfId="24" applyFont="1" applyFill="1" applyBorder="1" applyAlignment="1" applyProtection="1">
      <alignment horizontal="center" vertical="center" wrapText="1"/>
    </xf>
    <xf numFmtId="44" fontId="1" fillId="17" borderId="4" xfId="24" applyFont="1" applyFill="1" applyBorder="1" applyAlignment="1" applyProtection="1">
      <alignment horizontal="center" vertical="center" wrapText="1"/>
    </xf>
    <xf numFmtId="44" fontId="1" fillId="17" borderId="14" xfId="24" applyFont="1" applyFill="1" applyBorder="1" applyAlignment="1" applyProtection="1">
      <alignment horizontal="center" vertical="center" wrapText="1"/>
    </xf>
    <xf numFmtId="43" fontId="72" fillId="21" borderId="4" xfId="1" applyFont="1" applyFill="1" applyBorder="1" applyAlignment="1" applyProtection="1">
      <alignment horizontal="center" vertical="center"/>
    </xf>
    <xf numFmtId="43" fontId="72" fillId="21" borderId="19" xfId="1" applyFont="1" applyFill="1" applyBorder="1" applyAlignment="1" applyProtection="1">
      <alignment horizontal="center" vertical="center"/>
    </xf>
    <xf numFmtId="43" fontId="71" fillId="21" borderId="4" xfId="1" applyFont="1" applyFill="1" applyBorder="1" applyAlignment="1" applyProtection="1">
      <alignment horizontal="center" vertical="center"/>
    </xf>
    <xf numFmtId="43" fontId="71" fillId="21" borderId="19" xfId="1" applyFont="1" applyFill="1" applyBorder="1" applyAlignment="1" applyProtection="1">
      <alignment horizontal="center" vertical="center"/>
    </xf>
  </cellXfs>
  <cellStyles count="26">
    <cellStyle name="Comma" xfId="1" builtinId="3"/>
    <cellStyle name="Currency" xfId="24" builtinId="4"/>
    <cellStyle name="Exhibit No." xfId="2" xr:uid="{00000000-0005-0000-0000-000001000000}"/>
    <cellStyle name="HeadStateofNC" xfId="3" xr:uid="{00000000-0005-0000-0000-000002000000}"/>
    <cellStyle name="HeadTitles" xfId="4" xr:uid="{00000000-0005-0000-0000-000003000000}"/>
    <cellStyle name="HeadYE_Date" xfId="5" xr:uid="{00000000-0005-0000-0000-000004000000}"/>
    <cellStyle name="Hyperlink" xfId="23" builtinId="8"/>
    <cellStyle name="Normal" xfId="0" builtinId="0"/>
    <cellStyle name="Normal 2" xfId="6" xr:uid="{00000000-0005-0000-0000-000006000000}"/>
    <cellStyle name="Normal 3" xfId="7" xr:uid="{00000000-0005-0000-0000-000007000000}"/>
    <cellStyle name="Normal 4" xfId="8" xr:uid="{00000000-0005-0000-0000-000008000000}"/>
    <cellStyle name="Normal 5" xfId="9" xr:uid="{00000000-0005-0000-0000-000009000000}"/>
    <cellStyle name="Normal 6" xfId="21" xr:uid="{6FE58C0A-A819-4C48-93CC-88BA5637D4CB}"/>
    <cellStyle name="Normal_2005Collproforma" xfId="10" xr:uid="{00000000-0005-0000-0000-00000A000000}"/>
    <cellStyle name="Normal_a3p04" xfId="25" xr:uid="{AD5B22C5-DFFB-4809-B223-DA0725F537CA}"/>
    <cellStyle name="Normal_UnivExcl" xfId="22" xr:uid="{36D691F0-C47F-4170-AAAC-0BC44A7AD0DA}"/>
    <cellStyle name="Number$ -" xfId="11" xr:uid="{00000000-0005-0000-0000-00000B000000}"/>
    <cellStyle name="Number-no $ -" xfId="12" xr:uid="{00000000-0005-0000-0000-00000C000000}"/>
    <cellStyle name="NumberTotal$ -" xfId="13" xr:uid="{00000000-0005-0000-0000-00000D000000}"/>
    <cellStyle name="NumberTotal-no $ -" xfId="14" xr:uid="{00000000-0005-0000-0000-00000E000000}"/>
    <cellStyle name="NumNo$" xfId="15" xr:uid="{00000000-0005-0000-0000-00000F000000}"/>
    <cellStyle name="NumNo$ 2" xfId="16" xr:uid="{00000000-0005-0000-0000-000010000000}"/>
    <cellStyle name="NumTotD" xfId="17" xr:uid="{00000000-0005-0000-0000-000011000000}"/>
    <cellStyle name="NumTotD 2" xfId="18" xr:uid="{00000000-0005-0000-0000-000012000000}"/>
    <cellStyle name="NumTotNo$" xfId="19" xr:uid="{00000000-0005-0000-0000-000013000000}"/>
    <cellStyle name="NumTotNo$ 2" xfId="20" xr:uid="{00000000-0005-0000-0000-000014000000}"/>
  </cellStyles>
  <dxfs count="18">
    <dxf>
      <font>
        <color rgb="FF9C0006"/>
      </font>
      <fill>
        <patternFill>
          <bgColor rgb="FFFFC7CE"/>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3933" name="Line 3">
          <a:extLst>
            <a:ext uri="{FF2B5EF4-FFF2-40B4-BE49-F238E27FC236}">
              <a16:creationId xmlns:a16="http://schemas.microsoft.com/office/drawing/2014/main" id="{00000000-0008-0000-0100-00006D36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3934" name="Line 4">
          <a:extLst>
            <a:ext uri="{FF2B5EF4-FFF2-40B4-BE49-F238E27FC236}">
              <a16:creationId xmlns:a16="http://schemas.microsoft.com/office/drawing/2014/main" id="{00000000-0008-0000-0100-00006E36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3935" name="Line 5">
          <a:extLst>
            <a:ext uri="{FF2B5EF4-FFF2-40B4-BE49-F238E27FC236}">
              <a16:creationId xmlns:a16="http://schemas.microsoft.com/office/drawing/2014/main" id="{00000000-0008-0000-0100-00006F36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3936" name="Line 6">
          <a:extLst>
            <a:ext uri="{FF2B5EF4-FFF2-40B4-BE49-F238E27FC236}">
              <a16:creationId xmlns:a16="http://schemas.microsoft.com/office/drawing/2014/main" id="{00000000-0008-0000-0100-00007036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3937" name="Line 7">
          <a:extLst>
            <a:ext uri="{FF2B5EF4-FFF2-40B4-BE49-F238E27FC236}">
              <a16:creationId xmlns:a16="http://schemas.microsoft.com/office/drawing/2014/main" id="{00000000-0008-0000-0100-00007136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3938" name="Line 9">
          <a:extLst>
            <a:ext uri="{FF2B5EF4-FFF2-40B4-BE49-F238E27FC236}">
              <a16:creationId xmlns:a16="http://schemas.microsoft.com/office/drawing/2014/main" id="{00000000-0008-0000-0100-000072360000}"/>
            </a:ext>
          </a:extLst>
        </xdr:cNvPr>
        <xdr:cNvSpPr>
          <a:spLocks noChangeShapeType="1"/>
        </xdr:cNvSpPr>
      </xdr:nvSpPr>
      <xdr:spPr bwMode="auto">
        <a:xfrm>
          <a:off x="2343150" y="9239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39" name="Line 10">
          <a:extLst>
            <a:ext uri="{FF2B5EF4-FFF2-40B4-BE49-F238E27FC236}">
              <a16:creationId xmlns:a16="http://schemas.microsoft.com/office/drawing/2014/main" id="{00000000-0008-0000-0100-000073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0" name="Line 11">
          <a:extLst>
            <a:ext uri="{FF2B5EF4-FFF2-40B4-BE49-F238E27FC236}">
              <a16:creationId xmlns:a16="http://schemas.microsoft.com/office/drawing/2014/main" id="{00000000-0008-0000-0100-000074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1" name="Line 12">
          <a:extLst>
            <a:ext uri="{FF2B5EF4-FFF2-40B4-BE49-F238E27FC236}">
              <a16:creationId xmlns:a16="http://schemas.microsoft.com/office/drawing/2014/main" id="{00000000-0008-0000-0100-000075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2" name="Line 13">
          <a:extLst>
            <a:ext uri="{FF2B5EF4-FFF2-40B4-BE49-F238E27FC236}">
              <a16:creationId xmlns:a16="http://schemas.microsoft.com/office/drawing/2014/main" id="{00000000-0008-0000-0100-000076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3" name="Line 14">
          <a:extLst>
            <a:ext uri="{FF2B5EF4-FFF2-40B4-BE49-F238E27FC236}">
              <a16:creationId xmlns:a16="http://schemas.microsoft.com/office/drawing/2014/main" id="{00000000-0008-0000-0100-000077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4" name="Line 15">
          <a:extLst>
            <a:ext uri="{FF2B5EF4-FFF2-40B4-BE49-F238E27FC236}">
              <a16:creationId xmlns:a16="http://schemas.microsoft.com/office/drawing/2014/main" id="{00000000-0008-0000-0100-000078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1304925</xdr:colOff>
      <xdr:row>11</xdr:row>
      <xdr:rowOff>85725</xdr:rowOff>
    </xdr:from>
    <xdr:to>
      <xdr:col>2</xdr:col>
      <xdr:colOff>1828800</xdr:colOff>
      <xdr:row>11</xdr:row>
      <xdr:rowOff>85725</xdr:rowOff>
    </xdr:to>
    <xdr:sp macro="" textlink="">
      <xdr:nvSpPr>
        <xdr:cNvPr id="13945" name="Line 16">
          <a:extLst>
            <a:ext uri="{FF2B5EF4-FFF2-40B4-BE49-F238E27FC236}">
              <a16:creationId xmlns:a16="http://schemas.microsoft.com/office/drawing/2014/main" id="{00000000-0008-0000-0100-000079360000}"/>
            </a:ext>
          </a:extLst>
        </xdr:cNvPr>
        <xdr:cNvSpPr>
          <a:spLocks noChangeShapeType="1"/>
        </xdr:cNvSpPr>
      </xdr:nvSpPr>
      <xdr:spPr bwMode="auto">
        <a:xfrm>
          <a:off x="2333625"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6" name="Line 17">
          <a:extLst>
            <a:ext uri="{FF2B5EF4-FFF2-40B4-BE49-F238E27FC236}">
              <a16:creationId xmlns:a16="http://schemas.microsoft.com/office/drawing/2014/main" id="{00000000-0008-0000-0100-00007A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7" name="Line 78">
          <a:extLst>
            <a:ext uri="{FF2B5EF4-FFF2-40B4-BE49-F238E27FC236}">
              <a16:creationId xmlns:a16="http://schemas.microsoft.com/office/drawing/2014/main" id="{00000000-0008-0000-0100-00007B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8" name="Line 79">
          <a:extLst>
            <a:ext uri="{FF2B5EF4-FFF2-40B4-BE49-F238E27FC236}">
              <a16:creationId xmlns:a16="http://schemas.microsoft.com/office/drawing/2014/main" id="{00000000-0008-0000-0100-00007C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9" name="Line 80">
          <a:extLst>
            <a:ext uri="{FF2B5EF4-FFF2-40B4-BE49-F238E27FC236}">
              <a16:creationId xmlns:a16="http://schemas.microsoft.com/office/drawing/2014/main" id="{00000000-0008-0000-0100-00007D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50" name="Line 81">
          <a:extLst>
            <a:ext uri="{FF2B5EF4-FFF2-40B4-BE49-F238E27FC236}">
              <a16:creationId xmlns:a16="http://schemas.microsoft.com/office/drawing/2014/main" id="{00000000-0008-0000-0100-00007E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1" name="Line 82">
          <a:extLst>
            <a:ext uri="{FF2B5EF4-FFF2-40B4-BE49-F238E27FC236}">
              <a16:creationId xmlns:a16="http://schemas.microsoft.com/office/drawing/2014/main" id="{00000000-0008-0000-0100-00007F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2" name="Line 83">
          <a:extLst>
            <a:ext uri="{FF2B5EF4-FFF2-40B4-BE49-F238E27FC236}">
              <a16:creationId xmlns:a16="http://schemas.microsoft.com/office/drawing/2014/main" id="{00000000-0008-0000-0100-000080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Krellner, John R" id="{AEDD07EE-9C13-4BB1-9079-054C38A5C8D6}" userId="S::John.Krellner@osc.nc.gov::ab49202d-72c8-4758-b72b-fd419801a6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0" dT="2023-03-22T20:49:38.93" personId="{AEDD07EE-9C13-4BB1-9079-054C38A5C8D6}" id="{4E5FA7D2-F31F-49BC-8977-911F7F545914}">
    <text>New account in FY2023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osc.nc.gov/2024-acfr-package-narratives/op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22"/>
  <sheetViews>
    <sheetView showGridLines="0" zoomScale="110" zoomScaleNormal="110" workbookViewId="0">
      <selection activeCell="B19" sqref="B19"/>
    </sheetView>
  </sheetViews>
  <sheetFormatPr defaultRowHeight="12.75" x14ac:dyDescent="0.2"/>
  <cols>
    <col min="1" max="1" width="106.28515625" customWidth="1"/>
    <col min="2" max="2" width="27.7109375" customWidth="1"/>
    <col min="3" max="3" width="45.7109375" customWidth="1"/>
    <col min="4" max="4" width="16" customWidth="1"/>
  </cols>
  <sheetData>
    <row r="1" spans="1:4" ht="20.100000000000001" customHeight="1" x14ac:dyDescent="0.2">
      <c r="A1" s="26"/>
      <c r="B1" s="26"/>
      <c r="C1" s="26"/>
      <c r="D1" s="26"/>
    </row>
    <row r="2" spans="1:4" ht="15.75" x14ac:dyDescent="0.25">
      <c r="A2" s="37" t="s">
        <v>0</v>
      </c>
      <c r="B2" s="37"/>
      <c r="C2" s="37"/>
      <c r="D2" s="37"/>
    </row>
    <row r="3" spans="1:4" ht="15.75" x14ac:dyDescent="0.25">
      <c r="A3" s="37" t="s">
        <v>1</v>
      </c>
      <c r="B3" s="37"/>
      <c r="C3" s="37"/>
      <c r="D3" s="37"/>
    </row>
    <row r="4" spans="1:4" ht="15.75" x14ac:dyDescent="0.25">
      <c r="A4" s="41" t="s">
        <v>498</v>
      </c>
      <c r="B4" s="38"/>
      <c r="C4" s="38"/>
      <c r="D4" s="38"/>
    </row>
    <row r="5" spans="1:4" ht="12.75" customHeight="1" x14ac:dyDescent="0.2">
      <c r="A5" s="39"/>
      <c r="B5" s="39"/>
      <c r="C5" s="39"/>
      <c r="D5" s="39"/>
    </row>
    <row r="6" spans="1:4" ht="12.75" customHeight="1" x14ac:dyDescent="0.2">
      <c r="A6" s="26"/>
      <c r="B6" s="26"/>
      <c r="C6" s="26"/>
      <c r="D6" s="26"/>
    </row>
    <row r="7" spans="1:4" x14ac:dyDescent="0.2">
      <c r="A7" s="174" t="s">
        <v>2</v>
      </c>
      <c r="B7" s="174"/>
      <c r="C7" s="174"/>
      <c r="D7" s="174"/>
    </row>
    <row r="8" spans="1:4" x14ac:dyDescent="0.2">
      <c r="A8" s="174" t="s">
        <v>3</v>
      </c>
      <c r="B8" s="174"/>
      <c r="C8" s="174"/>
      <c r="D8" s="174"/>
    </row>
    <row r="9" spans="1:4" x14ac:dyDescent="0.2">
      <c r="A9" s="174" t="s">
        <v>4</v>
      </c>
      <c r="B9" s="174"/>
      <c r="C9" s="174"/>
      <c r="D9" s="174"/>
    </row>
    <row r="10" spans="1:4" ht="12.75" customHeight="1" x14ac:dyDescent="0.2">
      <c r="A10" s="174" t="s">
        <v>5</v>
      </c>
      <c r="B10" s="174"/>
      <c r="C10" s="174"/>
      <c r="D10" s="174"/>
    </row>
    <row r="11" spans="1:4" x14ac:dyDescent="0.2">
      <c r="B11" s="174"/>
      <c r="C11" s="174"/>
      <c r="D11" s="174"/>
    </row>
    <row r="12" spans="1:4" x14ac:dyDescent="0.2">
      <c r="A12" s="174" t="s">
        <v>6</v>
      </c>
      <c r="B12" s="174"/>
      <c r="C12" s="174"/>
      <c r="D12" s="174"/>
    </row>
    <row r="13" spans="1:4" x14ac:dyDescent="0.2">
      <c r="A13" s="174" t="s">
        <v>7</v>
      </c>
      <c r="B13" s="174"/>
      <c r="C13" s="174"/>
      <c r="D13" s="174"/>
    </row>
    <row r="14" spans="1:4" x14ac:dyDescent="0.2">
      <c r="A14" s="174" t="s">
        <v>8</v>
      </c>
      <c r="B14" s="174"/>
      <c r="C14" s="174"/>
      <c r="D14" s="174"/>
    </row>
    <row r="15" spans="1:4" x14ac:dyDescent="0.2">
      <c r="A15" s="174" t="s">
        <v>568</v>
      </c>
      <c r="B15" s="174"/>
      <c r="C15" s="174"/>
      <c r="D15" s="174"/>
    </row>
    <row r="16" spans="1:4" ht="12.75" customHeight="1" x14ac:dyDescent="0.2">
      <c r="A16" s="174"/>
      <c r="B16" s="177"/>
      <c r="C16" s="177"/>
      <c r="D16" s="177"/>
    </row>
    <row r="17" spans="1:4" ht="12.75" customHeight="1" x14ac:dyDescent="0.2">
      <c r="A17" s="177" t="s">
        <v>9</v>
      </c>
      <c r="B17" s="174"/>
      <c r="C17" s="174"/>
      <c r="D17" s="174"/>
    </row>
    <row r="18" spans="1:4" x14ac:dyDescent="0.2">
      <c r="A18" s="174" t="s">
        <v>10</v>
      </c>
      <c r="B18" s="174"/>
      <c r="C18" s="174"/>
      <c r="D18" s="174"/>
    </row>
    <row r="19" spans="1:4" x14ac:dyDescent="0.2">
      <c r="A19" s="174" t="s">
        <v>11</v>
      </c>
      <c r="B19" s="174"/>
      <c r="C19" s="174"/>
      <c r="D19" s="174"/>
    </row>
    <row r="20" spans="1:4" x14ac:dyDescent="0.2">
      <c r="A20" s="174" t="s">
        <v>12</v>
      </c>
      <c r="B20" s="174"/>
      <c r="C20" s="174"/>
      <c r="D20" s="174"/>
    </row>
    <row r="21" spans="1:4" ht="18" customHeight="1" x14ac:dyDescent="0.2">
      <c r="A21" s="174" t="s">
        <v>13</v>
      </c>
    </row>
    <row r="22" spans="1:4" x14ac:dyDescent="0.2">
      <c r="A22" s="151" t="s">
        <v>685</v>
      </c>
    </row>
  </sheetData>
  <sheetProtection algorithmName="SHA-512" hashValue="Ca8m5ClhykKKgGWNXypcZiN5bxoV0b6ZQUxzmDcs4C19Iig6gsHYIM7kk1GoPY9JI9e+Ijpy1NVjy0Y8hABRVQ==" saltValue="/OuT3EifefvtUt+HMs3AYw==" spinCount="100000" sheet="1" autoFilter="0"/>
  <phoneticPr fontId="0" type="noConversion"/>
  <pageMargins left="0.5" right="0.5" top="0.75" bottom="0.75" header="0.5" footer="0.2"/>
  <pageSetup orientation="portrait"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0"/>
  <sheetViews>
    <sheetView workbookViewId="0">
      <selection activeCell="A31" sqref="A31"/>
    </sheetView>
  </sheetViews>
  <sheetFormatPr defaultRowHeight="12.75" x14ac:dyDescent="0.2"/>
  <cols>
    <col min="1" max="1" width="89.85546875" customWidth="1"/>
  </cols>
  <sheetData>
    <row r="1" spans="1:6" s="13" customFormat="1" ht="12.75" customHeight="1" x14ac:dyDescent="0.2">
      <c r="A1" s="1" t="str">
        <f>CONCATENATE(Info!D7," Foundations")</f>
        <v>Alamance Community College Foundations</v>
      </c>
      <c r="B1" s="173"/>
      <c r="C1" s="173"/>
      <c r="D1" s="173"/>
      <c r="E1" s="173"/>
      <c r="F1" s="30"/>
    </row>
    <row r="2" spans="1:6" s="13" customFormat="1" ht="12.75" customHeight="1" x14ac:dyDescent="0.2">
      <c r="A2" s="1" t="s">
        <v>280</v>
      </c>
      <c r="B2" s="173"/>
      <c r="C2" s="173"/>
      <c r="D2" s="173"/>
      <c r="E2" s="173"/>
      <c r="F2" s="173"/>
    </row>
    <row r="3" spans="1:6" s="13" customFormat="1" ht="12.75" customHeight="1" x14ac:dyDescent="0.2">
      <c r="A3" s="214" t="str">
        <f>' Use Stmt'!A4</f>
        <v>For the Year Ended June 30, 2024</v>
      </c>
      <c r="B3" s="173"/>
      <c r="C3" s="173"/>
      <c r="D3" s="173"/>
      <c r="E3" s="173"/>
      <c r="F3" s="173"/>
    </row>
    <row r="4" spans="1:6" x14ac:dyDescent="0.2">
      <c r="A4" s="53"/>
    </row>
    <row r="5" spans="1:6" x14ac:dyDescent="0.2">
      <c r="A5" s="190"/>
    </row>
    <row r="6" spans="1:6" x14ac:dyDescent="0.2">
      <c r="A6" s="53"/>
    </row>
    <row r="7" spans="1:6" x14ac:dyDescent="0.2">
      <c r="A7" s="53"/>
    </row>
    <row r="8" spans="1:6" x14ac:dyDescent="0.2">
      <c r="A8" s="53"/>
    </row>
    <row r="9" spans="1:6" x14ac:dyDescent="0.2">
      <c r="A9" s="53"/>
    </row>
    <row r="10" spans="1:6" x14ac:dyDescent="0.2">
      <c r="A10" s="53"/>
    </row>
    <row r="11" spans="1:6" x14ac:dyDescent="0.2">
      <c r="A11" s="53"/>
    </row>
    <row r="12" spans="1:6" x14ac:dyDescent="0.2">
      <c r="A12" s="53"/>
    </row>
    <row r="13" spans="1:6" x14ac:dyDescent="0.2">
      <c r="A13" s="53"/>
    </row>
    <row r="14" spans="1:6" x14ac:dyDescent="0.2">
      <c r="A14" s="53"/>
    </row>
    <row r="15" spans="1:6" x14ac:dyDescent="0.2">
      <c r="A15" s="53"/>
    </row>
    <row r="16" spans="1:6" x14ac:dyDescent="0.2">
      <c r="A16" s="53"/>
    </row>
    <row r="17" spans="1:1" x14ac:dyDescent="0.2">
      <c r="A17" s="53"/>
    </row>
    <row r="18" spans="1:1" x14ac:dyDescent="0.2">
      <c r="A18" s="53"/>
    </row>
    <row r="19" spans="1:1" x14ac:dyDescent="0.2">
      <c r="A19" s="53"/>
    </row>
    <row r="20" spans="1:1" x14ac:dyDescent="0.2">
      <c r="A20" s="53"/>
    </row>
    <row r="21" spans="1:1" x14ac:dyDescent="0.2">
      <c r="A21" s="53"/>
    </row>
    <row r="22" spans="1:1" x14ac:dyDescent="0.2">
      <c r="A22" s="53"/>
    </row>
    <row r="23" spans="1:1" x14ac:dyDescent="0.2">
      <c r="A23" s="53"/>
    </row>
    <row r="24" spans="1:1" x14ac:dyDescent="0.2">
      <c r="A24" s="53"/>
    </row>
    <row r="25" spans="1:1" x14ac:dyDescent="0.2">
      <c r="A25" s="53"/>
    </row>
    <row r="26" spans="1:1" x14ac:dyDescent="0.2">
      <c r="A26" s="53"/>
    </row>
    <row r="27" spans="1:1" x14ac:dyDescent="0.2">
      <c r="A27" s="53"/>
    </row>
    <row r="28" spans="1:1" x14ac:dyDescent="0.2">
      <c r="A28" s="53"/>
    </row>
    <row r="29" spans="1:1" x14ac:dyDescent="0.2">
      <c r="A29" s="53"/>
    </row>
    <row r="30" spans="1:1" x14ac:dyDescent="0.2">
      <c r="A30" s="53"/>
    </row>
    <row r="31" spans="1:1" x14ac:dyDescent="0.2">
      <c r="A31" s="53"/>
    </row>
    <row r="32" spans="1:1" x14ac:dyDescent="0.2">
      <c r="A32" s="53"/>
    </row>
    <row r="33" spans="1:1" x14ac:dyDescent="0.2">
      <c r="A33" s="53"/>
    </row>
    <row r="34" spans="1:1" x14ac:dyDescent="0.2">
      <c r="A34" s="53"/>
    </row>
    <row r="35" spans="1:1" x14ac:dyDescent="0.2">
      <c r="A35" s="53"/>
    </row>
    <row r="36" spans="1:1" x14ac:dyDescent="0.2">
      <c r="A36" s="53"/>
    </row>
    <row r="37" spans="1:1" x14ac:dyDescent="0.2">
      <c r="A37" s="53"/>
    </row>
    <row r="38" spans="1:1" x14ac:dyDescent="0.2">
      <c r="A38" s="53"/>
    </row>
    <row r="39" spans="1:1" x14ac:dyDescent="0.2">
      <c r="A39" s="53"/>
    </row>
    <row r="40" spans="1:1" x14ac:dyDescent="0.2">
      <c r="A40" s="53"/>
    </row>
    <row r="41" spans="1:1" x14ac:dyDescent="0.2">
      <c r="A41" s="53"/>
    </row>
    <row r="42" spans="1:1" x14ac:dyDescent="0.2">
      <c r="A42" s="53"/>
    </row>
    <row r="43" spans="1:1" x14ac:dyDescent="0.2">
      <c r="A43" s="53"/>
    </row>
    <row r="44" spans="1:1" x14ac:dyDescent="0.2">
      <c r="A44" s="53"/>
    </row>
    <row r="45" spans="1:1" x14ac:dyDescent="0.2">
      <c r="A45" s="53"/>
    </row>
    <row r="46" spans="1:1" x14ac:dyDescent="0.2">
      <c r="A46" s="53"/>
    </row>
    <row r="47" spans="1:1" x14ac:dyDescent="0.2">
      <c r="A47" s="53"/>
    </row>
    <row r="48" spans="1:1" x14ac:dyDescent="0.2">
      <c r="A48" s="53"/>
    </row>
    <row r="49" spans="1:1" x14ac:dyDescent="0.2">
      <c r="A49" s="53"/>
    </row>
    <row r="50" spans="1:1" x14ac:dyDescent="0.2">
      <c r="A50" s="53"/>
    </row>
    <row r="51" spans="1:1" x14ac:dyDescent="0.2">
      <c r="A51" s="53"/>
    </row>
    <row r="52" spans="1:1" x14ac:dyDescent="0.2">
      <c r="A52" s="53"/>
    </row>
    <row r="53" spans="1:1" x14ac:dyDescent="0.2">
      <c r="A53" s="53"/>
    </row>
    <row r="54" spans="1:1" x14ac:dyDescent="0.2">
      <c r="A54" s="53"/>
    </row>
    <row r="55" spans="1:1" x14ac:dyDescent="0.2">
      <c r="A55" s="53"/>
    </row>
    <row r="56" spans="1:1" x14ac:dyDescent="0.2">
      <c r="A56" s="53"/>
    </row>
    <row r="57" spans="1:1" x14ac:dyDescent="0.2">
      <c r="A57" s="53"/>
    </row>
    <row r="58" spans="1:1" x14ac:dyDescent="0.2">
      <c r="A58" s="53"/>
    </row>
    <row r="59" spans="1:1" x14ac:dyDescent="0.2">
      <c r="A59" s="53"/>
    </row>
    <row r="60" spans="1:1" x14ac:dyDescent="0.2">
      <c r="A60" s="53"/>
    </row>
    <row r="61" spans="1:1" x14ac:dyDescent="0.2">
      <c r="A61" s="53"/>
    </row>
    <row r="62" spans="1:1" x14ac:dyDescent="0.2">
      <c r="A62" s="53"/>
    </row>
    <row r="63" spans="1:1" x14ac:dyDescent="0.2">
      <c r="A63" s="53"/>
    </row>
    <row r="64" spans="1:1" x14ac:dyDescent="0.2">
      <c r="A64" s="53"/>
    </row>
    <row r="65" spans="1:1" x14ac:dyDescent="0.2">
      <c r="A65" s="53"/>
    </row>
    <row r="66" spans="1:1" x14ac:dyDescent="0.2">
      <c r="A66" s="53"/>
    </row>
    <row r="67" spans="1:1" x14ac:dyDescent="0.2">
      <c r="A67" s="53"/>
    </row>
    <row r="68" spans="1:1" x14ac:dyDescent="0.2">
      <c r="A68" s="53"/>
    </row>
    <row r="69" spans="1:1" x14ac:dyDescent="0.2">
      <c r="A69" s="53"/>
    </row>
    <row r="70" spans="1:1" x14ac:dyDescent="0.2">
      <c r="A70" s="53"/>
    </row>
    <row r="71" spans="1:1" x14ac:dyDescent="0.2">
      <c r="A71" s="53"/>
    </row>
    <row r="72" spans="1:1" x14ac:dyDescent="0.2">
      <c r="A72" s="53"/>
    </row>
    <row r="73" spans="1:1" x14ac:dyDescent="0.2">
      <c r="A73" s="53"/>
    </row>
    <row r="74" spans="1:1" x14ac:dyDescent="0.2">
      <c r="A74" s="53"/>
    </row>
    <row r="75" spans="1:1" x14ac:dyDescent="0.2">
      <c r="A75" s="53"/>
    </row>
    <row r="76" spans="1:1" x14ac:dyDescent="0.2">
      <c r="A76" s="53"/>
    </row>
    <row r="77" spans="1:1" x14ac:dyDescent="0.2">
      <c r="A77" s="53"/>
    </row>
    <row r="78" spans="1:1" x14ac:dyDescent="0.2">
      <c r="A78" s="53"/>
    </row>
    <row r="79" spans="1:1" x14ac:dyDescent="0.2">
      <c r="A79" s="53"/>
    </row>
    <row r="80" spans="1:1" x14ac:dyDescent="0.2">
      <c r="A80" s="53"/>
    </row>
    <row r="81" spans="1:1" x14ac:dyDescent="0.2">
      <c r="A81" s="53"/>
    </row>
    <row r="82" spans="1:1" x14ac:dyDescent="0.2">
      <c r="A82" s="53"/>
    </row>
    <row r="83" spans="1:1" x14ac:dyDescent="0.2">
      <c r="A83" s="53"/>
    </row>
    <row r="84" spans="1:1" x14ac:dyDescent="0.2">
      <c r="A84" s="53"/>
    </row>
    <row r="85" spans="1:1" x14ac:dyDescent="0.2">
      <c r="A85" s="53"/>
    </row>
    <row r="86" spans="1:1" x14ac:dyDescent="0.2">
      <c r="A86" s="53"/>
    </row>
    <row r="87" spans="1:1" x14ac:dyDescent="0.2">
      <c r="A87" s="53"/>
    </row>
    <row r="88" spans="1:1" x14ac:dyDescent="0.2">
      <c r="A88" s="53"/>
    </row>
    <row r="89" spans="1:1" x14ac:dyDescent="0.2">
      <c r="A89" s="53"/>
    </row>
    <row r="90" spans="1:1" x14ac:dyDescent="0.2">
      <c r="A90" s="53"/>
    </row>
    <row r="91" spans="1:1" x14ac:dyDescent="0.2">
      <c r="A91" s="53"/>
    </row>
    <row r="92" spans="1:1" x14ac:dyDescent="0.2">
      <c r="A92" s="53"/>
    </row>
    <row r="93" spans="1:1" x14ac:dyDescent="0.2">
      <c r="A93" s="53"/>
    </row>
    <row r="94" spans="1:1" x14ac:dyDescent="0.2">
      <c r="A94" s="53"/>
    </row>
    <row r="95" spans="1:1" x14ac:dyDescent="0.2">
      <c r="A95" s="53"/>
    </row>
    <row r="96" spans="1:1" x14ac:dyDescent="0.2">
      <c r="A96" s="53"/>
    </row>
    <row r="97" spans="1:1" x14ac:dyDescent="0.2">
      <c r="A97" s="53"/>
    </row>
    <row r="98" spans="1:1" x14ac:dyDescent="0.2">
      <c r="A98" s="53"/>
    </row>
    <row r="99" spans="1:1" x14ac:dyDescent="0.2">
      <c r="A99" s="53"/>
    </row>
    <row r="100" spans="1:1" x14ac:dyDescent="0.2">
      <c r="A100" s="53"/>
    </row>
  </sheetData>
  <sheetProtection algorithmName="SHA-512" hashValue="GMiBi9A5j05YXqV6Eh/vNIDSZTVhYHeuwy/5xlqH7PfB8KHULpQw5FXvqG8uPWMYg2yiKnVTNFpwQPmRtonotQ==" saltValue="QUjG99GsF1VPXQP3hgGrSw==" spinCount="100000" sheet="1" autoFilter="0"/>
  <phoneticPr fontId="20" type="noConversion"/>
  <pageMargins left="0.75" right="0.75" top="1" bottom="1" header="0.5" footer="0.5"/>
  <pageSetup orientation="portrait" r:id="rId1"/>
  <headerFooter alignWithMargins="0">
    <oddFooter>&amp;L&amp;F &amp;A&amp;C&amp;P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F68"/>
  <sheetViews>
    <sheetView zoomScale="120" zoomScaleNormal="120" workbookViewId="0">
      <selection activeCell="G21" sqref="G21"/>
    </sheetView>
  </sheetViews>
  <sheetFormatPr defaultColWidth="8" defaultRowHeight="11.25" x14ac:dyDescent="0.2"/>
  <cols>
    <col min="1" max="1" width="25.5703125" style="63" customWidth="1"/>
    <col min="2" max="2" width="33.85546875" style="63" customWidth="1"/>
    <col min="3" max="3" width="18" style="71" customWidth="1"/>
    <col min="4" max="4" width="15" style="63" customWidth="1"/>
    <col min="5" max="5" width="11.140625" style="63" customWidth="1"/>
    <col min="6" max="6" width="11.7109375" style="63" customWidth="1"/>
    <col min="7" max="16384" width="8" style="63"/>
  </cols>
  <sheetData>
    <row r="1" spans="1:4" ht="12.75" x14ac:dyDescent="0.2">
      <c r="B1" s="75" t="s">
        <v>505</v>
      </c>
      <c r="C1" s="64" t="s">
        <v>504</v>
      </c>
    </row>
    <row r="2" spans="1:4" ht="12.75" x14ac:dyDescent="0.2">
      <c r="A2" s="65" t="s">
        <v>281</v>
      </c>
      <c r="B2" s="66"/>
      <c r="C2" s="67" t="s">
        <v>282</v>
      </c>
    </row>
    <row r="3" spans="1:4" ht="12.75" x14ac:dyDescent="0.2">
      <c r="A3" s="68" t="s">
        <v>506</v>
      </c>
      <c r="B3" s="68" t="s">
        <v>283</v>
      </c>
      <c r="C3" s="69" t="s">
        <v>284</v>
      </c>
      <c r="D3" s="75" t="s">
        <v>285</v>
      </c>
    </row>
    <row r="4" spans="1:4" ht="12" customHeight="1" x14ac:dyDescent="0.2">
      <c r="A4" s="75" t="s">
        <v>507</v>
      </c>
      <c r="C4" s="70"/>
      <c r="D4" s="75" t="s">
        <v>286</v>
      </c>
    </row>
    <row r="5" spans="1:4" x14ac:dyDescent="0.2">
      <c r="A5" s="75" t="s">
        <v>508</v>
      </c>
      <c r="B5" s="63" t="s">
        <v>287</v>
      </c>
      <c r="C5" s="63">
        <v>17458406</v>
      </c>
      <c r="D5" s="75" t="s">
        <v>27</v>
      </c>
    </row>
    <row r="6" spans="1:4" x14ac:dyDescent="0.2">
      <c r="A6" s="75" t="s">
        <v>509</v>
      </c>
      <c r="B6" s="63" t="s">
        <v>288</v>
      </c>
      <c r="C6" s="63">
        <v>5058503</v>
      </c>
      <c r="D6" s="75" t="s">
        <v>27</v>
      </c>
    </row>
    <row r="7" spans="1:4" x14ac:dyDescent="0.2">
      <c r="A7" s="75" t="s">
        <v>510</v>
      </c>
      <c r="B7" s="63" t="s">
        <v>289</v>
      </c>
      <c r="C7" s="63">
        <v>15971220</v>
      </c>
      <c r="D7" s="75" t="s">
        <v>27</v>
      </c>
    </row>
    <row r="8" spans="1:4" x14ac:dyDescent="0.2">
      <c r="A8" s="75" t="s">
        <v>511</v>
      </c>
      <c r="B8" s="63" t="s">
        <v>290</v>
      </c>
      <c r="C8" s="63">
        <v>0</v>
      </c>
      <c r="D8" s="75" t="s">
        <v>27</v>
      </c>
    </row>
    <row r="9" spans="1:4" x14ac:dyDescent="0.2">
      <c r="A9" s="75" t="s">
        <v>512</v>
      </c>
      <c r="B9" s="63" t="s">
        <v>291</v>
      </c>
      <c r="C9" s="63">
        <v>1415329</v>
      </c>
      <c r="D9" s="75" t="s">
        <v>27</v>
      </c>
    </row>
    <row r="10" spans="1:4" x14ac:dyDescent="0.2">
      <c r="A10" s="75" t="s">
        <v>513</v>
      </c>
      <c r="B10" s="63" t="s">
        <v>292</v>
      </c>
      <c r="C10" s="63">
        <v>17363307</v>
      </c>
      <c r="D10" s="75" t="s">
        <v>27</v>
      </c>
    </row>
    <row r="11" spans="1:4" x14ac:dyDescent="0.2">
      <c r="A11" s="75" t="s">
        <v>514</v>
      </c>
      <c r="B11" s="63" t="s">
        <v>293</v>
      </c>
      <c r="C11" s="63">
        <v>6648460</v>
      </c>
      <c r="D11" s="75" t="s">
        <v>27</v>
      </c>
    </row>
    <row r="12" spans="1:4" x14ac:dyDescent="0.2">
      <c r="A12" s="75" t="s">
        <v>515</v>
      </c>
      <c r="B12" s="63" t="s">
        <v>294</v>
      </c>
      <c r="C12" s="63">
        <v>21070013</v>
      </c>
      <c r="D12" s="75" t="s">
        <v>27</v>
      </c>
    </row>
    <row r="13" spans="1:4" x14ac:dyDescent="0.2">
      <c r="A13" s="75" t="s">
        <v>516</v>
      </c>
      <c r="B13" s="63" t="s">
        <v>295</v>
      </c>
      <c r="C13" s="63">
        <v>19171758</v>
      </c>
      <c r="D13" s="75" t="s">
        <v>27</v>
      </c>
    </row>
    <row r="14" spans="1:4" x14ac:dyDescent="0.2">
      <c r="A14" s="75" t="s">
        <v>499</v>
      </c>
      <c r="B14" s="63" t="s">
        <v>296</v>
      </c>
      <c r="C14" s="63">
        <v>6285197</v>
      </c>
      <c r="D14" s="75" t="s">
        <v>27</v>
      </c>
    </row>
    <row r="15" spans="1:4" x14ac:dyDescent="0.2">
      <c r="A15" s="75" t="s">
        <v>517</v>
      </c>
      <c r="B15" s="63" t="s">
        <v>297</v>
      </c>
      <c r="C15" s="63">
        <v>9546164</v>
      </c>
      <c r="D15" s="75" t="s">
        <v>27</v>
      </c>
    </row>
    <row r="16" spans="1:4" x14ac:dyDescent="0.2">
      <c r="A16" s="75" t="s">
        <v>518</v>
      </c>
      <c r="B16" s="63" t="s">
        <v>298</v>
      </c>
      <c r="C16" s="63">
        <v>13194124</v>
      </c>
      <c r="D16" s="75" t="s">
        <v>27</v>
      </c>
    </row>
    <row r="17" spans="1:4" x14ac:dyDescent="0.2">
      <c r="A17" s="75" t="s">
        <v>519</v>
      </c>
      <c r="B17" s="63" t="s">
        <v>299</v>
      </c>
      <c r="C17" s="63">
        <v>95011098</v>
      </c>
      <c r="D17" s="75" t="s">
        <v>27</v>
      </c>
    </row>
    <row r="18" spans="1:4" x14ac:dyDescent="0.2">
      <c r="A18" s="75" t="s">
        <v>520</v>
      </c>
      <c r="B18" s="63" t="s">
        <v>300</v>
      </c>
      <c r="C18" s="63">
        <v>2436486</v>
      </c>
      <c r="D18" s="75" t="s">
        <v>27</v>
      </c>
    </row>
    <row r="19" spans="1:4" x14ac:dyDescent="0.2">
      <c r="A19" s="75" t="s">
        <v>521</v>
      </c>
      <c r="B19" s="63" t="s">
        <v>301</v>
      </c>
      <c r="C19" s="63">
        <v>0</v>
      </c>
      <c r="D19" s="75" t="s">
        <v>27</v>
      </c>
    </row>
    <row r="20" spans="1:4" x14ac:dyDescent="0.2">
      <c r="A20" s="75" t="s">
        <v>522</v>
      </c>
      <c r="B20" s="63" t="s">
        <v>302</v>
      </c>
      <c r="C20" s="63">
        <v>10612447</v>
      </c>
      <c r="D20" s="75" t="s">
        <v>27</v>
      </c>
    </row>
    <row r="21" spans="1:4" x14ac:dyDescent="0.2">
      <c r="A21" s="75" t="s">
        <v>523</v>
      </c>
      <c r="B21" s="63" t="s">
        <v>303</v>
      </c>
      <c r="C21" s="63">
        <v>0</v>
      </c>
      <c r="D21" s="75" t="s">
        <v>27</v>
      </c>
    </row>
    <row r="22" spans="1:4" x14ac:dyDescent="0.2">
      <c r="A22" s="75" t="s">
        <v>524</v>
      </c>
      <c r="B22" s="75" t="s">
        <v>304</v>
      </c>
      <c r="C22" s="63">
        <v>25883040</v>
      </c>
      <c r="D22" s="75" t="s">
        <v>27</v>
      </c>
    </row>
    <row r="23" spans="1:4" x14ac:dyDescent="0.2">
      <c r="A23" s="75" t="s">
        <v>525</v>
      </c>
      <c r="B23" s="63" t="s">
        <v>305</v>
      </c>
      <c r="C23" s="63">
        <v>14773885</v>
      </c>
      <c r="D23" s="75" t="s">
        <v>27</v>
      </c>
    </row>
    <row r="24" spans="1:4" x14ac:dyDescent="0.2">
      <c r="A24" s="75" t="s">
        <v>526</v>
      </c>
      <c r="B24" s="63" t="s">
        <v>306</v>
      </c>
      <c r="C24" s="63">
        <v>3273801</v>
      </c>
      <c r="D24" s="75" t="s">
        <v>27</v>
      </c>
    </row>
    <row r="25" spans="1:4" x14ac:dyDescent="0.2">
      <c r="A25" s="75" t="s">
        <v>527</v>
      </c>
      <c r="B25" s="63" t="s">
        <v>307</v>
      </c>
      <c r="C25" s="63">
        <v>0</v>
      </c>
      <c r="D25" s="75" t="s">
        <v>27</v>
      </c>
    </row>
    <row r="26" spans="1:4" x14ac:dyDescent="0.2">
      <c r="A26" s="75" t="s">
        <v>528</v>
      </c>
      <c r="B26" s="63" t="s">
        <v>308</v>
      </c>
      <c r="C26" s="63">
        <v>14529006</v>
      </c>
      <c r="D26" s="75" t="s">
        <v>27</v>
      </c>
    </row>
    <row r="27" spans="1:4" x14ac:dyDescent="0.2">
      <c r="A27" s="75" t="s">
        <v>529</v>
      </c>
      <c r="B27" s="63" t="s">
        <v>309</v>
      </c>
      <c r="C27" s="63">
        <v>40342</v>
      </c>
      <c r="D27" s="75" t="s">
        <v>27</v>
      </c>
    </row>
    <row r="28" spans="1:4" x14ac:dyDescent="0.2">
      <c r="A28" s="75" t="s">
        <v>530</v>
      </c>
      <c r="B28" s="63" t="s">
        <v>310</v>
      </c>
      <c r="C28" s="63">
        <v>17668887</v>
      </c>
      <c r="D28" s="75" t="s">
        <v>27</v>
      </c>
    </row>
    <row r="29" spans="1:4" x14ac:dyDescent="0.2">
      <c r="A29" s="75" t="s">
        <v>531</v>
      </c>
      <c r="B29" s="63" t="s">
        <v>311</v>
      </c>
      <c r="C29" s="63">
        <v>0</v>
      </c>
      <c r="D29" s="75" t="s">
        <v>27</v>
      </c>
    </row>
    <row r="30" spans="1:4" x14ac:dyDescent="0.2">
      <c r="A30" s="75" t="s">
        <v>532</v>
      </c>
      <c r="B30" s="63" t="s">
        <v>312</v>
      </c>
      <c r="C30" s="63">
        <v>0</v>
      </c>
      <c r="D30" s="75" t="s">
        <v>27</v>
      </c>
    </row>
    <row r="31" spans="1:4" x14ac:dyDescent="0.2">
      <c r="A31" s="75" t="s">
        <v>533</v>
      </c>
      <c r="B31" s="63" t="s">
        <v>313</v>
      </c>
      <c r="C31" s="63">
        <v>3300102</v>
      </c>
      <c r="D31" s="75" t="s">
        <v>27</v>
      </c>
    </row>
    <row r="32" spans="1:4" x14ac:dyDescent="0.2">
      <c r="A32" s="75" t="s">
        <v>534</v>
      </c>
      <c r="B32" s="63" t="s">
        <v>314</v>
      </c>
      <c r="C32" s="63">
        <v>2294263</v>
      </c>
      <c r="D32" s="75" t="s">
        <v>27</v>
      </c>
    </row>
    <row r="33" spans="1:4" x14ac:dyDescent="0.2">
      <c r="A33" s="75" t="s">
        <v>535</v>
      </c>
      <c r="B33" s="63" t="s">
        <v>315</v>
      </c>
      <c r="C33" s="63">
        <v>13256212</v>
      </c>
      <c r="D33" s="75" t="s">
        <v>27</v>
      </c>
    </row>
    <row r="34" spans="1:4" x14ac:dyDescent="0.2">
      <c r="A34" s="75" t="s">
        <v>536</v>
      </c>
      <c r="B34" s="63" t="s">
        <v>316</v>
      </c>
      <c r="C34" s="63">
        <v>12415520</v>
      </c>
      <c r="D34" s="75" t="s">
        <v>27</v>
      </c>
    </row>
    <row r="35" spans="1:4" x14ac:dyDescent="0.2">
      <c r="A35" s="75" t="s">
        <v>537</v>
      </c>
      <c r="B35" s="63" t="s">
        <v>317</v>
      </c>
      <c r="C35" s="63">
        <v>412025</v>
      </c>
      <c r="D35" s="75" t="s">
        <v>27</v>
      </c>
    </row>
    <row r="36" spans="1:4" x14ac:dyDescent="0.2">
      <c r="A36" s="75" t="s">
        <v>538</v>
      </c>
      <c r="B36" s="63" t="s">
        <v>318</v>
      </c>
      <c r="C36" s="63">
        <v>7987728</v>
      </c>
      <c r="D36" s="75" t="s">
        <v>27</v>
      </c>
    </row>
    <row r="37" spans="1:4" x14ac:dyDescent="0.2">
      <c r="A37" s="75" t="s">
        <v>539</v>
      </c>
      <c r="B37" s="63" t="s">
        <v>319</v>
      </c>
      <c r="C37" s="63">
        <v>0</v>
      </c>
      <c r="D37" s="75" t="s">
        <v>27</v>
      </c>
    </row>
    <row r="38" spans="1:4" x14ac:dyDescent="0.2">
      <c r="A38" s="75" t="s">
        <v>540</v>
      </c>
      <c r="B38" s="63" t="s">
        <v>320</v>
      </c>
      <c r="C38" s="63">
        <v>0</v>
      </c>
      <c r="D38" s="75" t="s">
        <v>27</v>
      </c>
    </row>
    <row r="39" spans="1:4" x14ac:dyDescent="0.2">
      <c r="A39" s="75" t="s">
        <v>541</v>
      </c>
      <c r="B39" s="63" t="s">
        <v>321</v>
      </c>
      <c r="C39" s="63">
        <v>4398829</v>
      </c>
      <c r="D39" s="75" t="s">
        <v>27</v>
      </c>
    </row>
    <row r="40" spans="1:4" x14ac:dyDescent="0.2">
      <c r="A40" s="75" t="s">
        <v>542</v>
      </c>
      <c r="B40" s="63" t="s">
        <v>322</v>
      </c>
      <c r="C40" s="63">
        <v>10773910</v>
      </c>
      <c r="D40" s="75" t="s">
        <v>27</v>
      </c>
    </row>
    <row r="41" spans="1:4" x14ac:dyDescent="0.2">
      <c r="A41" s="75" t="s">
        <v>543</v>
      </c>
      <c r="B41" s="63" t="s">
        <v>323</v>
      </c>
      <c r="C41" s="63">
        <v>0</v>
      </c>
      <c r="D41" s="75" t="s">
        <v>27</v>
      </c>
    </row>
    <row r="42" spans="1:4" x14ac:dyDescent="0.2">
      <c r="A42" s="75" t="s">
        <v>544</v>
      </c>
      <c r="B42" s="63" t="s">
        <v>324</v>
      </c>
      <c r="C42" s="63">
        <v>2443568</v>
      </c>
      <c r="D42" s="75" t="s">
        <v>27</v>
      </c>
    </row>
    <row r="43" spans="1:4" x14ac:dyDescent="0.2">
      <c r="A43" s="75" t="s">
        <v>545</v>
      </c>
      <c r="B43" s="63" t="s">
        <v>325</v>
      </c>
      <c r="C43" s="63">
        <v>7826824</v>
      </c>
      <c r="D43" s="75" t="s">
        <v>27</v>
      </c>
    </row>
    <row r="44" spans="1:4" x14ac:dyDescent="0.2">
      <c r="A44" s="75" t="s">
        <v>546</v>
      </c>
      <c r="B44" s="63" t="s">
        <v>326</v>
      </c>
      <c r="C44" s="63">
        <v>14367913</v>
      </c>
      <c r="D44" s="75" t="s">
        <v>27</v>
      </c>
    </row>
    <row r="45" spans="1:4" x14ac:dyDescent="0.2">
      <c r="A45" s="75" t="s">
        <v>547</v>
      </c>
      <c r="B45" s="63" t="s">
        <v>327</v>
      </c>
      <c r="C45" s="63">
        <v>5553024</v>
      </c>
      <c r="D45" s="75" t="s">
        <v>27</v>
      </c>
    </row>
    <row r="46" spans="1:4" x14ac:dyDescent="0.2">
      <c r="A46" s="75" t="s">
        <v>548</v>
      </c>
      <c r="B46" s="63" t="s">
        <v>328</v>
      </c>
      <c r="C46" s="63">
        <v>0</v>
      </c>
      <c r="D46" s="75" t="s">
        <v>27</v>
      </c>
    </row>
    <row r="47" spans="1:4" x14ac:dyDescent="0.2">
      <c r="A47" s="75" t="s">
        <v>549</v>
      </c>
      <c r="B47" s="63" t="s">
        <v>329</v>
      </c>
      <c r="C47" s="63">
        <v>3943630</v>
      </c>
      <c r="D47" s="75" t="s">
        <v>27</v>
      </c>
    </row>
    <row r="48" spans="1:4" x14ac:dyDescent="0.2">
      <c r="A48" s="75" t="s">
        <v>550</v>
      </c>
      <c r="B48" s="63" t="s">
        <v>330</v>
      </c>
      <c r="C48" s="63">
        <v>20742207</v>
      </c>
      <c r="D48" s="75" t="s">
        <v>27</v>
      </c>
    </row>
    <row r="49" spans="1:6" x14ac:dyDescent="0.2">
      <c r="A49" s="75" t="s">
        <v>551</v>
      </c>
      <c r="B49" s="63" t="s">
        <v>331</v>
      </c>
      <c r="C49" s="63">
        <v>9299286</v>
      </c>
      <c r="D49" s="75" t="s">
        <v>27</v>
      </c>
    </row>
    <row r="50" spans="1:6" x14ac:dyDescent="0.2">
      <c r="A50" s="75" t="s">
        <v>552</v>
      </c>
      <c r="B50" s="63" t="s">
        <v>332</v>
      </c>
      <c r="C50" s="63">
        <v>4644810</v>
      </c>
      <c r="D50" s="75" t="s">
        <v>27</v>
      </c>
    </row>
    <row r="51" spans="1:6" x14ac:dyDescent="0.2">
      <c r="A51" s="75" t="s">
        <v>553</v>
      </c>
      <c r="B51" s="63" t="s">
        <v>333</v>
      </c>
      <c r="C51" s="63">
        <v>0</v>
      </c>
      <c r="D51" s="75" t="s">
        <v>27</v>
      </c>
    </row>
    <row r="52" spans="1:6" x14ac:dyDescent="0.2">
      <c r="A52" s="75" t="s">
        <v>554</v>
      </c>
      <c r="B52" s="63" t="s">
        <v>334</v>
      </c>
      <c r="C52" s="63">
        <v>8797161</v>
      </c>
      <c r="D52" s="75" t="s">
        <v>335</v>
      </c>
    </row>
    <row r="53" spans="1:6" x14ac:dyDescent="0.2">
      <c r="A53" s="75" t="s">
        <v>555</v>
      </c>
      <c r="B53" s="63" t="s">
        <v>336</v>
      </c>
      <c r="C53" s="63">
        <v>7639625</v>
      </c>
      <c r="D53" s="75" t="s">
        <v>27</v>
      </c>
    </row>
    <row r="54" spans="1:6" x14ac:dyDescent="0.2">
      <c r="A54" s="75" t="s">
        <v>556</v>
      </c>
      <c r="B54" s="63" t="s">
        <v>337</v>
      </c>
      <c r="C54" s="63">
        <v>4329491</v>
      </c>
      <c r="D54" s="75" t="s">
        <v>27</v>
      </c>
    </row>
    <row r="55" spans="1:6" x14ac:dyDescent="0.2">
      <c r="A55" s="75" t="s">
        <v>557</v>
      </c>
      <c r="B55" s="63" t="s">
        <v>338</v>
      </c>
      <c r="C55" s="63">
        <v>15088456</v>
      </c>
      <c r="D55" s="75" t="s">
        <v>27</v>
      </c>
    </row>
    <row r="56" spans="1:6" x14ac:dyDescent="0.2">
      <c r="A56" s="75" t="s">
        <v>558</v>
      </c>
      <c r="B56" s="63" t="s">
        <v>339</v>
      </c>
      <c r="C56" s="63">
        <v>416040</v>
      </c>
      <c r="D56" s="75" t="s">
        <v>27</v>
      </c>
    </row>
    <row r="57" spans="1:6" x14ac:dyDescent="0.2">
      <c r="A57" s="75" t="s">
        <v>559</v>
      </c>
      <c r="B57" s="63" t="s">
        <v>340</v>
      </c>
      <c r="C57" s="63">
        <v>9670821</v>
      </c>
      <c r="D57" s="75" t="s">
        <v>27</v>
      </c>
    </row>
    <row r="58" spans="1:6" x14ac:dyDescent="0.2">
      <c r="A58" s="75" t="s">
        <v>560</v>
      </c>
      <c r="B58" s="63" t="s">
        <v>341</v>
      </c>
      <c r="C58" s="63">
        <v>0</v>
      </c>
      <c r="D58" s="75" t="s">
        <v>27</v>
      </c>
    </row>
    <row r="59" spans="1:6" x14ac:dyDescent="0.2">
      <c r="A59" s="75" t="s">
        <v>561</v>
      </c>
      <c r="B59" s="63" t="s">
        <v>342</v>
      </c>
      <c r="C59" s="63">
        <v>11097375</v>
      </c>
      <c r="D59" s="75" t="s">
        <v>27</v>
      </c>
    </row>
    <row r="60" spans="1:6" x14ac:dyDescent="0.2">
      <c r="A60" s="75" t="s">
        <v>562</v>
      </c>
      <c r="B60" s="63" t="s">
        <v>343</v>
      </c>
      <c r="C60" s="63">
        <v>3992674</v>
      </c>
      <c r="D60" s="75" t="s">
        <v>27</v>
      </c>
    </row>
    <row r="61" spans="1:6" x14ac:dyDescent="0.2">
      <c r="A61" s="75" t="s">
        <v>563</v>
      </c>
      <c r="B61" s="63" t="s">
        <v>344</v>
      </c>
      <c r="C61" s="63">
        <v>13259162</v>
      </c>
      <c r="D61" s="75" t="s">
        <v>27</v>
      </c>
    </row>
    <row r="62" spans="1:6" x14ac:dyDescent="0.2">
      <c r="A62" s="75" t="s">
        <v>564</v>
      </c>
      <c r="B62" s="63" t="s">
        <v>345</v>
      </c>
      <c r="C62" s="63">
        <v>6530855</v>
      </c>
      <c r="D62" s="75" t="s">
        <v>27</v>
      </c>
    </row>
    <row r="63" spans="1:6" ht="13.5" thickBot="1" x14ac:dyDescent="0.25">
      <c r="C63" s="73">
        <f>SUM(C5:C62)</f>
        <v>521892984</v>
      </c>
      <c r="E63" s="74"/>
      <c r="F63" s="73"/>
    </row>
    <row r="64" spans="1:6" ht="12" thickTop="1" x14ac:dyDescent="0.2"/>
    <row r="65" spans="1:6" x14ac:dyDescent="0.2">
      <c r="A65" s="75" t="s">
        <v>346</v>
      </c>
      <c r="B65" s="75"/>
      <c r="C65" s="76"/>
      <c r="D65" s="75"/>
      <c r="E65" s="75"/>
      <c r="F65" s="75"/>
    </row>
    <row r="66" spans="1:6" x14ac:dyDescent="0.2">
      <c r="A66" s="75" t="s">
        <v>347</v>
      </c>
      <c r="B66" s="75"/>
      <c r="C66" s="76"/>
      <c r="D66" s="75"/>
      <c r="E66" s="75"/>
      <c r="F66" s="75"/>
    </row>
    <row r="67" spans="1:6" x14ac:dyDescent="0.2">
      <c r="A67" s="75" t="s">
        <v>348</v>
      </c>
      <c r="B67" s="75"/>
      <c r="C67" s="76"/>
      <c r="D67" s="75"/>
      <c r="E67" s="75"/>
      <c r="F67" s="75"/>
    </row>
    <row r="68" spans="1:6" x14ac:dyDescent="0.2">
      <c r="A68" s="75" t="s">
        <v>349</v>
      </c>
      <c r="B68" s="75"/>
      <c r="C68" s="76"/>
      <c r="D68" s="75"/>
      <c r="E68" s="75"/>
      <c r="F68" s="75"/>
    </row>
  </sheetData>
  <sheetProtection algorithmName="SHA-512" hashValue="EDen3XMY6IWXJBajseen6pb3yAUrvII1bnkvc8NfAxonYTe4cU3DA42EJGrj9J2+m2P/xKdV2o3YUTreZ23otw==" saltValue="KSoB2AGpMSIBni/1VJp9Ag==" spinCount="100000" sheet="1" autoFilter="0"/>
  <phoneticPr fontId="20" type="noConversion"/>
  <pageMargins left="0.5" right="0.5" top="0.25" bottom="0.25"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L52"/>
  <sheetViews>
    <sheetView zoomScale="110" zoomScaleNormal="110" workbookViewId="0">
      <pane xSplit="3" ySplit="6" topLeftCell="D7" activePane="bottomRight" state="frozen"/>
      <selection pane="topRight" activeCell="A22" sqref="A22"/>
      <selection pane="bottomLeft" activeCell="A22" sqref="A22"/>
      <selection pane="bottomRight" activeCell="G8" sqref="G8"/>
    </sheetView>
  </sheetViews>
  <sheetFormatPr defaultRowHeight="12.75" x14ac:dyDescent="0.2"/>
  <cols>
    <col min="1" max="1" width="3.85546875" bestFit="1" customWidth="1"/>
    <col min="2" max="2" width="7.7109375" customWidth="1"/>
    <col min="3" max="3" width="45.28515625" customWidth="1"/>
    <col min="4" max="4" width="2.7109375" customWidth="1"/>
    <col min="7" max="7" width="10.140625" bestFit="1" customWidth="1"/>
    <col min="8" max="8" width="7.140625" bestFit="1" customWidth="1"/>
    <col min="9" max="9" width="8.42578125" bestFit="1" customWidth="1"/>
    <col min="13" max="13" width="9.140625" customWidth="1"/>
    <col min="17" max="17" width="9.85546875" bestFit="1" customWidth="1"/>
    <col min="19" max="19" width="7.140625" bestFit="1" customWidth="1"/>
    <col min="20" max="20" width="7.7109375" bestFit="1" customWidth="1"/>
    <col min="21" max="21" width="7.140625" bestFit="1" customWidth="1"/>
    <col min="25" max="25" width="8.28515625" bestFit="1" customWidth="1"/>
    <col min="28" max="28" width="10.42578125" customWidth="1"/>
    <col min="29" max="30" width="7.140625" bestFit="1" customWidth="1"/>
    <col min="32" max="32" width="10" bestFit="1" customWidth="1"/>
    <col min="35" max="35" width="8" bestFit="1" customWidth="1"/>
    <col min="37" max="37" width="7.28515625" bestFit="1" customWidth="1"/>
    <col min="38" max="38" width="7.140625" bestFit="1" customWidth="1"/>
    <col min="39" max="39" width="9.28515625" bestFit="1" customWidth="1"/>
    <col min="40" max="41" width="7.140625" bestFit="1" customWidth="1"/>
    <col min="42" max="42" width="8" bestFit="1" customWidth="1"/>
    <col min="46" max="47" width="7.140625" bestFit="1" customWidth="1"/>
    <col min="48" max="48" width="9.85546875" bestFit="1" customWidth="1"/>
    <col min="49" max="49" width="7.140625" bestFit="1" customWidth="1"/>
    <col min="51" max="51" width="7.140625" bestFit="1" customWidth="1"/>
    <col min="56" max="56" width="7.85546875" bestFit="1" customWidth="1"/>
    <col min="58" max="58" width="7.140625" bestFit="1" customWidth="1"/>
    <col min="60" max="60" width="9.42578125" bestFit="1" customWidth="1"/>
    <col min="63" max="63" width="4.28515625" customWidth="1"/>
    <col min="64" max="64" width="10.5703125" bestFit="1" customWidth="1"/>
  </cols>
  <sheetData>
    <row r="1" spans="1:64" ht="13.5" x14ac:dyDescent="0.25">
      <c r="A1" s="150" t="s">
        <v>501</v>
      </c>
      <c r="B1" s="79"/>
      <c r="C1" s="80" t="s">
        <v>350</v>
      </c>
      <c r="D1" s="81"/>
      <c r="E1" s="75" t="s">
        <v>508</v>
      </c>
      <c r="F1" s="75" t="s">
        <v>509</v>
      </c>
      <c r="G1" s="75" t="s">
        <v>510</v>
      </c>
      <c r="H1" s="75" t="s">
        <v>511</v>
      </c>
      <c r="I1" s="75" t="s">
        <v>512</v>
      </c>
      <c r="J1" s="75" t="s">
        <v>513</v>
      </c>
      <c r="K1" s="75" t="s">
        <v>514</v>
      </c>
      <c r="L1" s="75" t="s">
        <v>515</v>
      </c>
      <c r="M1" s="75" t="s">
        <v>516</v>
      </c>
      <c r="N1" s="75" t="s">
        <v>499</v>
      </c>
      <c r="O1" s="75" t="s">
        <v>517</v>
      </c>
      <c r="P1" s="75" t="s">
        <v>518</v>
      </c>
      <c r="Q1" s="75" t="s">
        <v>519</v>
      </c>
      <c r="R1" s="75" t="s">
        <v>520</v>
      </c>
      <c r="S1" s="75" t="s">
        <v>521</v>
      </c>
      <c r="T1" s="75" t="s">
        <v>522</v>
      </c>
      <c r="U1" s="75" t="s">
        <v>523</v>
      </c>
      <c r="V1" s="75" t="s">
        <v>524</v>
      </c>
      <c r="W1" s="75" t="s">
        <v>525</v>
      </c>
      <c r="X1" s="75" t="s">
        <v>526</v>
      </c>
      <c r="Y1" s="75" t="s">
        <v>527</v>
      </c>
      <c r="Z1" s="75" t="s">
        <v>528</v>
      </c>
      <c r="AA1" s="75" t="s">
        <v>529</v>
      </c>
      <c r="AB1" s="75" t="s">
        <v>530</v>
      </c>
      <c r="AC1" s="75" t="s">
        <v>531</v>
      </c>
      <c r="AD1" s="75" t="s">
        <v>532</v>
      </c>
      <c r="AE1" s="75" t="s">
        <v>533</v>
      </c>
      <c r="AF1" s="75" t="s">
        <v>534</v>
      </c>
      <c r="AG1" s="75" t="s">
        <v>535</v>
      </c>
      <c r="AH1" s="75" t="s">
        <v>536</v>
      </c>
      <c r="AI1" s="75" t="s">
        <v>537</v>
      </c>
      <c r="AJ1" s="75" t="s">
        <v>538</v>
      </c>
      <c r="AK1" s="75" t="s">
        <v>539</v>
      </c>
      <c r="AL1" s="75" t="s">
        <v>540</v>
      </c>
      <c r="AM1" s="75" t="s">
        <v>541</v>
      </c>
      <c r="AN1" s="75" t="s">
        <v>542</v>
      </c>
      <c r="AO1" s="75" t="s">
        <v>543</v>
      </c>
      <c r="AP1" s="75" t="s">
        <v>544</v>
      </c>
      <c r="AQ1" s="75" t="s">
        <v>545</v>
      </c>
      <c r="AR1" s="75" t="s">
        <v>546</v>
      </c>
      <c r="AS1" s="75" t="s">
        <v>547</v>
      </c>
      <c r="AT1" s="75" t="s">
        <v>548</v>
      </c>
      <c r="AU1" s="75" t="s">
        <v>549</v>
      </c>
      <c r="AV1" s="75" t="s">
        <v>550</v>
      </c>
      <c r="AW1" s="75" t="s">
        <v>551</v>
      </c>
      <c r="AX1" s="75" t="s">
        <v>552</v>
      </c>
      <c r="AY1" s="75" t="s">
        <v>553</v>
      </c>
      <c r="AZ1" s="75" t="s">
        <v>554</v>
      </c>
      <c r="BA1" s="75" t="s">
        <v>555</v>
      </c>
      <c r="BB1" s="75" t="s">
        <v>556</v>
      </c>
      <c r="BC1" s="75" t="s">
        <v>557</v>
      </c>
      <c r="BD1" s="75" t="s">
        <v>558</v>
      </c>
      <c r="BE1" s="75" t="s">
        <v>559</v>
      </c>
      <c r="BF1" s="75" t="s">
        <v>560</v>
      </c>
      <c r="BG1" s="75" t="s">
        <v>561</v>
      </c>
      <c r="BH1" s="75" t="s">
        <v>562</v>
      </c>
      <c r="BI1" s="75" t="s">
        <v>563</v>
      </c>
      <c r="BJ1" s="75" t="s">
        <v>564</v>
      </c>
      <c r="BK1" s="79"/>
      <c r="BL1" s="82"/>
    </row>
    <row r="2" spans="1:64" ht="13.5" x14ac:dyDescent="0.25">
      <c r="A2" s="78"/>
      <c r="B2" s="81"/>
      <c r="C2" s="83" t="s">
        <v>351</v>
      </c>
      <c r="D2" s="81"/>
      <c r="E2" s="80" t="s">
        <v>352</v>
      </c>
      <c r="F2" s="80" t="s">
        <v>353</v>
      </c>
      <c r="G2" s="80" t="s">
        <v>354</v>
      </c>
      <c r="H2" s="80" t="s">
        <v>355</v>
      </c>
      <c r="I2" s="80" t="s">
        <v>356</v>
      </c>
      <c r="J2" s="80" t="s">
        <v>357</v>
      </c>
      <c r="K2" s="80" t="s">
        <v>358</v>
      </c>
      <c r="L2" s="80" t="s">
        <v>359</v>
      </c>
      <c r="M2" s="80" t="s">
        <v>360</v>
      </c>
      <c r="N2" s="80" t="s">
        <v>361</v>
      </c>
      <c r="O2" s="80" t="s">
        <v>362</v>
      </c>
      <c r="P2" s="80" t="s">
        <v>363</v>
      </c>
      <c r="Q2" s="80" t="s">
        <v>364</v>
      </c>
      <c r="R2" s="80" t="s">
        <v>365</v>
      </c>
      <c r="S2" s="80" t="s">
        <v>366</v>
      </c>
      <c r="T2" s="80" t="s">
        <v>367</v>
      </c>
      <c r="U2" s="80" t="s">
        <v>368</v>
      </c>
      <c r="V2" s="80" t="s">
        <v>369</v>
      </c>
      <c r="W2" s="80" t="s">
        <v>370</v>
      </c>
      <c r="X2" s="80" t="s">
        <v>371</v>
      </c>
      <c r="Y2" s="80" t="s">
        <v>372</v>
      </c>
      <c r="Z2" s="80" t="s">
        <v>373</v>
      </c>
      <c r="AA2" s="80" t="s">
        <v>374</v>
      </c>
      <c r="AB2" s="80" t="s">
        <v>375</v>
      </c>
      <c r="AC2" s="80" t="s">
        <v>376</v>
      </c>
      <c r="AD2" s="80" t="s">
        <v>377</v>
      </c>
      <c r="AE2" s="80" t="s">
        <v>378</v>
      </c>
      <c r="AF2" s="80" t="s">
        <v>379</v>
      </c>
      <c r="AG2" s="80" t="s">
        <v>380</v>
      </c>
      <c r="AH2" s="80" t="s">
        <v>381</v>
      </c>
      <c r="AI2" s="80" t="s">
        <v>382</v>
      </c>
      <c r="AJ2" s="80" t="s">
        <v>383</v>
      </c>
      <c r="AK2" s="80" t="s">
        <v>384</v>
      </c>
      <c r="AL2" s="80" t="s">
        <v>385</v>
      </c>
      <c r="AM2" s="80" t="s">
        <v>386</v>
      </c>
      <c r="AN2" s="80" t="s">
        <v>387</v>
      </c>
      <c r="AO2" s="80" t="s">
        <v>388</v>
      </c>
      <c r="AP2" s="80" t="s">
        <v>389</v>
      </c>
      <c r="AQ2" s="80" t="s">
        <v>390</v>
      </c>
      <c r="AR2" s="80" t="s">
        <v>391</v>
      </c>
      <c r="AS2" s="80" t="s">
        <v>392</v>
      </c>
      <c r="AT2" s="80" t="s">
        <v>393</v>
      </c>
      <c r="AU2" s="80" t="s">
        <v>394</v>
      </c>
      <c r="AV2" s="80" t="s">
        <v>395</v>
      </c>
      <c r="AW2" s="80" t="s">
        <v>396</v>
      </c>
      <c r="AX2" s="80" t="s">
        <v>397</v>
      </c>
      <c r="AY2" s="80" t="s">
        <v>398</v>
      </c>
      <c r="AZ2" s="80" t="s">
        <v>399</v>
      </c>
      <c r="BA2" s="80" t="s">
        <v>400</v>
      </c>
      <c r="BB2" s="80" t="s">
        <v>401</v>
      </c>
      <c r="BC2" s="80" t="s">
        <v>402</v>
      </c>
      <c r="BD2" s="80" t="s">
        <v>403</v>
      </c>
      <c r="BE2" s="80" t="s">
        <v>404</v>
      </c>
      <c r="BF2" s="80" t="s">
        <v>405</v>
      </c>
      <c r="BG2" s="80" t="s">
        <v>406</v>
      </c>
      <c r="BH2" s="80" t="s">
        <v>407</v>
      </c>
      <c r="BI2" s="80" t="s">
        <v>408</v>
      </c>
      <c r="BJ2" s="80" t="s">
        <v>409</v>
      </c>
      <c r="BK2" s="81"/>
      <c r="BL2" s="84"/>
    </row>
    <row r="3" spans="1:64" ht="13.5" x14ac:dyDescent="0.25">
      <c r="A3" s="78"/>
      <c r="B3" s="81"/>
      <c r="C3" s="105" t="s">
        <v>500</v>
      </c>
      <c r="D3" s="85"/>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4"/>
    </row>
    <row r="4" spans="1:64" ht="13.5" x14ac:dyDescent="0.25">
      <c r="A4" s="78"/>
      <c r="B4" s="81"/>
      <c r="C4" s="86" t="s">
        <v>410</v>
      </c>
      <c r="D4" s="85"/>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4"/>
    </row>
    <row r="5" spans="1:64" ht="13.5" x14ac:dyDescent="0.25">
      <c r="A5" s="78"/>
      <c r="B5" s="81"/>
      <c r="C5" s="87" t="s">
        <v>411</v>
      </c>
      <c r="D5" s="85"/>
      <c r="E5" s="81"/>
      <c r="F5" s="81"/>
      <c r="G5" s="81"/>
      <c r="H5" s="81"/>
      <c r="I5" s="81"/>
      <c r="J5" s="81"/>
      <c r="K5" s="81"/>
      <c r="L5" s="81"/>
      <c r="M5" s="81"/>
      <c r="N5" s="81"/>
      <c r="O5" s="81"/>
      <c r="P5" s="81" t="s">
        <v>412</v>
      </c>
      <c r="Q5" s="81" t="s">
        <v>412</v>
      </c>
      <c r="R5" s="81"/>
      <c r="S5" s="81"/>
      <c r="T5" s="81" t="s">
        <v>413</v>
      </c>
      <c r="U5" s="81"/>
      <c r="V5" s="81" t="s">
        <v>414</v>
      </c>
      <c r="W5" s="81"/>
      <c r="X5" s="81"/>
      <c r="Y5" s="81"/>
      <c r="Z5" s="81"/>
      <c r="AA5" s="81"/>
      <c r="AB5" s="81"/>
      <c r="AC5" s="81"/>
      <c r="AD5" s="81"/>
      <c r="AE5" s="81"/>
      <c r="AF5" s="81"/>
      <c r="AG5" s="81"/>
      <c r="AH5" s="81"/>
      <c r="AI5" s="81"/>
      <c r="AJ5" s="81"/>
      <c r="AK5" s="81"/>
      <c r="AL5" s="81"/>
      <c r="AM5" s="81"/>
      <c r="AN5" s="81"/>
      <c r="AO5" s="81"/>
      <c r="AP5" s="81"/>
      <c r="AQ5" s="81"/>
      <c r="AR5" s="81"/>
      <c r="AS5" s="81"/>
      <c r="AT5" s="81" t="s">
        <v>415</v>
      </c>
      <c r="AU5" s="81"/>
      <c r="AV5" s="81"/>
      <c r="AW5" s="81" t="s">
        <v>416</v>
      </c>
      <c r="AX5" s="81"/>
      <c r="AY5" s="81"/>
      <c r="AZ5" s="81"/>
      <c r="BA5" s="81"/>
      <c r="BB5" s="81"/>
      <c r="BC5" s="81"/>
      <c r="BD5" s="81"/>
      <c r="BE5" s="81" t="s">
        <v>417</v>
      </c>
      <c r="BF5" s="81"/>
      <c r="BG5" s="81"/>
      <c r="BH5" s="81"/>
      <c r="BI5" s="81"/>
      <c r="BJ5" s="81"/>
      <c r="BK5" s="81"/>
      <c r="BL5" s="84" t="s">
        <v>418</v>
      </c>
    </row>
    <row r="6" spans="1:64" ht="13.5" x14ac:dyDescent="0.25">
      <c r="A6" s="78"/>
      <c r="B6" s="81"/>
      <c r="C6" s="111" t="s">
        <v>215</v>
      </c>
      <c r="D6" s="81"/>
      <c r="E6" s="88" t="s">
        <v>419</v>
      </c>
      <c r="F6" s="88" t="s">
        <v>420</v>
      </c>
      <c r="G6" s="88" t="s">
        <v>421</v>
      </c>
      <c r="H6" s="88" t="s">
        <v>422</v>
      </c>
      <c r="I6" s="88" t="s">
        <v>423</v>
      </c>
      <c r="J6" s="88" t="s">
        <v>424</v>
      </c>
      <c r="K6" s="88" t="s">
        <v>425</v>
      </c>
      <c r="L6" s="88" t="s">
        <v>426</v>
      </c>
      <c r="M6" s="88" t="s">
        <v>427</v>
      </c>
      <c r="N6" s="88" t="s">
        <v>428</v>
      </c>
      <c r="O6" s="88" t="s">
        <v>429</v>
      </c>
      <c r="P6" s="88" t="s">
        <v>430</v>
      </c>
      <c r="Q6" s="88" t="s">
        <v>431</v>
      </c>
      <c r="R6" s="88" t="s">
        <v>432</v>
      </c>
      <c r="S6" s="88" t="s">
        <v>433</v>
      </c>
      <c r="T6" s="88" t="s">
        <v>434</v>
      </c>
      <c r="U6" s="88" t="s">
        <v>435</v>
      </c>
      <c r="V6" s="88" t="s">
        <v>436</v>
      </c>
      <c r="W6" s="88" t="s">
        <v>437</v>
      </c>
      <c r="X6" s="88" t="s">
        <v>438</v>
      </c>
      <c r="Y6" s="88" t="s">
        <v>439</v>
      </c>
      <c r="Z6" s="88" t="s">
        <v>440</v>
      </c>
      <c r="AA6" s="88" t="s">
        <v>441</v>
      </c>
      <c r="AB6" s="88" t="s">
        <v>442</v>
      </c>
      <c r="AC6" s="88" t="s">
        <v>443</v>
      </c>
      <c r="AD6" s="88" t="s">
        <v>444</v>
      </c>
      <c r="AE6" s="88" t="s">
        <v>445</v>
      </c>
      <c r="AF6" s="88" t="s">
        <v>446</v>
      </c>
      <c r="AG6" s="88" t="s">
        <v>447</v>
      </c>
      <c r="AH6" s="88" t="s">
        <v>448</v>
      </c>
      <c r="AI6" s="88" t="s">
        <v>449</v>
      </c>
      <c r="AJ6" s="88" t="s">
        <v>450</v>
      </c>
      <c r="AK6" s="88" t="s">
        <v>451</v>
      </c>
      <c r="AL6" s="88" t="s">
        <v>452</v>
      </c>
      <c r="AM6" s="88" t="s">
        <v>453</v>
      </c>
      <c r="AN6" s="88" t="s">
        <v>454</v>
      </c>
      <c r="AO6" s="88" t="s">
        <v>455</v>
      </c>
      <c r="AP6" s="88" t="s">
        <v>431</v>
      </c>
      <c r="AQ6" s="88" t="s">
        <v>456</v>
      </c>
      <c r="AR6" s="88" t="s">
        <v>457</v>
      </c>
      <c r="AS6" s="88" t="s">
        <v>458</v>
      </c>
      <c r="AT6" s="88" t="s">
        <v>459</v>
      </c>
      <c r="AU6" s="88" t="s">
        <v>460</v>
      </c>
      <c r="AV6" s="88" t="s">
        <v>461</v>
      </c>
      <c r="AW6" s="88" t="s">
        <v>462</v>
      </c>
      <c r="AX6" s="88" t="s">
        <v>463</v>
      </c>
      <c r="AY6" s="88" t="s">
        <v>464</v>
      </c>
      <c r="AZ6" s="88" t="s">
        <v>465</v>
      </c>
      <c r="BA6" s="88" t="s">
        <v>466</v>
      </c>
      <c r="BB6" s="88" t="s">
        <v>467</v>
      </c>
      <c r="BC6" s="88" t="s">
        <v>468</v>
      </c>
      <c r="BD6" s="88" t="s">
        <v>469</v>
      </c>
      <c r="BE6" s="88" t="s">
        <v>470</v>
      </c>
      <c r="BF6" s="88" t="s">
        <v>471</v>
      </c>
      <c r="BG6" s="88" t="s">
        <v>472</v>
      </c>
      <c r="BH6" s="88" t="s">
        <v>473</v>
      </c>
      <c r="BI6" s="88" t="s">
        <v>474</v>
      </c>
      <c r="BJ6" s="88" t="s">
        <v>475</v>
      </c>
      <c r="BK6" s="88"/>
      <c r="BL6" s="89" t="s">
        <v>476</v>
      </c>
    </row>
    <row r="7" spans="1:64" ht="13.5" x14ac:dyDescent="0.25">
      <c r="A7" s="78">
        <v>3240</v>
      </c>
      <c r="B7" s="196">
        <v>100</v>
      </c>
      <c r="C7" s="197" t="s">
        <v>41</v>
      </c>
      <c r="D7" s="81"/>
      <c r="E7" s="137">
        <v>2492717</v>
      </c>
      <c r="F7" s="137">
        <v>2151758</v>
      </c>
      <c r="G7" s="137">
        <v>3057442</v>
      </c>
      <c r="H7" s="137">
        <v>0</v>
      </c>
      <c r="I7" s="137">
        <v>317356</v>
      </c>
      <c r="J7" s="137">
        <v>437788</v>
      </c>
      <c r="K7" s="137">
        <v>857960</v>
      </c>
      <c r="L7" s="137">
        <v>2387651</v>
      </c>
      <c r="M7" s="137">
        <v>3534345</v>
      </c>
      <c r="N7" s="137">
        <v>531227</v>
      </c>
      <c r="O7" s="137">
        <v>3525258</v>
      </c>
      <c r="P7" s="137">
        <v>2628821</v>
      </c>
      <c r="Q7" s="137">
        <v>13767176</v>
      </c>
      <c r="R7" s="137">
        <v>378212</v>
      </c>
      <c r="S7" s="137">
        <v>0</v>
      </c>
      <c r="T7" s="137">
        <v>1097975</v>
      </c>
      <c r="U7" s="137">
        <v>0</v>
      </c>
      <c r="V7" s="137">
        <v>2386402</v>
      </c>
      <c r="W7" s="137">
        <v>2818140</v>
      </c>
      <c r="X7" s="137">
        <v>135423</v>
      </c>
      <c r="Y7" s="137">
        <v>0</v>
      </c>
      <c r="Z7" s="137">
        <v>3756575</v>
      </c>
      <c r="AA7" s="137">
        <v>13886</v>
      </c>
      <c r="AB7" s="137">
        <v>75000</v>
      </c>
      <c r="AC7" s="137">
        <v>0</v>
      </c>
      <c r="AD7" s="137">
        <v>0</v>
      </c>
      <c r="AE7" s="137">
        <v>191659</v>
      </c>
      <c r="AF7" s="137">
        <v>479870</v>
      </c>
      <c r="AG7" s="137">
        <v>1974680</v>
      </c>
      <c r="AH7" s="137">
        <v>4007921</v>
      </c>
      <c r="AI7" s="137">
        <v>342687</v>
      </c>
      <c r="AJ7" s="137">
        <v>3315110</v>
      </c>
      <c r="AK7" s="137">
        <v>0</v>
      </c>
      <c r="AL7" s="137">
        <v>0</v>
      </c>
      <c r="AM7" s="137">
        <v>379570</v>
      </c>
      <c r="AN7" s="137">
        <v>231399</v>
      </c>
      <c r="AO7" s="137">
        <v>0</v>
      </c>
      <c r="AP7" s="137">
        <v>301188</v>
      </c>
      <c r="AQ7" s="137">
        <v>1511405</v>
      </c>
      <c r="AR7" s="137">
        <v>1245677</v>
      </c>
      <c r="AS7" s="137">
        <v>1384225</v>
      </c>
      <c r="AT7" s="137">
        <v>0</v>
      </c>
      <c r="AU7" s="137">
        <v>748412</v>
      </c>
      <c r="AV7" s="137">
        <v>813309</v>
      </c>
      <c r="AW7" s="137">
        <v>2366546</v>
      </c>
      <c r="AX7" s="137">
        <v>560495</v>
      </c>
      <c r="AY7" s="137">
        <v>0</v>
      </c>
      <c r="AZ7" s="137">
        <v>20358</v>
      </c>
      <c r="BA7" s="137">
        <v>741276</v>
      </c>
      <c r="BB7" s="137">
        <v>342953</v>
      </c>
      <c r="BC7" s="137">
        <v>1130906</v>
      </c>
      <c r="BD7" s="137">
        <v>114222</v>
      </c>
      <c r="BE7" s="137">
        <v>725856</v>
      </c>
      <c r="BF7" s="137">
        <v>0</v>
      </c>
      <c r="BG7" s="137">
        <v>1605497</v>
      </c>
      <c r="BH7" s="137">
        <v>326547</v>
      </c>
      <c r="BI7" s="137">
        <v>2107766</v>
      </c>
      <c r="BJ7" s="137">
        <v>378982</v>
      </c>
      <c r="BK7" s="81"/>
      <c r="BL7" s="79">
        <f t="shared" ref="BL7:BL16" si="0">SUM(E7:BK7)</f>
        <v>73699628</v>
      </c>
    </row>
    <row r="8" spans="1:64" ht="13.5" x14ac:dyDescent="0.25">
      <c r="A8" s="78">
        <v>3250</v>
      </c>
      <c r="B8" s="196">
        <v>105</v>
      </c>
      <c r="C8" s="197" t="s">
        <v>43</v>
      </c>
      <c r="D8" s="90"/>
      <c r="E8" s="137">
        <v>9081869</v>
      </c>
      <c r="F8" s="137">
        <v>0</v>
      </c>
      <c r="G8" s="137">
        <v>1780922</v>
      </c>
      <c r="H8" s="137">
        <v>0</v>
      </c>
      <c r="I8" s="137">
        <v>0</v>
      </c>
      <c r="J8" s="137">
        <v>2710427</v>
      </c>
      <c r="K8" s="137">
        <v>5800404</v>
      </c>
      <c r="L8" s="137">
        <v>350000</v>
      </c>
      <c r="M8" s="137">
        <v>469429</v>
      </c>
      <c r="N8" s="137">
        <v>920285</v>
      </c>
      <c r="O8" s="137">
        <v>589675</v>
      </c>
      <c r="P8" s="137">
        <v>10563171</v>
      </c>
      <c r="Q8" s="137">
        <v>9027820</v>
      </c>
      <c r="R8" s="137">
        <v>3110541</v>
      </c>
      <c r="S8" s="137">
        <v>0</v>
      </c>
      <c r="T8" s="137">
        <v>2919036</v>
      </c>
      <c r="U8" s="137">
        <v>0</v>
      </c>
      <c r="V8" s="137">
        <v>5610494</v>
      </c>
      <c r="W8" s="137">
        <v>0</v>
      </c>
      <c r="X8" s="137">
        <v>87150</v>
      </c>
      <c r="Y8" s="137">
        <v>0</v>
      </c>
      <c r="Z8" s="137">
        <v>2655475</v>
      </c>
      <c r="AA8" s="137">
        <v>0</v>
      </c>
      <c r="AB8" s="137">
        <v>7630558</v>
      </c>
      <c r="AC8" s="137">
        <v>0</v>
      </c>
      <c r="AD8" s="137">
        <v>0</v>
      </c>
      <c r="AE8" s="137">
        <v>612807</v>
      </c>
      <c r="AF8" s="137">
        <v>190797</v>
      </c>
      <c r="AG8" s="137">
        <v>0</v>
      </c>
      <c r="AH8" s="137">
        <v>0</v>
      </c>
      <c r="AI8" s="137">
        <v>0</v>
      </c>
      <c r="AJ8" s="137">
        <v>0</v>
      </c>
      <c r="AK8" s="137">
        <v>0</v>
      </c>
      <c r="AL8" s="137">
        <v>0</v>
      </c>
      <c r="AM8" s="137">
        <v>0</v>
      </c>
      <c r="AN8" s="137">
        <v>99317</v>
      </c>
      <c r="AO8" s="137">
        <v>0</v>
      </c>
      <c r="AP8" s="137">
        <v>0</v>
      </c>
      <c r="AQ8" s="137">
        <v>0</v>
      </c>
      <c r="AR8" s="137">
        <v>1622079</v>
      </c>
      <c r="AS8" s="137">
        <v>1925065</v>
      </c>
      <c r="AT8" s="137">
        <v>0</v>
      </c>
      <c r="AU8" s="137">
        <v>496762</v>
      </c>
      <c r="AV8" s="137">
        <v>8218237</v>
      </c>
      <c r="AW8" s="137">
        <v>4056959</v>
      </c>
      <c r="AX8" s="137">
        <v>803467</v>
      </c>
      <c r="AY8" s="137">
        <v>0</v>
      </c>
      <c r="AZ8" s="137">
        <v>3751603</v>
      </c>
      <c r="BA8" s="137">
        <v>0</v>
      </c>
      <c r="BB8" s="137">
        <v>2135525</v>
      </c>
      <c r="BC8" s="137">
        <v>50618</v>
      </c>
      <c r="BD8" s="137">
        <v>0</v>
      </c>
      <c r="BE8" s="137">
        <v>8943462</v>
      </c>
      <c r="BF8" s="137">
        <v>0</v>
      </c>
      <c r="BG8" s="137">
        <v>1903816</v>
      </c>
      <c r="BH8" s="137">
        <v>0</v>
      </c>
      <c r="BI8" s="137">
        <v>3123809</v>
      </c>
      <c r="BJ8" s="137">
        <v>3128821</v>
      </c>
      <c r="BK8" s="91"/>
      <c r="BL8" s="79">
        <f t="shared" si="0"/>
        <v>104370400</v>
      </c>
    </row>
    <row r="9" spans="1:64" ht="13.5" x14ac:dyDescent="0.25">
      <c r="A9" s="78">
        <v>3270</v>
      </c>
      <c r="B9" s="196">
        <v>110</v>
      </c>
      <c r="C9" s="197" t="s">
        <v>50</v>
      </c>
      <c r="D9" s="90"/>
      <c r="E9" s="137">
        <v>137734</v>
      </c>
      <c r="F9" s="137">
        <v>19799</v>
      </c>
      <c r="G9" s="137">
        <v>2457543</v>
      </c>
      <c r="H9" s="137">
        <v>0</v>
      </c>
      <c r="I9" s="137">
        <v>0</v>
      </c>
      <c r="J9" s="137">
        <v>25958</v>
      </c>
      <c r="K9" s="137">
        <v>0</v>
      </c>
      <c r="L9" s="137">
        <v>17802</v>
      </c>
      <c r="M9" s="137">
        <v>299883</v>
      </c>
      <c r="N9" s="137">
        <v>377918</v>
      </c>
      <c r="O9" s="137">
        <v>345398</v>
      </c>
      <c r="P9" s="137">
        <v>2132</v>
      </c>
      <c r="Q9" s="137">
        <v>17526601</v>
      </c>
      <c r="R9" s="137">
        <v>48776</v>
      </c>
      <c r="S9" s="137">
        <v>0</v>
      </c>
      <c r="T9" s="137">
        <v>291293</v>
      </c>
      <c r="U9" s="137">
        <v>0</v>
      </c>
      <c r="V9" s="137">
        <v>133690</v>
      </c>
      <c r="W9" s="137">
        <v>5005114</v>
      </c>
      <c r="X9" s="137">
        <v>901312</v>
      </c>
      <c r="Y9" s="137">
        <v>0</v>
      </c>
      <c r="Z9" s="137">
        <v>47578</v>
      </c>
      <c r="AA9" s="137">
        <v>0</v>
      </c>
      <c r="AB9" s="137">
        <v>235078</v>
      </c>
      <c r="AC9" s="137">
        <v>0</v>
      </c>
      <c r="AD9" s="137">
        <v>0</v>
      </c>
      <c r="AE9" s="137">
        <v>0</v>
      </c>
      <c r="AF9" s="137">
        <v>490</v>
      </c>
      <c r="AG9" s="137">
        <v>1526480</v>
      </c>
      <c r="AH9" s="137">
        <v>260422</v>
      </c>
      <c r="AI9" s="137">
        <v>0</v>
      </c>
      <c r="AJ9" s="137">
        <v>2000</v>
      </c>
      <c r="AK9" s="137">
        <v>0</v>
      </c>
      <c r="AL9" s="137">
        <v>0</v>
      </c>
      <c r="AM9" s="137">
        <v>6825</v>
      </c>
      <c r="AN9" s="137">
        <v>395370</v>
      </c>
      <c r="AO9" s="137">
        <v>0</v>
      </c>
      <c r="AP9" s="137">
        <v>0</v>
      </c>
      <c r="AQ9" s="137">
        <v>1131667</v>
      </c>
      <c r="AR9" s="137">
        <v>3636</v>
      </c>
      <c r="AS9" s="137">
        <v>26424</v>
      </c>
      <c r="AT9" s="137">
        <v>0</v>
      </c>
      <c r="AU9" s="137">
        <v>0</v>
      </c>
      <c r="AV9" s="137">
        <v>4510</v>
      </c>
      <c r="AW9" s="137">
        <v>42791</v>
      </c>
      <c r="AX9" s="137">
        <v>0</v>
      </c>
      <c r="AY9" s="137">
        <v>0</v>
      </c>
      <c r="AZ9" s="137">
        <v>0</v>
      </c>
      <c r="BA9" s="137">
        <v>38046</v>
      </c>
      <c r="BB9" s="137">
        <v>0</v>
      </c>
      <c r="BC9" s="137">
        <v>0</v>
      </c>
      <c r="BD9" s="137">
        <v>41647</v>
      </c>
      <c r="BE9" s="137">
        <v>408</v>
      </c>
      <c r="BF9" s="137">
        <v>0</v>
      </c>
      <c r="BG9" s="137">
        <v>802282</v>
      </c>
      <c r="BH9" s="137">
        <v>0</v>
      </c>
      <c r="BI9" s="137">
        <v>255323</v>
      </c>
      <c r="BJ9" s="137">
        <v>0</v>
      </c>
      <c r="BK9" s="91"/>
      <c r="BL9" s="79">
        <f t="shared" si="0"/>
        <v>32411930</v>
      </c>
    </row>
    <row r="10" spans="1:64" ht="13.5" x14ac:dyDescent="0.25">
      <c r="A10" s="78">
        <v>3310</v>
      </c>
      <c r="B10" s="196">
        <v>115</v>
      </c>
      <c r="C10" s="197" t="s">
        <v>52</v>
      </c>
      <c r="D10" s="92"/>
      <c r="E10" s="137">
        <v>0</v>
      </c>
      <c r="F10" s="137">
        <v>2866</v>
      </c>
      <c r="G10" s="137">
        <v>0</v>
      </c>
      <c r="H10" s="137">
        <v>0</v>
      </c>
      <c r="I10" s="137">
        <v>0</v>
      </c>
      <c r="J10" s="137">
        <v>0</v>
      </c>
      <c r="K10" s="137">
        <v>0</v>
      </c>
      <c r="L10" s="137">
        <v>0</v>
      </c>
      <c r="M10" s="137">
        <v>0</v>
      </c>
      <c r="N10" s="137">
        <v>56889</v>
      </c>
      <c r="O10" s="137">
        <v>0</v>
      </c>
      <c r="P10" s="137">
        <v>0</v>
      </c>
      <c r="Q10" s="137">
        <v>0</v>
      </c>
      <c r="R10" s="137">
        <v>0</v>
      </c>
      <c r="S10" s="137">
        <v>0</v>
      </c>
      <c r="T10" s="137">
        <v>0</v>
      </c>
      <c r="U10" s="137">
        <v>0</v>
      </c>
      <c r="V10" s="137">
        <v>0</v>
      </c>
      <c r="W10" s="137">
        <v>0</v>
      </c>
      <c r="X10" s="137">
        <v>0</v>
      </c>
      <c r="Y10" s="137">
        <v>0</v>
      </c>
      <c r="Z10" s="137">
        <v>0</v>
      </c>
      <c r="AA10" s="137">
        <v>0</v>
      </c>
      <c r="AB10" s="137">
        <v>7664</v>
      </c>
      <c r="AC10" s="137">
        <v>0</v>
      </c>
      <c r="AD10" s="137">
        <v>0</v>
      </c>
      <c r="AE10" s="137">
        <v>0</v>
      </c>
      <c r="AF10" s="137">
        <v>0</v>
      </c>
      <c r="AG10" s="137">
        <v>0</v>
      </c>
      <c r="AH10" s="137">
        <v>19149</v>
      </c>
      <c r="AI10" s="137">
        <v>0</v>
      </c>
      <c r="AJ10" s="137">
        <v>0</v>
      </c>
      <c r="AK10" s="137">
        <v>0</v>
      </c>
      <c r="AL10" s="137">
        <v>0</v>
      </c>
      <c r="AM10" s="137">
        <v>0</v>
      </c>
      <c r="AN10" s="137">
        <v>0</v>
      </c>
      <c r="AO10" s="137">
        <v>0</v>
      </c>
      <c r="AP10" s="137">
        <v>0</v>
      </c>
      <c r="AQ10" s="137">
        <v>0</v>
      </c>
      <c r="AR10" s="137">
        <v>0</v>
      </c>
      <c r="AS10" s="137">
        <v>0</v>
      </c>
      <c r="AT10" s="137">
        <v>0</v>
      </c>
      <c r="AU10" s="137">
        <v>0</v>
      </c>
      <c r="AV10" s="137">
        <v>0</v>
      </c>
      <c r="AW10" s="137">
        <v>0</v>
      </c>
      <c r="AX10" s="137">
        <v>0</v>
      </c>
      <c r="AY10" s="137">
        <v>0</v>
      </c>
      <c r="AZ10" s="137">
        <v>0</v>
      </c>
      <c r="BA10" s="137">
        <v>0</v>
      </c>
      <c r="BB10" s="137">
        <v>0</v>
      </c>
      <c r="BC10" s="137">
        <v>0</v>
      </c>
      <c r="BD10" s="137">
        <v>0</v>
      </c>
      <c r="BE10" s="137">
        <v>0</v>
      </c>
      <c r="BF10" s="137">
        <v>0</v>
      </c>
      <c r="BG10" s="137">
        <v>0</v>
      </c>
      <c r="BH10" s="137">
        <v>0</v>
      </c>
      <c r="BI10" s="137">
        <v>21934</v>
      </c>
      <c r="BJ10" s="137">
        <v>0</v>
      </c>
      <c r="BK10" s="91"/>
      <c r="BL10" s="79">
        <f t="shared" si="0"/>
        <v>108502</v>
      </c>
    </row>
    <row r="11" spans="1:64" ht="13.5" x14ac:dyDescent="0.25">
      <c r="A11" s="78">
        <v>3320</v>
      </c>
      <c r="B11" s="196">
        <v>120</v>
      </c>
      <c r="C11" s="197" t="s">
        <v>216</v>
      </c>
      <c r="D11" s="93"/>
      <c r="E11" s="137">
        <v>0</v>
      </c>
      <c r="F11" s="137">
        <v>0</v>
      </c>
      <c r="G11" s="137">
        <v>26860</v>
      </c>
      <c r="H11" s="137">
        <v>0</v>
      </c>
      <c r="I11" s="137">
        <v>0</v>
      </c>
      <c r="J11" s="137">
        <v>3481</v>
      </c>
      <c r="K11" s="137">
        <v>0</v>
      </c>
      <c r="L11" s="137">
        <v>0</v>
      </c>
      <c r="M11" s="137">
        <v>20326</v>
      </c>
      <c r="N11" s="137">
        <v>0</v>
      </c>
      <c r="O11" s="137">
        <v>0</v>
      </c>
      <c r="P11" s="137">
        <v>0</v>
      </c>
      <c r="Q11" s="137">
        <v>38771</v>
      </c>
      <c r="R11" s="137">
        <v>0</v>
      </c>
      <c r="S11" s="137">
        <v>0</v>
      </c>
      <c r="T11" s="137">
        <v>0</v>
      </c>
      <c r="U11" s="137">
        <v>0</v>
      </c>
      <c r="V11" s="137">
        <v>0</v>
      </c>
      <c r="W11" s="137">
        <v>0</v>
      </c>
      <c r="X11" s="137">
        <v>0</v>
      </c>
      <c r="Y11" s="137">
        <v>0</v>
      </c>
      <c r="Z11" s="137">
        <v>1741</v>
      </c>
      <c r="AA11" s="137">
        <v>0</v>
      </c>
      <c r="AB11" s="137">
        <v>285</v>
      </c>
      <c r="AC11" s="137">
        <v>0</v>
      </c>
      <c r="AD11" s="137">
        <v>0</v>
      </c>
      <c r="AE11" s="137">
        <v>0</v>
      </c>
      <c r="AF11" s="137">
        <v>0</v>
      </c>
      <c r="AG11" s="137">
        <v>0</v>
      </c>
      <c r="AH11" s="137">
        <v>0</v>
      </c>
      <c r="AI11" s="137">
        <v>1698</v>
      </c>
      <c r="AJ11" s="137">
        <v>0</v>
      </c>
      <c r="AK11" s="137">
        <v>0</v>
      </c>
      <c r="AL11" s="137">
        <v>0</v>
      </c>
      <c r="AM11" s="137">
        <v>0</v>
      </c>
      <c r="AN11" s="137">
        <v>0</v>
      </c>
      <c r="AO11" s="137">
        <v>0</v>
      </c>
      <c r="AP11" s="137">
        <v>0</v>
      </c>
      <c r="AQ11" s="137">
        <v>0</v>
      </c>
      <c r="AR11" s="137">
        <v>0</v>
      </c>
      <c r="AS11" s="137">
        <v>5495</v>
      </c>
      <c r="AT11" s="137">
        <v>0</v>
      </c>
      <c r="AU11" s="137">
        <v>0</v>
      </c>
      <c r="AV11" s="137">
        <v>0</v>
      </c>
      <c r="AW11" s="137">
        <v>0</v>
      </c>
      <c r="AX11" s="137">
        <v>0</v>
      </c>
      <c r="AY11" s="137">
        <v>0</v>
      </c>
      <c r="AZ11" s="137">
        <v>0</v>
      </c>
      <c r="BA11" s="137">
        <v>0</v>
      </c>
      <c r="BB11" s="137">
        <v>0</v>
      </c>
      <c r="BC11" s="137">
        <v>3647</v>
      </c>
      <c r="BD11" s="137">
        <v>0</v>
      </c>
      <c r="BE11" s="137">
        <v>0</v>
      </c>
      <c r="BF11" s="137">
        <v>0</v>
      </c>
      <c r="BG11" s="137">
        <v>0</v>
      </c>
      <c r="BH11" s="137">
        <v>0</v>
      </c>
      <c r="BI11" s="137">
        <v>21100</v>
      </c>
      <c r="BJ11" s="137">
        <v>0</v>
      </c>
      <c r="BK11" s="91"/>
      <c r="BL11" s="79">
        <f t="shared" si="0"/>
        <v>123404</v>
      </c>
    </row>
    <row r="12" spans="1:64" ht="13.5" x14ac:dyDescent="0.25">
      <c r="A12" s="78">
        <v>3340</v>
      </c>
      <c r="B12" s="196">
        <v>125</v>
      </c>
      <c r="C12" s="197" t="s">
        <v>217</v>
      </c>
      <c r="D12" s="94"/>
      <c r="E12" s="137">
        <v>0</v>
      </c>
      <c r="F12" s="137">
        <v>0</v>
      </c>
      <c r="G12" s="137">
        <v>0</v>
      </c>
      <c r="H12" s="137">
        <v>0</v>
      </c>
      <c r="I12" s="137">
        <v>0</v>
      </c>
      <c r="J12" s="137">
        <v>0</v>
      </c>
      <c r="K12" s="137">
        <v>-1766</v>
      </c>
      <c r="L12" s="137">
        <v>0</v>
      </c>
      <c r="M12" s="137">
        <v>0</v>
      </c>
      <c r="N12" s="137">
        <v>0</v>
      </c>
      <c r="O12" s="137">
        <v>0</v>
      </c>
      <c r="P12" s="137">
        <v>0</v>
      </c>
      <c r="Q12" s="137">
        <v>0</v>
      </c>
      <c r="R12" s="137">
        <v>0</v>
      </c>
      <c r="S12" s="137">
        <v>0</v>
      </c>
      <c r="T12" s="137">
        <v>0</v>
      </c>
      <c r="U12" s="137">
        <v>0</v>
      </c>
      <c r="V12" s="137">
        <v>0</v>
      </c>
      <c r="W12" s="137">
        <v>0</v>
      </c>
      <c r="X12" s="137">
        <v>0</v>
      </c>
      <c r="Y12" s="137">
        <v>0</v>
      </c>
      <c r="Z12" s="137">
        <v>0</v>
      </c>
      <c r="AA12" s="137">
        <v>0</v>
      </c>
      <c r="AB12" s="137">
        <v>0</v>
      </c>
      <c r="AC12" s="137">
        <v>0</v>
      </c>
      <c r="AD12" s="137">
        <v>0</v>
      </c>
      <c r="AE12" s="137">
        <v>0</v>
      </c>
      <c r="AF12" s="137">
        <v>0</v>
      </c>
      <c r="AG12" s="137">
        <v>0</v>
      </c>
      <c r="AH12" s="137">
        <v>0</v>
      </c>
      <c r="AI12" s="137">
        <v>0</v>
      </c>
      <c r="AJ12" s="137">
        <v>0</v>
      </c>
      <c r="AK12" s="137">
        <v>0</v>
      </c>
      <c r="AL12" s="137">
        <v>0</v>
      </c>
      <c r="AM12" s="137">
        <v>0</v>
      </c>
      <c r="AN12" s="137">
        <v>0</v>
      </c>
      <c r="AO12" s="137">
        <v>0</v>
      </c>
      <c r="AP12" s="137">
        <v>0</v>
      </c>
      <c r="AQ12" s="137">
        <v>0</v>
      </c>
      <c r="AR12" s="137">
        <v>0</v>
      </c>
      <c r="AS12" s="137">
        <v>0</v>
      </c>
      <c r="AT12" s="137">
        <v>0</v>
      </c>
      <c r="AU12" s="137">
        <v>0</v>
      </c>
      <c r="AV12" s="137">
        <v>0</v>
      </c>
      <c r="AW12" s="137">
        <v>1000000</v>
      </c>
      <c r="AX12" s="137">
        <v>0</v>
      </c>
      <c r="AY12" s="137">
        <v>0</v>
      </c>
      <c r="AZ12" s="137">
        <v>5690</v>
      </c>
      <c r="BA12" s="137">
        <v>0</v>
      </c>
      <c r="BB12" s="137">
        <v>0</v>
      </c>
      <c r="BC12" s="137">
        <v>0</v>
      </c>
      <c r="BD12" s="137">
        <v>0</v>
      </c>
      <c r="BE12" s="137">
        <v>0</v>
      </c>
      <c r="BF12" s="137">
        <v>0</v>
      </c>
      <c r="BG12" s="137">
        <v>0</v>
      </c>
      <c r="BH12" s="137">
        <v>11290</v>
      </c>
      <c r="BI12" s="137">
        <v>0</v>
      </c>
      <c r="BJ12" s="137">
        <v>0</v>
      </c>
      <c r="BK12" s="91"/>
      <c r="BL12" s="79">
        <f t="shared" si="0"/>
        <v>1015214</v>
      </c>
    </row>
    <row r="13" spans="1:64" ht="13.5" x14ac:dyDescent="0.25">
      <c r="A13" s="78"/>
      <c r="B13" s="196">
        <v>126</v>
      </c>
      <c r="C13" s="197" t="s">
        <v>496</v>
      </c>
      <c r="D13" s="94"/>
      <c r="E13" s="137">
        <v>0</v>
      </c>
      <c r="F13" s="137">
        <v>0</v>
      </c>
      <c r="G13" s="137">
        <v>0</v>
      </c>
      <c r="H13" s="137">
        <v>0</v>
      </c>
      <c r="I13" s="137">
        <v>0</v>
      </c>
      <c r="J13" s="137">
        <v>0</v>
      </c>
      <c r="K13" s="137">
        <v>0</v>
      </c>
      <c r="L13" s="137">
        <v>0</v>
      </c>
      <c r="M13" s="137">
        <v>0</v>
      </c>
      <c r="N13" s="137">
        <v>0</v>
      </c>
      <c r="O13" s="137">
        <v>0</v>
      </c>
      <c r="P13" s="137">
        <v>0</v>
      </c>
      <c r="Q13" s="137">
        <v>0</v>
      </c>
      <c r="R13" s="137">
        <v>0</v>
      </c>
      <c r="S13" s="137">
        <v>0</v>
      </c>
      <c r="T13" s="137">
        <v>0</v>
      </c>
      <c r="U13" s="137">
        <v>0</v>
      </c>
      <c r="V13" s="137">
        <v>0</v>
      </c>
      <c r="W13" s="137">
        <v>0</v>
      </c>
      <c r="X13" s="137">
        <v>0</v>
      </c>
      <c r="Y13" s="137">
        <v>0</v>
      </c>
      <c r="Z13" s="137">
        <v>0</v>
      </c>
      <c r="AA13" s="137">
        <v>0</v>
      </c>
      <c r="AB13" s="137">
        <v>0</v>
      </c>
      <c r="AC13" s="137">
        <v>0</v>
      </c>
      <c r="AD13" s="137">
        <v>0</v>
      </c>
      <c r="AE13" s="137">
        <v>0</v>
      </c>
      <c r="AF13" s="137">
        <v>0</v>
      </c>
      <c r="AG13" s="137">
        <v>0</v>
      </c>
      <c r="AH13" s="137">
        <v>0</v>
      </c>
      <c r="AI13" s="137">
        <v>0</v>
      </c>
      <c r="AJ13" s="137">
        <v>0</v>
      </c>
      <c r="AK13" s="137">
        <v>0</v>
      </c>
      <c r="AL13" s="137">
        <v>0</v>
      </c>
      <c r="AM13" s="137">
        <v>0</v>
      </c>
      <c r="AN13" s="137">
        <v>0</v>
      </c>
      <c r="AO13" s="137">
        <v>0</v>
      </c>
      <c r="AP13" s="137">
        <v>0</v>
      </c>
      <c r="AQ13" s="137">
        <v>0</v>
      </c>
      <c r="AR13" s="137">
        <v>0</v>
      </c>
      <c r="AS13" s="137">
        <v>0</v>
      </c>
      <c r="AT13" s="137">
        <v>0</v>
      </c>
      <c r="AU13" s="137">
        <v>0</v>
      </c>
      <c r="AV13" s="137">
        <v>0</v>
      </c>
      <c r="AW13" s="137">
        <v>0</v>
      </c>
      <c r="AX13" s="137">
        <v>0</v>
      </c>
      <c r="AY13" s="137">
        <v>0</v>
      </c>
      <c r="AZ13" s="137">
        <v>0</v>
      </c>
      <c r="BA13" s="137">
        <v>0</v>
      </c>
      <c r="BB13" s="137">
        <v>0</v>
      </c>
      <c r="BC13" s="137">
        <v>0</v>
      </c>
      <c r="BD13" s="137">
        <v>0</v>
      </c>
      <c r="BE13" s="137">
        <v>0</v>
      </c>
      <c r="BF13" s="137">
        <v>0</v>
      </c>
      <c r="BG13" s="137">
        <v>0</v>
      </c>
      <c r="BH13" s="137">
        <v>0</v>
      </c>
      <c r="BI13" s="137">
        <v>0</v>
      </c>
      <c r="BJ13" s="137">
        <v>0</v>
      </c>
      <c r="BK13" s="91"/>
      <c r="BL13" s="79">
        <f t="shared" si="0"/>
        <v>0</v>
      </c>
    </row>
    <row r="14" spans="1:64" ht="13.5" x14ac:dyDescent="0.25">
      <c r="A14" s="78">
        <v>3350</v>
      </c>
      <c r="B14" s="196">
        <v>130</v>
      </c>
      <c r="C14" s="197" t="s">
        <v>219</v>
      </c>
      <c r="D14" s="94"/>
      <c r="E14" s="137">
        <v>5931257</v>
      </c>
      <c r="F14" s="137">
        <v>2887923</v>
      </c>
      <c r="G14" s="137">
        <v>8667973</v>
      </c>
      <c r="H14" s="137">
        <v>0</v>
      </c>
      <c r="I14" s="137">
        <v>1097973</v>
      </c>
      <c r="J14" s="137">
        <v>14174368</v>
      </c>
      <c r="K14" s="137">
        <v>0</v>
      </c>
      <c r="L14" s="137">
        <v>18276488</v>
      </c>
      <c r="M14" s="137">
        <v>14958555</v>
      </c>
      <c r="N14" s="137">
        <v>3780179</v>
      </c>
      <c r="O14" s="137">
        <v>5048873</v>
      </c>
      <c r="P14" s="137">
        <v>0</v>
      </c>
      <c r="Q14" s="137">
        <v>53325694</v>
      </c>
      <c r="R14" s="137">
        <v>0</v>
      </c>
      <c r="S14" s="137">
        <v>0</v>
      </c>
      <c r="T14" s="137">
        <v>6312216</v>
      </c>
      <c r="U14" s="137">
        <v>0</v>
      </c>
      <c r="V14" s="137">
        <v>14290725</v>
      </c>
      <c r="W14" s="137">
        <v>6965000</v>
      </c>
      <c r="X14" s="137">
        <v>2225916</v>
      </c>
      <c r="Y14" s="137">
        <v>0</v>
      </c>
      <c r="Z14" s="137">
        <v>8071966</v>
      </c>
      <c r="AA14" s="137">
        <v>0</v>
      </c>
      <c r="AB14" s="137">
        <v>8182459</v>
      </c>
      <c r="AC14" s="137">
        <v>0</v>
      </c>
      <c r="AD14" s="137">
        <v>0</v>
      </c>
      <c r="AE14" s="137">
        <v>2495636</v>
      </c>
      <c r="AF14" s="137">
        <v>1623110</v>
      </c>
      <c r="AG14" s="137">
        <v>9419569</v>
      </c>
      <c r="AH14" s="137">
        <v>7481105</v>
      </c>
      <c r="AI14" s="137">
        <v>0</v>
      </c>
      <c r="AJ14" s="137">
        <v>4977260</v>
      </c>
      <c r="AK14" s="137">
        <v>0</v>
      </c>
      <c r="AL14" s="137">
        <v>0</v>
      </c>
      <c r="AM14" s="137">
        <v>4012434</v>
      </c>
      <c r="AN14" s="137">
        <v>10057154</v>
      </c>
      <c r="AO14" s="137">
        <v>0</v>
      </c>
      <c r="AP14" s="137">
        <v>2245709</v>
      </c>
      <c r="AQ14" s="137">
        <v>5204624</v>
      </c>
      <c r="AR14" s="137">
        <v>11496681</v>
      </c>
      <c r="AS14" s="137">
        <v>2211902</v>
      </c>
      <c r="AT14" s="137">
        <v>0</v>
      </c>
      <c r="AU14" s="137">
        <v>2778956</v>
      </c>
      <c r="AV14" s="137">
        <v>11706151</v>
      </c>
      <c r="AW14" s="137">
        <v>0</v>
      </c>
      <c r="AX14" s="137">
        <v>3280848</v>
      </c>
      <c r="AY14" s="137">
        <v>0</v>
      </c>
      <c r="AZ14" s="137">
        <v>5309660</v>
      </c>
      <c r="BA14" s="137">
        <v>6860303</v>
      </c>
      <c r="BB14" s="137">
        <v>1268142</v>
      </c>
      <c r="BC14" s="137">
        <v>12152937</v>
      </c>
      <c r="BD14" s="137">
        <v>261671</v>
      </c>
      <c r="BE14" s="137">
        <v>0</v>
      </c>
      <c r="BF14" s="137">
        <v>0</v>
      </c>
      <c r="BG14" s="137">
        <v>6622358</v>
      </c>
      <c r="BH14" s="137">
        <v>3654837</v>
      </c>
      <c r="BI14" s="137">
        <v>7717044</v>
      </c>
      <c r="BJ14" s="137">
        <v>0</v>
      </c>
      <c r="BK14" s="91"/>
      <c r="BL14" s="79">
        <f t="shared" si="0"/>
        <v>297035656</v>
      </c>
    </row>
    <row r="15" spans="1:64" ht="13.5" x14ac:dyDescent="0.25">
      <c r="A15" s="78">
        <v>3370</v>
      </c>
      <c r="B15" s="196">
        <v>140</v>
      </c>
      <c r="C15" s="197" t="s">
        <v>220</v>
      </c>
      <c r="D15" s="90"/>
      <c r="E15" s="137">
        <v>0</v>
      </c>
      <c r="F15" s="137">
        <v>0</v>
      </c>
      <c r="G15" s="137">
        <v>0</v>
      </c>
      <c r="H15" s="137">
        <v>0</v>
      </c>
      <c r="I15" s="137">
        <v>0</v>
      </c>
      <c r="J15" s="137">
        <v>0</v>
      </c>
      <c r="K15" s="137">
        <v>0</v>
      </c>
      <c r="L15" s="137">
        <v>0</v>
      </c>
      <c r="M15" s="137">
        <v>0</v>
      </c>
      <c r="N15" s="137">
        <v>0</v>
      </c>
      <c r="O15" s="137">
        <v>0</v>
      </c>
      <c r="P15" s="137">
        <v>0</v>
      </c>
      <c r="Q15" s="137">
        <v>2884838</v>
      </c>
      <c r="R15" s="137">
        <v>165775</v>
      </c>
      <c r="S15" s="137">
        <v>0</v>
      </c>
      <c r="T15" s="137">
        <v>0</v>
      </c>
      <c r="U15" s="137">
        <v>0</v>
      </c>
      <c r="V15" s="137">
        <v>2776535</v>
      </c>
      <c r="W15" s="137">
        <v>0</v>
      </c>
      <c r="X15" s="137">
        <v>0</v>
      </c>
      <c r="Y15" s="137">
        <v>0</v>
      </c>
      <c r="Z15" s="137">
        <v>0</v>
      </c>
      <c r="AA15" s="137">
        <v>0</v>
      </c>
      <c r="AB15" s="137">
        <v>1604153</v>
      </c>
      <c r="AC15" s="137">
        <v>0</v>
      </c>
      <c r="AD15" s="137">
        <v>0</v>
      </c>
      <c r="AE15" s="137">
        <v>0</v>
      </c>
      <c r="AF15" s="137">
        <v>0</v>
      </c>
      <c r="AG15" s="137">
        <v>778790</v>
      </c>
      <c r="AH15" s="137">
        <v>545771</v>
      </c>
      <c r="AI15" s="137">
        <v>0</v>
      </c>
      <c r="AJ15" s="137">
        <v>0</v>
      </c>
      <c r="AK15" s="137">
        <v>0</v>
      </c>
      <c r="AL15" s="137">
        <v>0</v>
      </c>
      <c r="AM15" s="137">
        <v>0</v>
      </c>
      <c r="AN15" s="137">
        <v>0</v>
      </c>
      <c r="AO15" s="137">
        <v>0</v>
      </c>
      <c r="AP15" s="137">
        <v>0</v>
      </c>
      <c r="AQ15" s="137">
        <v>0</v>
      </c>
      <c r="AR15" s="137">
        <v>0</v>
      </c>
      <c r="AS15" s="137">
        <v>0</v>
      </c>
      <c r="AT15" s="137">
        <v>0</v>
      </c>
      <c r="AU15" s="137">
        <v>0</v>
      </c>
      <c r="AV15" s="137">
        <v>0</v>
      </c>
      <c r="AW15" s="137">
        <v>130223</v>
      </c>
      <c r="AX15" s="137">
        <v>0</v>
      </c>
      <c r="AY15" s="137">
        <v>0</v>
      </c>
      <c r="AZ15" s="137">
        <v>0</v>
      </c>
      <c r="BA15" s="137">
        <v>0</v>
      </c>
      <c r="BB15" s="137">
        <v>539135</v>
      </c>
      <c r="BC15" s="137">
        <v>1773948</v>
      </c>
      <c r="BD15" s="137">
        <v>0</v>
      </c>
      <c r="BE15" s="137">
        <v>0</v>
      </c>
      <c r="BF15" s="137">
        <v>0</v>
      </c>
      <c r="BG15" s="137">
        <v>160000</v>
      </c>
      <c r="BH15" s="137">
        <v>0</v>
      </c>
      <c r="BI15" s="137">
        <v>301185</v>
      </c>
      <c r="BJ15" s="137">
        <v>612000</v>
      </c>
      <c r="BK15" s="91"/>
      <c r="BL15" s="79">
        <f t="shared" si="0"/>
        <v>12272353</v>
      </c>
    </row>
    <row r="16" spans="1:64" ht="13.5" x14ac:dyDescent="0.25">
      <c r="A16" s="78">
        <v>3380</v>
      </c>
      <c r="B16" s="196">
        <v>145</v>
      </c>
      <c r="C16" s="197" t="s">
        <v>221</v>
      </c>
      <c r="D16" s="90"/>
      <c r="E16" s="137">
        <v>0</v>
      </c>
      <c r="F16" s="137">
        <v>0</v>
      </c>
      <c r="G16" s="137">
        <v>0</v>
      </c>
      <c r="H16" s="137">
        <v>0</v>
      </c>
      <c r="I16" s="137">
        <v>0</v>
      </c>
      <c r="J16" s="137">
        <v>16656</v>
      </c>
      <c r="K16" s="137">
        <v>0</v>
      </c>
      <c r="L16" s="137">
        <v>38072</v>
      </c>
      <c r="M16" s="137">
        <v>0</v>
      </c>
      <c r="N16" s="137">
        <v>1160887</v>
      </c>
      <c r="O16" s="137">
        <v>36960</v>
      </c>
      <c r="P16" s="137">
        <v>0</v>
      </c>
      <c r="Q16" s="137">
        <v>337189</v>
      </c>
      <c r="R16" s="137">
        <v>0</v>
      </c>
      <c r="S16" s="137">
        <v>0</v>
      </c>
      <c r="T16" s="137">
        <v>0</v>
      </c>
      <c r="U16" s="137">
        <v>0</v>
      </c>
      <c r="V16" s="137">
        <v>758452</v>
      </c>
      <c r="W16" s="137">
        <v>0</v>
      </c>
      <c r="X16" s="137">
        <v>0</v>
      </c>
      <c r="Y16" s="137">
        <v>0</v>
      </c>
      <c r="Z16" s="137">
        <v>0</v>
      </c>
      <c r="AA16" s="137">
        <v>26456</v>
      </c>
      <c r="AB16" s="137">
        <v>0</v>
      </c>
      <c r="AC16" s="137">
        <v>0</v>
      </c>
      <c r="AD16" s="137">
        <v>0</v>
      </c>
      <c r="AE16" s="137">
        <v>0</v>
      </c>
      <c r="AF16" s="137">
        <v>0</v>
      </c>
      <c r="AG16" s="137">
        <v>0</v>
      </c>
      <c r="AH16" s="137">
        <v>115184</v>
      </c>
      <c r="AI16" s="137">
        <v>67640</v>
      </c>
      <c r="AJ16" s="137">
        <v>0</v>
      </c>
      <c r="AK16" s="137">
        <v>0</v>
      </c>
      <c r="AL16" s="137">
        <v>0</v>
      </c>
      <c r="AM16" s="137">
        <v>0</v>
      </c>
      <c r="AN16" s="137">
        <v>0</v>
      </c>
      <c r="AO16" s="137">
        <v>0</v>
      </c>
      <c r="AP16" s="137">
        <v>9934</v>
      </c>
      <c r="AQ16" s="137">
        <v>0</v>
      </c>
      <c r="AR16" s="137">
        <v>0</v>
      </c>
      <c r="AS16" s="137">
        <v>0</v>
      </c>
      <c r="AT16" s="137">
        <v>0</v>
      </c>
      <c r="AU16" s="137">
        <v>0</v>
      </c>
      <c r="AV16" s="137">
        <v>0</v>
      </c>
      <c r="AW16" s="137">
        <v>1703897</v>
      </c>
      <c r="AX16" s="137">
        <v>0</v>
      </c>
      <c r="AY16" s="137">
        <v>0</v>
      </c>
      <c r="AZ16" s="137">
        <v>0</v>
      </c>
      <c r="BA16" s="137">
        <v>0</v>
      </c>
      <c r="BB16" s="137">
        <v>43736</v>
      </c>
      <c r="BC16" s="137">
        <v>0</v>
      </c>
      <c r="BD16" s="137">
        <v>0</v>
      </c>
      <c r="BE16" s="137">
        <v>1095</v>
      </c>
      <c r="BF16" s="137">
        <v>0</v>
      </c>
      <c r="BG16" s="137">
        <v>48117</v>
      </c>
      <c r="BH16" s="137">
        <v>0</v>
      </c>
      <c r="BI16" s="137">
        <v>0</v>
      </c>
      <c r="BJ16" s="137">
        <v>2430847</v>
      </c>
      <c r="BK16" s="95"/>
      <c r="BL16" s="142">
        <f t="shared" si="0"/>
        <v>6795122</v>
      </c>
    </row>
    <row r="17" spans="1:64" ht="13.5" x14ac:dyDescent="0.25">
      <c r="A17" s="78"/>
      <c r="B17" s="79"/>
      <c r="C17" s="111" t="s">
        <v>59</v>
      </c>
      <c r="D17" s="90"/>
      <c r="E17" s="96">
        <f t="shared" ref="E17:AJ17" si="1">SUM(E7:E16)</f>
        <v>17643577</v>
      </c>
      <c r="F17" s="96">
        <f t="shared" si="1"/>
        <v>5062346</v>
      </c>
      <c r="G17" s="96">
        <f t="shared" si="1"/>
        <v>15990740</v>
      </c>
      <c r="H17" s="96">
        <f t="shared" si="1"/>
        <v>0</v>
      </c>
      <c r="I17" s="96">
        <f t="shared" si="1"/>
        <v>1415329</v>
      </c>
      <c r="J17" s="96">
        <f t="shared" si="1"/>
        <v>17368678</v>
      </c>
      <c r="K17" s="96">
        <f t="shared" si="1"/>
        <v>6656598</v>
      </c>
      <c r="L17" s="96">
        <f t="shared" si="1"/>
        <v>21070013</v>
      </c>
      <c r="M17" s="96">
        <f t="shared" si="1"/>
        <v>19282538</v>
      </c>
      <c r="N17" s="96">
        <f t="shared" si="1"/>
        <v>6827385</v>
      </c>
      <c r="O17" s="96">
        <f t="shared" si="1"/>
        <v>9546164</v>
      </c>
      <c r="P17" s="96">
        <f t="shared" si="1"/>
        <v>13194124</v>
      </c>
      <c r="Q17" s="96">
        <f t="shared" si="1"/>
        <v>96908089</v>
      </c>
      <c r="R17" s="96">
        <f t="shared" si="1"/>
        <v>3703304</v>
      </c>
      <c r="S17" s="96">
        <f t="shared" si="1"/>
        <v>0</v>
      </c>
      <c r="T17" s="96">
        <f t="shared" si="1"/>
        <v>10620520</v>
      </c>
      <c r="U17" s="96">
        <f t="shared" si="1"/>
        <v>0</v>
      </c>
      <c r="V17" s="96">
        <f t="shared" si="1"/>
        <v>25956298</v>
      </c>
      <c r="W17" s="96">
        <f t="shared" si="1"/>
        <v>14788254</v>
      </c>
      <c r="X17" s="96">
        <f t="shared" si="1"/>
        <v>3349801</v>
      </c>
      <c r="Y17" s="96">
        <f t="shared" si="1"/>
        <v>0</v>
      </c>
      <c r="Z17" s="96">
        <f t="shared" si="1"/>
        <v>14533335</v>
      </c>
      <c r="AA17" s="96">
        <f t="shared" si="1"/>
        <v>40342</v>
      </c>
      <c r="AB17" s="145">
        <f t="shared" si="1"/>
        <v>17735197</v>
      </c>
      <c r="AC17" s="96">
        <f t="shared" si="1"/>
        <v>0</v>
      </c>
      <c r="AD17" s="96">
        <f t="shared" si="1"/>
        <v>0</v>
      </c>
      <c r="AE17" s="96">
        <f t="shared" si="1"/>
        <v>3300102</v>
      </c>
      <c r="AF17" s="96">
        <f t="shared" si="1"/>
        <v>2294267</v>
      </c>
      <c r="AG17" s="96">
        <f t="shared" si="1"/>
        <v>13699519</v>
      </c>
      <c r="AH17" s="96">
        <f t="shared" si="1"/>
        <v>12429552</v>
      </c>
      <c r="AI17" s="96">
        <f t="shared" si="1"/>
        <v>412025</v>
      </c>
      <c r="AJ17" s="96">
        <f t="shared" si="1"/>
        <v>8294370</v>
      </c>
      <c r="AK17" s="96">
        <f t="shared" ref="AK17:BJ17" si="2">SUM(AK7:AK16)</f>
        <v>0</v>
      </c>
      <c r="AL17" s="96">
        <f t="shared" si="2"/>
        <v>0</v>
      </c>
      <c r="AM17" s="96">
        <f t="shared" si="2"/>
        <v>4398829</v>
      </c>
      <c r="AN17" s="96">
        <f t="shared" si="2"/>
        <v>10783240</v>
      </c>
      <c r="AO17" s="96">
        <f t="shared" si="2"/>
        <v>0</v>
      </c>
      <c r="AP17" s="96">
        <f t="shared" si="2"/>
        <v>2556831</v>
      </c>
      <c r="AQ17" s="96">
        <f t="shared" si="2"/>
        <v>7847696</v>
      </c>
      <c r="AR17" s="96">
        <f t="shared" si="2"/>
        <v>14368073</v>
      </c>
      <c r="AS17" s="96">
        <f t="shared" si="2"/>
        <v>5553111</v>
      </c>
      <c r="AT17" s="96">
        <f t="shared" si="2"/>
        <v>0</v>
      </c>
      <c r="AU17" s="96">
        <f t="shared" si="2"/>
        <v>4024130</v>
      </c>
      <c r="AV17" s="96">
        <f t="shared" si="2"/>
        <v>20742207</v>
      </c>
      <c r="AW17" s="96">
        <f t="shared" si="2"/>
        <v>9300416</v>
      </c>
      <c r="AX17" s="96">
        <f t="shared" si="2"/>
        <v>4644810</v>
      </c>
      <c r="AY17" s="96">
        <f t="shared" si="2"/>
        <v>0</v>
      </c>
      <c r="AZ17" s="96">
        <f t="shared" si="2"/>
        <v>9087311</v>
      </c>
      <c r="BA17" s="96">
        <f t="shared" si="2"/>
        <v>7639625</v>
      </c>
      <c r="BB17" s="96">
        <f t="shared" si="2"/>
        <v>4329491</v>
      </c>
      <c r="BC17" s="96">
        <f t="shared" si="2"/>
        <v>15112056</v>
      </c>
      <c r="BD17" s="96">
        <f t="shared" si="2"/>
        <v>417540</v>
      </c>
      <c r="BE17" s="96">
        <f t="shared" si="2"/>
        <v>9670821</v>
      </c>
      <c r="BF17" s="96">
        <f t="shared" si="2"/>
        <v>0</v>
      </c>
      <c r="BG17" s="96">
        <f t="shared" si="2"/>
        <v>11142070</v>
      </c>
      <c r="BH17" s="96">
        <f t="shared" si="2"/>
        <v>3992674</v>
      </c>
      <c r="BI17" s="96">
        <f t="shared" si="2"/>
        <v>13548161</v>
      </c>
      <c r="BJ17" s="96">
        <f t="shared" si="2"/>
        <v>6550650</v>
      </c>
      <c r="BK17" s="96"/>
      <c r="BL17" s="96">
        <f>SUM(BL7:BL16)</f>
        <v>527832209</v>
      </c>
    </row>
    <row r="18" spans="1:64" ht="13.5" x14ac:dyDescent="0.25">
      <c r="A18" s="78"/>
      <c r="B18" s="79"/>
      <c r="C18" s="90"/>
      <c r="D18" s="90"/>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82"/>
    </row>
    <row r="19" spans="1:64" ht="13.5" x14ac:dyDescent="0.25">
      <c r="A19" s="78"/>
      <c r="B19" s="79"/>
      <c r="C19" s="111" t="s">
        <v>222</v>
      </c>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row>
    <row r="20" spans="1:64" ht="13.5" x14ac:dyDescent="0.25">
      <c r="A20" s="78">
        <v>3430</v>
      </c>
      <c r="B20" s="196">
        <v>200</v>
      </c>
      <c r="C20" s="197" t="s">
        <v>223</v>
      </c>
      <c r="D20" s="90"/>
      <c r="E20" s="137">
        <v>0</v>
      </c>
      <c r="F20" s="137">
        <v>3843</v>
      </c>
      <c r="G20" s="137">
        <v>19520</v>
      </c>
      <c r="H20" s="137">
        <v>0</v>
      </c>
      <c r="I20" s="137">
        <v>0</v>
      </c>
      <c r="J20" s="137">
        <v>5371</v>
      </c>
      <c r="K20" s="137">
        <v>8138</v>
      </c>
      <c r="L20" s="137">
        <v>0</v>
      </c>
      <c r="M20" s="137">
        <v>1025</v>
      </c>
      <c r="N20" s="137">
        <v>14982</v>
      </c>
      <c r="O20" s="137">
        <v>0</v>
      </c>
      <c r="P20" s="137">
        <v>0</v>
      </c>
      <c r="Q20" s="137">
        <v>290671</v>
      </c>
      <c r="R20" s="137">
        <v>5366</v>
      </c>
      <c r="S20" s="137">
        <v>0</v>
      </c>
      <c r="T20" s="137">
        <v>8073</v>
      </c>
      <c r="U20" s="137">
        <v>0</v>
      </c>
      <c r="V20" s="137">
        <v>0</v>
      </c>
      <c r="W20" s="137">
        <v>14369</v>
      </c>
      <c r="X20" s="137">
        <v>76000</v>
      </c>
      <c r="Y20" s="137">
        <v>0</v>
      </c>
      <c r="Z20" s="137">
        <v>4329</v>
      </c>
      <c r="AA20" s="137">
        <v>0</v>
      </c>
      <c r="AB20" s="137">
        <v>55763</v>
      </c>
      <c r="AC20" s="137">
        <v>0</v>
      </c>
      <c r="AD20" s="137">
        <v>0</v>
      </c>
      <c r="AE20" s="137">
        <v>0</v>
      </c>
      <c r="AF20" s="137">
        <v>4</v>
      </c>
      <c r="AG20" s="137">
        <v>3019</v>
      </c>
      <c r="AH20" s="137">
        <v>14032</v>
      </c>
      <c r="AI20" s="137">
        <v>0</v>
      </c>
      <c r="AJ20" s="137">
        <v>306642</v>
      </c>
      <c r="AK20" s="137">
        <v>0</v>
      </c>
      <c r="AL20" s="137">
        <v>0</v>
      </c>
      <c r="AM20" s="137">
        <v>0</v>
      </c>
      <c r="AN20" s="137">
        <v>2101</v>
      </c>
      <c r="AO20" s="137">
        <v>0</v>
      </c>
      <c r="AP20" s="137">
        <v>113263</v>
      </c>
      <c r="AQ20" s="137">
        <v>20872</v>
      </c>
      <c r="AR20" s="137">
        <v>160</v>
      </c>
      <c r="AS20" s="137">
        <v>87</v>
      </c>
      <c r="AT20" s="137">
        <v>0</v>
      </c>
      <c r="AU20" s="137">
        <v>4500</v>
      </c>
      <c r="AV20" s="137">
        <v>0</v>
      </c>
      <c r="AW20" s="137">
        <v>1130</v>
      </c>
      <c r="AX20" s="137">
        <v>0</v>
      </c>
      <c r="AY20" s="137">
        <v>0</v>
      </c>
      <c r="AZ20" s="137">
        <v>150</v>
      </c>
      <c r="BA20" s="137">
        <v>0</v>
      </c>
      <c r="BB20" s="137">
        <v>0</v>
      </c>
      <c r="BC20" s="137">
        <v>6700</v>
      </c>
      <c r="BD20" s="137">
        <v>0</v>
      </c>
      <c r="BE20" s="137">
        <v>0</v>
      </c>
      <c r="BF20" s="137">
        <v>0</v>
      </c>
      <c r="BG20" s="137">
        <v>44695</v>
      </c>
      <c r="BH20" s="137">
        <v>0</v>
      </c>
      <c r="BI20" s="137">
        <v>31295</v>
      </c>
      <c r="BJ20" s="137">
        <v>0</v>
      </c>
      <c r="BK20" s="91"/>
      <c r="BL20" s="79">
        <f t="shared" ref="BL20:BL29" si="3">SUM(E20:BK20)</f>
        <v>1056100</v>
      </c>
    </row>
    <row r="21" spans="1:64" ht="15" x14ac:dyDescent="0.25">
      <c r="A21" s="78">
        <v>3432</v>
      </c>
      <c r="B21" s="112">
        <v>202</v>
      </c>
      <c r="C21" s="113" t="s">
        <v>477</v>
      </c>
      <c r="D21" s="97"/>
      <c r="E21" s="140">
        <v>0</v>
      </c>
      <c r="F21" s="140">
        <v>0</v>
      </c>
      <c r="G21" s="140">
        <v>0</v>
      </c>
      <c r="H21" s="139">
        <v>0</v>
      </c>
      <c r="I21" s="140">
        <v>0</v>
      </c>
      <c r="J21" s="140">
        <v>0</v>
      </c>
      <c r="K21" s="140">
        <v>0</v>
      </c>
      <c r="L21" s="140">
        <v>0</v>
      </c>
      <c r="M21" s="140">
        <v>109755</v>
      </c>
      <c r="N21" s="140">
        <v>0</v>
      </c>
      <c r="O21" s="140">
        <v>0</v>
      </c>
      <c r="P21" s="140">
        <v>0</v>
      </c>
      <c r="Q21" s="140">
        <v>0</v>
      </c>
      <c r="R21" s="140">
        <v>0</v>
      </c>
      <c r="S21" s="138">
        <v>0</v>
      </c>
      <c r="T21" s="140">
        <v>0</v>
      </c>
      <c r="U21" s="138">
        <v>0</v>
      </c>
      <c r="V21" s="140">
        <v>73258</v>
      </c>
      <c r="W21" s="140">
        <v>0</v>
      </c>
      <c r="X21" s="140">
        <v>0</v>
      </c>
      <c r="Y21" s="138">
        <v>0</v>
      </c>
      <c r="Z21" s="140">
        <v>0</v>
      </c>
      <c r="AA21" s="140">
        <v>0</v>
      </c>
      <c r="AB21" s="140">
        <v>9247</v>
      </c>
      <c r="AC21" s="138">
        <v>0</v>
      </c>
      <c r="AD21" s="138">
        <v>0</v>
      </c>
      <c r="AE21" s="140">
        <v>0</v>
      </c>
      <c r="AF21" s="140">
        <v>0</v>
      </c>
      <c r="AG21" s="140">
        <v>10082</v>
      </c>
      <c r="AH21" s="140">
        <v>0</v>
      </c>
      <c r="AI21" s="140">
        <v>0</v>
      </c>
      <c r="AJ21" s="140">
        <v>0</v>
      </c>
      <c r="AK21" s="138">
        <v>0</v>
      </c>
      <c r="AL21" s="138">
        <v>0</v>
      </c>
      <c r="AM21" s="140">
        <v>0</v>
      </c>
      <c r="AN21" s="140">
        <v>0</v>
      </c>
      <c r="AO21" s="138">
        <v>0</v>
      </c>
      <c r="AP21" s="140">
        <v>0</v>
      </c>
      <c r="AQ21" s="140">
        <v>0</v>
      </c>
      <c r="AR21" s="140">
        <v>0</v>
      </c>
      <c r="AS21" s="140">
        <v>0</v>
      </c>
      <c r="AT21" s="138">
        <v>0</v>
      </c>
      <c r="AU21" s="140">
        <v>0</v>
      </c>
      <c r="AV21" s="140">
        <v>0</v>
      </c>
      <c r="AW21" s="140">
        <v>0</v>
      </c>
      <c r="AX21" s="140">
        <v>0</v>
      </c>
      <c r="AY21" s="138">
        <v>0</v>
      </c>
      <c r="AZ21" s="140">
        <v>290000</v>
      </c>
      <c r="BA21" s="140">
        <v>0</v>
      </c>
      <c r="BB21" s="140">
        <v>0</v>
      </c>
      <c r="BC21" s="140">
        <v>0</v>
      </c>
      <c r="BD21" s="138">
        <v>0</v>
      </c>
      <c r="BE21" s="140">
        <v>0</v>
      </c>
      <c r="BF21" s="138">
        <v>0</v>
      </c>
      <c r="BG21" s="140">
        <v>0</v>
      </c>
      <c r="BH21" s="140">
        <v>0</v>
      </c>
      <c r="BI21" s="140">
        <v>202209</v>
      </c>
      <c r="BJ21" s="140">
        <v>0</v>
      </c>
      <c r="BK21" s="98"/>
      <c r="BL21" s="143">
        <f t="shared" si="3"/>
        <v>694551</v>
      </c>
    </row>
    <row r="22" spans="1:64" ht="15" x14ac:dyDescent="0.25">
      <c r="A22" s="78">
        <v>3434</v>
      </c>
      <c r="B22" s="112">
        <v>203</v>
      </c>
      <c r="C22" s="113" t="s">
        <v>478</v>
      </c>
      <c r="D22" s="97"/>
      <c r="E22" s="140">
        <v>0</v>
      </c>
      <c r="F22" s="140">
        <v>0</v>
      </c>
      <c r="G22" s="140">
        <v>0</v>
      </c>
      <c r="H22" s="139">
        <v>0</v>
      </c>
      <c r="I22" s="140">
        <v>0</v>
      </c>
      <c r="J22" s="140">
        <v>0</v>
      </c>
      <c r="K22" s="140">
        <v>0</v>
      </c>
      <c r="L22" s="140">
        <v>0</v>
      </c>
      <c r="M22" s="140">
        <v>0</v>
      </c>
      <c r="N22" s="140">
        <v>0</v>
      </c>
      <c r="O22" s="140">
        <v>0</v>
      </c>
      <c r="P22" s="140">
        <v>0</v>
      </c>
      <c r="Q22" s="140">
        <v>0</v>
      </c>
      <c r="R22" s="140">
        <v>0</v>
      </c>
      <c r="S22" s="138">
        <v>0</v>
      </c>
      <c r="T22" s="140">
        <v>0</v>
      </c>
      <c r="U22" s="138">
        <v>0</v>
      </c>
      <c r="V22" s="140">
        <v>0</v>
      </c>
      <c r="W22" s="140">
        <v>0</v>
      </c>
      <c r="X22" s="140">
        <v>0</v>
      </c>
      <c r="Y22" s="138">
        <v>0</v>
      </c>
      <c r="Z22" s="140">
        <v>0</v>
      </c>
      <c r="AA22" s="140">
        <v>0</v>
      </c>
      <c r="AB22" s="140">
        <v>0</v>
      </c>
      <c r="AC22" s="138">
        <v>0</v>
      </c>
      <c r="AD22" s="138">
        <v>0</v>
      </c>
      <c r="AE22" s="140">
        <v>0</v>
      </c>
      <c r="AF22" s="140">
        <v>0</v>
      </c>
      <c r="AG22" s="140">
        <v>352450</v>
      </c>
      <c r="AH22" s="140">
        <v>0</v>
      </c>
      <c r="AI22" s="140">
        <v>0</v>
      </c>
      <c r="AJ22" s="140">
        <v>0</v>
      </c>
      <c r="AK22" s="138">
        <v>0</v>
      </c>
      <c r="AL22" s="138">
        <v>0</v>
      </c>
      <c r="AM22" s="140">
        <v>0</v>
      </c>
      <c r="AN22" s="140">
        <v>0</v>
      </c>
      <c r="AO22" s="138">
        <v>0</v>
      </c>
      <c r="AP22" s="140">
        <v>0</v>
      </c>
      <c r="AQ22" s="140">
        <v>0</v>
      </c>
      <c r="AR22" s="140">
        <v>0</v>
      </c>
      <c r="AS22" s="140">
        <v>0</v>
      </c>
      <c r="AT22" s="138">
        <v>0</v>
      </c>
      <c r="AU22" s="140">
        <v>0</v>
      </c>
      <c r="AV22" s="140">
        <v>0</v>
      </c>
      <c r="AW22" s="140">
        <v>0</v>
      </c>
      <c r="AX22" s="140">
        <v>0</v>
      </c>
      <c r="AY22" s="138">
        <v>0</v>
      </c>
      <c r="AZ22" s="140">
        <v>0</v>
      </c>
      <c r="BA22" s="140">
        <v>0</v>
      </c>
      <c r="BB22" s="140">
        <v>0</v>
      </c>
      <c r="BC22" s="140">
        <v>0</v>
      </c>
      <c r="BD22" s="138">
        <v>0</v>
      </c>
      <c r="BE22" s="140">
        <v>0</v>
      </c>
      <c r="BF22" s="138">
        <v>0</v>
      </c>
      <c r="BG22" s="140">
        <v>0</v>
      </c>
      <c r="BH22" s="140">
        <v>0</v>
      </c>
      <c r="BI22" s="140">
        <v>0</v>
      </c>
      <c r="BJ22" s="140">
        <v>19795</v>
      </c>
      <c r="BK22" s="98"/>
      <c r="BL22" s="143">
        <f t="shared" si="3"/>
        <v>372245</v>
      </c>
    </row>
    <row r="23" spans="1:64" ht="13.5" x14ac:dyDescent="0.25">
      <c r="A23" s="78">
        <v>3500</v>
      </c>
      <c r="B23" s="196">
        <v>205</v>
      </c>
      <c r="C23" s="197" t="s">
        <v>64</v>
      </c>
      <c r="D23" s="99"/>
      <c r="E23" s="137">
        <v>0</v>
      </c>
      <c r="F23" s="137">
        <v>0</v>
      </c>
      <c r="G23" s="137">
        <v>0</v>
      </c>
      <c r="H23" s="137">
        <v>0</v>
      </c>
      <c r="I23" s="137">
        <v>0</v>
      </c>
      <c r="J23" s="137">
        <v>0</v>
      </c>
      <c r="K23" s="137">
        <v>0</v>
      </c>
      <c r="L23" s="137">
        <v>0</v>
      </c>
      <c r="M23" s="137">
        <v>0</v>
      </c>
      <c r="N23" s="137">
        <v>368290</v>
      </c>
      <c r="O23" s="137">
        <v>0</v>
      </c>
      <c r="P23" s="137">
        <v>0</v>
      </c>
      <c r="Q23" s="137">
        <v>23334</v>
      </c>
      <c r="R23" s="137">
        <v>0</v>
      </c>
      <c r="S23" s="137">
        <v>0</v>
      </c>
      <c r="T23" s="137">
        <v>0</v>
      </c>
      <c r="U23" s="137">
        <v>0</v>
      </c>
      <c r="V23" s="137">
        <v>0</v>
      </c>
      <c r="W23" s="137">
        <v>0</v>
      </c>
      <c r="X23" s="137">
        <v>0</v>
      </c>
      <c r="Y23" s="137">
        <v>0</v>
      </c>
      <c r="Z23" s="137">
        <v>0</v>
      </c>
      <c r="AA23" s="137">
        <v>0</v>
      </c>
      <c r="AB23" s="137">
        <v>1300</v>
      </c>
      <c r="AC23" s="137">
        <v>0</v>
      </c>
      <c r="AD23" s="137">
        <v>0</v>
      </c>
      <c r="AE23" s="137">
        <v>0</v>
      </c>
      <c r="AF23" s="137">
        <v>0</v>
      </c>
      <c r="AG23" s="137">
        <v>77756</v>
      </c>
      <c r="AH23" s="137">
        <v>0</v>
      </c>
      <c r="AI23" s="137">
        <v>0</v>
      </c>
      <c r="AJ23" s="137">
        <v>0</v>
      </c>
      <c r="AK23" s="137">
        <v>0</v>
      </c>
      <c r="AL23" s="137">
        <v>0</v>
      </c>
      <c r="AM23" s="137">
        <v>0</v>
      </c>
      <c r="AN23" s="137">
        <v>0</v>
      </c>
      <c r="AO23" s="137">
        <v>0</v>
      </c>
      <c r="AP23" s="137">
        <v>0</v>
      </c>
      <c r="AQ23" s="137">
        <v>0</v>
      </c>
      <c r="AR23" s="137">
        <v>0</v>
      </c>
      <c r="AS23" s="137">
        <v>0</v>
      </c>
      <c r="AT23" s="137">
        <v>0</v>
      </c>
      <c r="AU23" s="137">
        <v>76000</v>
      </c>
      <c r="AV23" s="137">
        <v>0</v>
      </c>
      <c r="AW23" s="137">
        <v>0</v>
      </c>
      <c r="AX23" s="137">
        <v>0</v>
      </c>
      <c r="AY23" s="137">
        <v>0</v>
      </c>
      <c r="AZ23" s="137">
        <v>0</v>
      </c>
      <c r="BA23" s="137">
        <v>0</v>
      </c>
      <c r="BB23" s="137">
        <v>0</v>
      </c>
      <c r="BC23" s="137">
        <v>16900</v>
      </c>
      <c r="BD23" s="137">
        <v>1500</v>
      </c>
      <c r="BE23" s="137">
        <v>0</v>
      </c>
      <c r="BF23" s="137">
        <v>0</v>
      </c>
      <c r="BG23" s="137">
        <v>0</v>
      </c>
      <c r="BH23" s="137">
        <v>0</v>
      </c>
      <c r="BI23" s="137">
        <v>55495</v>
      </c>
      <c r="BJ23" s="137">
        <v>0</v>
      </c>
      <c r="BK23" s="91"/>
      <c r="BL23" s="79">
        <f t="shared" si="3"/>
        <v>620575</v>
      </c>
    </row>
    <row r="24" spans="1:64" ht="13.5" x14ac:dyDescent="0.25">
      <c r="A24" s="78">
        <v>3550</v>
      </c>
      <c r="B24" s="196">
        <v>210</v>
      </c>
      <c r="C24" s="197" t="s">
        <v>65</v>
      </c>
      <c r="D24" s="90"/>
      <c r="E24" s="137">
        <v>0</v>
      </c>
      <c r="F24" s="137">
        <v>0</v>
      </c>
      <c r="G24" s="137">
        <v>0</v>
      </c>
      <c r="H24" s="137">
        <v>0</v>
      </c>
      <c r="I24" s="137">
        <v>0</v>
      </c>
      <c r="J24" s="137">
        <v>0</v>
      </c>
      <c r="K24" s="137">
        <v>0</v>
      </c>
      <c r="L24" s="137">
        <v>0</v>
      </c>
      <c r="M24" s="137">
        <v>0</v>
      </c>
      <c r="N24" s="137">
        <v>0</v>
      </c>
      <c r="O24" s="137">
        <v>0</v>
      </c>
      <c r="P24" s="137">
        <v>0</v>
      </c>
      <c r="Q24" s="137">
        <v>0</v>
      </c>
      <c r="R24" s="137">
        <v>2533</v>
      </c>
      <c r="S24" s="137">
        <v>0</v>
      </c>
      <c r="T24" s="137">
        <v>0</v>
      </c>
      <c r="U24" s="137">
        <v>0</v>
      </c>
      <c r="V24" s="137">
        <v>0</v>
      </c>
      <c r="W24" s="137">
        <v>0</v>
      </c>
      <c r="X24" s="137">
        <v>0</v>
      </c>
      <c r="Y24" s="137">
        <v>0</v>
      </c>
      <c r="Z24" s="137">
        <v>0</v>
      </c>
      <c r="AA24" s="137">
        <v>0</v>
      </c>
      <c r="AB24" s="137">
        <v>0</v>
      </c>
      <c r="AC24" s="137">
        <v>0</v>
      </c>
      <c r="AD24" s="137">
        <v>0</v>
      </c>
      <c r="AE24" s="137">
        <v>0</v>
      </c>
      <c r="AF24" s="137">
        <v>0</v>
      </c>
      <c r="AG24" s="137">
        <v>0</v>
      </c>
      <c r="AH24" s="137">
        <v>0</v>
      </c>
      <c r="AI24" s="137">
        <v>0</v>
      </c>
      <c r="AJ24" s="137">
        <v>0</v>
      </c>
      <c r="AK24" s="137">
        <v>0</v>
      </c>
      <c r="AL24" s="137">
        <v>0</v>
      </c>
      <c r="AM24" s="137">
        <v>0</v>
      </c>
      <c r="AN24" s="137">
        <v>0</v>
      </c>
      <c r="AO24" s="137">
        <v>0</v>
      </c>
      <c r="AP24" s="137">
        <v>0</v>
      </c>
      <c r="AQ24" s="137">
        <v>0</v>
      </c>
      <c r="AR24" s="137">
        <v>0</v>
      </c>
      <c r="AS24" s="137">
        <v>0</v>
      </c>
      <c r="AT24" s="137">
        <v>0</v>
      </c>
      <c r="AU24" s="137">
        <v>0</v>
      </c>
      <c r="AV24" s="137">
        <v>0</v>
      </c>
      <c r="AW24" s="137">
        <v>0</v>
      </c>
      <c r="AX24" s="137">
        <v>0</v>
      </c>
      <c r="AY24" s="137">
        <v>0</v>
      </c>
      <c r="AZ24" s="137">
        <v>0</v>
      </c>
      <c r="BA24" s="137">
        <v>0</v>
      </c>
      <c r="BB24" s="137">
        <v>0</v>
      </c>
      <c r="BC24" s="137">
        <v>0</v>
      </c>
      <c r="BD24" s="137">
        <v>0</v>
      </c>
      <c r="BE24" s="137">
        <v>0</v>
      </c>
      <c r="BF24" s="137">
        <v>0</v>
      </c>
      <c r="BG24" s="137">
        <v>0</v>
      </c>
      <c r="BH24" s="137">
        <v>0</v>
      </c>
      <c r="BI24" s="137">
        <v>0</v>
      </c>
      <c r="BJ24" s="137">
        <v>0</v>
      </c>
      <c r="BK24" s="100"/>
      <c r="BL24" s="79">
        <f t="shared" si="3"/>
        <v>2533</v>
      </c>
    </row>
    <row r="25" spans="1:64" ht="13.5" x14ac:dyDescent="0.25">
      <c r="A25" s="78">
        <v>3530</v>
      </c>
      <c r="B25" s="196">
        <v>215</v>
      </c>
      <c r="C25" s="197" t="s">
        <v>66</v>
      </c>
      <c r="D25" s="90"/>
      <c r="E25" s="137">
        <v>0</v>
      </c>
      <c r="F25" s="137">
        <v>0</v>
      </c>
      <c r="G25" s="137">
        <v>0</v>
      </c>
      <c r="H25" s="137">
        <v>0</v>
      </c>
      <c r="I25" s="137">
        <v>0</v>
      </c>
      <c r="J25" s="137">
        <v>0</v>
      </c>
      <c r="K25" s="137">
        <v>0</v>
      </c>
      <c r="L25" s="137">
        <v>0</v>
      </c>
      <c r="M25" s="137">
        <v>0</v>
      </c>
      <c r="N25" s="137">
        <v>0</v>
      </c>
      <c r="O25" s="137">
        <v>0</v>
      </c>
      <c r="P25" s="137">
        <v>0</v>
      </c>
      <c r="Q25" s="137">
        <v>0</v>
      </c>
      <c r="R25" s="137">
        <v>0</v>
      </c>
      <c r="S25" s="137">
        <v>0</v>
      </c>
      <c r="T25" s="137">
        <v>0</v>
      </c>
      <c r="U25" s="137">
        <v>0</v>
      </c>
      <c r="V25" s="137">
        <v>0</v>
      </c>
      <c r="W25" s="137">
        <v>0</v>
      </c>
      <c r="X25" s="137">
        <v>0</v>
      </c>
      <c r="Y25" s="137">
        <v>0</v>
      </c>
      <c r="Z25" s="137">
        <v>0</v>
      </c>
      <c r="AA25" s="137">
        <v>0</v>
      </c>
      <c r="AB25" s="137">
        <v>0</v>
      </c>
      <c r="AC25" s="137">
        <v>0</v>
      </c>
      <c r="AD25" s="137">
        <v>0</v>
      </c>
      <c r="AE25" s="137">
        <v>0</v>
      </c>
      <c r="AF25" s="137">
        <v>0</v>
      </c>
      <c r="AG25" s="137">
        <v>0</v>
      </c>
      <c r="AH25" s="137">
        <v>0</v>
      </c>
      <c r="AI25" s="137">
        <v>0</v>
      </c>
      <c r="AJ25" s="137">
        <v>0</v>
      </c>
      <c r="AK25" s="137">
        <v>0</v>
      </c>
      <c r="AL25" s="137">
        <v>0</v>
      </c>
      <c r="AM25" s="137">
        <v>0</v>
      </c>
      <c r="AN25" s="137">
        <v>0</v>
      </c>
      <c r="AO25" s="137">
        <v>0</v>
      </c>
      <c r="AP25" s="137">
        <v>0</v>
      </c>
      <c r="AQ25" s="137">
        <v>0</v>
      </c>
      <c r="AR25" s="137">
        <v>0</v>
      </c>
      <c r="AS25" s="137">
        <v>0</v>
      </c>
      <c r="AT25" s="137">
        <v>0</v>
      </c>
      <c r="AU25" s="137">
        <v>0</v>
      </c>
      <c r="AV25" s="137">
        <v>0</v>
      </c>
      <c r="AW25" s="137">
        <v>0</v>
      </c>
      <c r="AX25" s="137">
        <v>0</v>
      </c>
      <c r="AY25" s="137">
        <v>0</v>
      </c>
      <c r="AZ25" s="137">
        <v>0</v>
      </c>
      <c r="BA25" s="137">
        <v>0</v>
      </c>
      <c r="BB25" s="137">
        <v>0</v>
      </c>
      <c r="BC25" s="137">
        <v>0</v>
      </c>
      <c r="BD25" s="137">
        <v>0</v>
      </c>
      <c r="BE25" s="137">
        <v>0</v>
      </c>
      <c r="BF25" s="137">
        <v>0</v>
      </c>
      <c r="BG25" s="137">
        <v>0</v>
      </c>
      <c r="BH25" s="137">
        <v>0</v>
      </c>
      <c r="BI25" s="137">
        <v>0</v>
      </c>
      <c r="BJ25" s="137">
        <v>0</v>
      </c>
      <c r="BK25" s="100"/>
      <c r="BL25" s="79">
        <f t="shared" si="3"/>
        <v>0</v>
      </c>
    </row>
    <row r="26" spans="1:64" ht="13.5" x14ac:dyDescent="0.25">
      <c r="A26" s="78">
        <v>3540</v>
      </c>
      <c r="B26" s="196">
        <v>220</v>
      </c>
      <c r="C26" s="197" t="s">
        <v>67</v>
      </c>
      <c r="D26" s="90"/>
      <c r="E26" s="137">
        <v>185171</v>
      </c>
      <c r="F26" s="137">
        <v>0</v>
      </c>
      <c r="G26" s="137">
        <v>0</v>
      </c>
      <c r="H26" s="137">
        <v>0</v>
      </c>
      <c r="I26" s="137">
        <v>0</v>
      </c>
      <c r="J26" s="137">
        <v>0</v>
      </c>
      <c r="K26" s="137">
        <v>0</v>
      </c>
      <c r="L26" s="137">
        <v>0</v>
      </c>
      <c r="M26" s="137">
        <v>0</v>
      </c>
      <c r="N26" s="137">
        <v>0</v>
      </c>
      <c r="O26" s="137">
        <v>0</v>
      </c>
      <c r="P26" s="137">
        <v>0</v>
      </c>
      <c r="Q26" s="137">
        <v>0</v>
      </c>
      <c r="R26" s="137">
        <v>878919</v>
      </c>
      <c r="S26" s="137">
        <v>0</v>
      </c>
      <c r="T26" s="137">
        <v>0</v>
      </c>
      <c r="U26" s="137">
        <v>0</v>
      </c>
      <c r="V26" s="137">
        <v>0</v>
      </c>
      <c r="W26" s="137">
        <v>0</v>
      </c>
      <c r="X26" s="137">
        <v>0</v>
      </c>
      <c r="Y26" s="137">
        <v>0</v>
      </c>
      <c r="Z26" s="137">
        <v>0</v>
      </c>
      <c r="AA26" s="137">
        <v>0</v>
      </c>
      <c r="AB26" s="137">
        <v>0</v>
      </c>
      <c r="AC26" s="137">
        <v>0</v>
      </c>
      <c r="AD26" s="137">
        <v>0</v>
      </c>
      <c r="AE26" s="137">
        <v>0</v>
      </c>
      <c r="AF26" s="137">
        <v>0</v>
      </c>
      <c r="AG26" s="137">
        <v>0</v>
      </c>
      <c r="AH26" s="137">
        <v>0</v>
      </c>
      <c r="AI26" s="137">
        <v>0</v>
      </c>
      <c r="AJ26" s="137">
        <v>0</v>
      </c>
      <c r="AK26" s="137">
        <v>0</v>
      </c>
      <c r="AL26" s="137">
        <v>0</v>
      </c>
      <c r="AM26" s="137">
        <v>0</v>
      </c>
      <c r="AN26" s="137">
        <v>7229</v>
      </c>
      <c r="AO26" s="137">
        <v>0</v>
      </c>
      <c r="AP26" s="137">
        <v>0</v>
      </c>
      <c r="AQ26" s="137">
        <v>0</v>
      </c>
      <c r="AR26" s="137">
        <v>0</v>
      </c>
      <c r="AS26" s="137">
        <v>0</v>
      </c>
      <c r="AT26" s="137">
        <v>0</v>
      </c>
      <c r="AU26" s="137">
        <v>0</v>
      </c>
      <c r="AV26" s="137">
        <v>0</v>
      </c>
      <c r="AW26" s="137">
        <v>0</v>
      </c>
      <c r="AX26" s="137">
        <v>0</v>
      </c>
      <c r="AY26" s="137">
        <v>0</v>
      </c>
      <c r="AZ26" s="137">
        <v>0</v>
      </c>
      <c r="BA26" s="137">
        <v>0</v>
      </c>
      <c r="BB26" s="137">
        <v>0</v>
      </c>
      <c r="BC26" s="137">
        <v>0</v>
      </c>
      <c r="BD26" s="137">
        <v>0</v>
      </c>
      <c r="BE26" s="137">
        <v>0</v>
      </c>
      <c r="BF26" s="137">
        <v>0</v>
      </c>
      <c r="BG26" s="137">
        <v>0</v>
      </c>
      <c r="BH26" s="137">
        <v>0</v>
      </c>
      <c r="BI26" s="137">
        <v>0</v>
      </c>
      <c r="BJ26" s="137">
        <v>0</v>
      </c>
      <c r="BK26" s="100"/>
      <c r="BL26" s="79">
        <f t="shared" si="3"/>
        <v>1071319</v>
      </c>
    </row>
    <row r="27" spans="1:64" ht="13.5" x14ac:dyDescent="0.25">
      <c r="A27" s="78"/>
      <c r="B27" s="114"/>
      <c r="C27" s="197" t="s">
        <v>227</v>
      </c>
      <c r="D27" s="9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00"/>
      <c r="BL27" s="79">
        <f>SUM(E27:BK27)</f>
        <v>0</v>
      </c>
    </row>
    <row r="28" spans="1:64" ht="13.5" x14ac:dyDescent="0.25">
      <c r="A28" s="78">
        <v>3570</v>
      </c>
      <c r="B28" s="114">
        <v>260</v>
      </c>
      <c r="C28" s="198" t="s">
        <v>228</v>
      </c>
      <c r="D28" s="90"/>
      <c r="E28" s="137">
        <v>0</v>
      </c>
      <c r="F28" s="137">
        <v>0</v>
      </c>
      <c r="G28" s="137">
        <v>0</v>
      </c>
      <c r="H28" s="137">
        <v>0</v>
      </c>
      <c r="I28" s="137">
        <v>0</v>
      </c>
      <c r="J28" s="137">
        <v>0</v>
      </c>
      <c r="K28" s="137">
        <v>0</v>
      </c>
      <c r="L28" s="137">
        <v>0</v>
      </c>
      <c r="M28" s="137">
        <v>0</v>
      </c>
      <c r="N28" s="137">
        <v>0</v>
      </c>
      <c r="O28" s="137">
        <v>0</v>
      </c>
      <c r="P28" s="137">
        <v>0</v>
      </c>
      <c r="Q28" s="137">
        <v>193163</v>
      </c>
      <c r="R28" s="137">
        <v>190000</v>
      </c>
      <c r="S28" s="137">
        <v>0</v>
      </c>
      <c r="T28" s="137">
        <v>0</v>
      </c>
      <c r="U28" s="137">
        <v>0</v>
      </c>
      <c r="V28" s="137">
        <v>0</v>
      </c>
      <c r="W28" s="137">
        <v>0</v>
      </c>
      <c r="X28" s="137">
        <v>0</v>
      </c>
      <c r="Y28" s="137">
        <v>0</v>
      </c>
      <c r="Z28" s="137">
        <v>0</v>
      </c>
      <c r="AA28" s="137">
        <v>0</v>
      </c>
      <c r="AB28" s="137">
        <v>0</v>
      </c>
      <c r="AC28" s="137">
        <v>0</v>
      </c>
      <c r="AD28" s="137">
        <v>0</v>
      </c>
      <c r="AE28" s="137">
        <v>0</v>
      </c>
      <c r="AF28" s="137">
        <v>0</v>
      </c>
      <c r="AG28" s="137">
        <v>0</v>
      </c>
      <c r="AH28" s="137">
        <v>0</v>
      </c>
      <c r="AI28" s="137">
        <v>0</v>
      </c>
      <c r="AJ28" s="137">
        <v>0</v>
      </c>
      <c r="AK28" s="137">
        <v>0</v>
      </c>
      <c r="AL28" s="137">
        <v>0</v>
      </c>
      <c r="AM28" s="137">
        <v>0</v>
      </c>
      <c r="AN28" s="137">
        <v>0</v>
      </c>
      <c r="AO28" s="137">
        <v>0</v>
      </c>
      <c r="AP28" s="137">
        <v>0</v>
      </c>
      <c r="AQ28" s="137">
        <v>0</v>
      </c>
      <c r="AR28" s="137">
        <v>0</v>
      </c>
      <c r="AS28" s="137">
        <v>0</v>
      </c>
      <c r="AT28" s="137">
        <v>0</v>
      </c>
      <c r="AU28" s="137">
        <v>0</v>
      </c>
      <c r="AV28" s="137">
        <v>0</v>
      </c>
      <c r="AW28" s="137">
        <v>0</v>
      </c>
      <c r="AX28" s="137">
        <v>0</v>
      </c>
      <c r="AY28" s="137">
        <v>0</v>
      </c>
      <c r="AZ28" s="137">
        <v>0</v>
      </c>
      <c r="BA28" s="137">
        <v>0</v>
      </c>
      <c r="BB28" s="137">
        <v>0</v>
      </c>
      <c r="BC28" s="137">
        <v>0</v>
      </c>
      <c r="BD28" s="137">
        <v>0</v>
      </c>
      <c r="BE28" s="137">
        <v>0</v>
      </c>
      <c r="BF28" s="137">
        <v>0</v>
      </c>
      <c r="BG28" s="137">
        <v>0</v>
      </c>
      <c r="BH28" s="137">
        <v>0</v>
      </c>
      <c r="BI28" s="137">
        <v>0</v>
      </c>
      <c r="BJ28" s="137">
        <v>0</v>
      </c>
      <c r="BK28" s="100"/>
      <c r="BL28" s="79">
        <f t="shared" si="3"/>
        <v>383163</v>
      </c>
    </row>
    <row r="29" spans="1:64" ht="13.5" x14ac:dyDescent="0.25">
      <c r="A29" s="78">
        <v>3580</v>
      </c>
      <c r="B29" s="114">
        <v>261</v>
      </c>
      <c r="C29" s="198" t="s">
        <v>230</v>
      </c>
      <c r="D29" s="90"/>
      <c r="E29" s="137">
        <v>0</v>
      </c>
      <c r="F29" s="137">
        <v>0</v>
      </c>
      <c r="G29" s="137">
        <v>0</v>
      </c>
      <c r="H29" s="137">
        <v>0</v>
      </c>
      <c r="I29" s="137">
        <v>0</v>
      </c>
      <c r="J29" s="137">
        <v>0</v>
      </c>
      <c r="K29" s="137">
        <v>0</v>
      </c>
      <c r="L29" s="137">
        <v>0</v>
      </c>
      <c r="M29" s="137">
        <v>0</v>
      </c>
      <c r="N29" s="137">
        <v>158916</v>
      </c>
      <c r="O29" s="137">
        <v>0</v>
      </c>
      <c r="P29" s="137">
        <v>0</v>
      </c>
      <c r="Q29" s="137">
        <v>1389823</v>
      </c>
      <c r="R29" s="137">
        <v>190000</v>
      </c>
      <c r="S29" s="141">
        <v>0</v>
      </c>
      <c r="T29" s="137">
        <v>0</v>
      </c>
      <c r="U29" s="141">
        <v>0</v>
      </c>
      <c r="V29" s="137">
        <v>0</v>
      </c>
      <c r="W29" s="137">
        <v>0</v>
      </c>
      <c r="X29" s="137">
        <v>0</v>
      </c>
      <c r="Y29" s="141">
        <v>0</v>
      </c>
      <c r="Z29" s="137">
        <v>0</v>
      </c>
      <c r="AA29" s="137">
        <v>0</v>
      </c>
      <c r="AB29" s="137">
        <v>0</v>
      </c>
      <c r="AC29" s="141">
        <v>0</v>
      </c>
      <c r="AD29" s="141">
        <v>0</v>
      </c>
      <c r="AE29" s="137">
        <v>0</v>
      </c>
      <c r="AF29" s="137">
        <v>0</v>
      </c>
      <c r="AG29" s="137">
        <v>0</v>
      </c>
      <c r="AH29" s="137">
        <v>0</v>
      </c>
      <c r="AI29" s="137">
        <v>0</v>
      </c>
      <c r="AJ29" s="137">
        <v>0</v>
      </c>
      <c r="AK29" s="141">
        <v>0</v>
      </c>
      <c r="AL29" s="141">
        <v>0</v>
      </c>
      <c r="AM29" s="137">
        <v>0</v>
      </c>
      <c r="AN29" s="137">
        <v>0</v>
      </c>
      <c r="AO29" s="141">
        <v>0</v>
      </c>
      <c r="AP29" s="137">
        <v>0</v>
      </c>
      <c r="AQ29" s="137">
        <v>0</v>
      </c>
      <c r="AR29" s="137">
        <v>0</v>
      </c>
      <c r="AS29" s="137">
        <v>0</v>
      </c>
      <c r="AT29" s="141">
        <v>0</v>
      </c>
      <c r="AU29" s="137">
        <v>0</v>
      </c>
      <c r="AV29" s="137">
        <v>0</v>
      </c>
      <c r="AW29" s="137">
        <v>0</v>
      </c>
      <c r="AX29" s="137">
        <v>0</v>
      </c>
      <c r="AY29" s="141">
        <v>0</v>
      </c>
      <c r="AZ29" s="137">
        <v>0</v>
      </c>
      <c r="BA29" s="137">
        <v>0</v>
      </c>
      <c r="BB29" s="137">
        <v>0</v>
      </c>
      <c r="BC29" s="137">
        <v>0</v>
      </c>
      <c r="BD29" s="141">
        <v>0</v>
      </c>
      <c r="BE29" s="137">
        <v>0</v>
      </c>
      <c r="BF29" s="141">
        <v>0</v>
      </c>
      <c r="BG29" s="137">
        <v>0</v>
      </c>
      <c r="BH29" s="137">
        <v>0</v>
      </c>
      <c r="BI29" s="137">
        <v>0</v>
      </c>
      <c r="BJ29" s="137">
        <v>0</v>
      </c>
      <c r="BK29" s="100"/>
      <c r="BL29" s="142">
        <f t="shared" si="3"/>
        <v>1738739</v>
      </c>
    </row>
    <row r="30" spans="1:64" ht="13.5" x14ac:dyDescent="0.25">
      <c r="A30" s="78"/>
      <c r="B30" s="79"/>
      <c r="C30" s="111" t="s">
        <v>74</v>
      </c>
      <c r="D30" s="79"/>
      <c r="E30" s="129">
        <f t="shared" ref="E30:BJ30" si="4">SUM(E20:E29)</f>
        <v>185171</v>
      </c>
      <c r="F30" s="129">
        <f t="shared" si="4"/>
        <v>3843</v>
      </c>
      <c r="G30" s="129">
        <f t="shared" si="4"/>
        <v>19520</v>
      </c>
      <c r="H30" s="129">
        <f t="shared" si="4"/>
        <v>0</v>
      </c>
      <c r="I30" s="129">
        <f t="shared" si="4"/>
        <v>0</v>
      </c>
      <c r="J30" s="129">
        <f t="shared" si="4"/>
        <v>5371</v>
      </c>
      <c r="K30" s="129">
        <f t="shared" si="4"/>
        <v>8138</v>
      </c>
      <c r="L30" s="129">
        <f t="shared" si="4"/>
        <v>0</v>
      </c>
      <c r="M30" s="129">
        <f t="shared" si="4"/>
        <v>110780</v>
      </c>
      <c r="N30" s="129">
        <f t="shared" si="4"/>
        <v>542188</v>
      </c>
      <c r="O30" s="129">
        <f t="shared" si="4"/>
        <v>0</v>
      </c>
      <c r="P30" s="129">
        <f t="shared" si="4"/>
        <v>0</v>
      </c>
      <c r="Q30" s="129">
        <f t="shared" si="4"/>
        <v>1896991</v>
      </c>
      <c r="R30" s="129">
        <f t="shared" si="4"/>
        <v>1266818</v>
      </c>
      <c r="S30" s="129">
        <f t="shared" si="4"/>
        <v>0</v>
      </c>
      <c r="T30" s="129">
        <f t="shared" si="4"/>
        <v>8073</v>
      </c>
      <c r="U30" s="129">
        <f t="shared" si="4"/>
        <v>0</v>
      </c>
      <c r="V30" s="129">
        <f t="shared" si="4"/>
        <v>73258</v>
      </c>
      <c r="W30" s="129">
        <f t="shared" si="4"/>
        <v>14369</v>
      </c>
      <c r="X30" s="129">
        <f t="shared" si="4"/>
        <v>76000</v>
      </c>
      <c r="Y30" s="129">
        <f t="shared" si="4"/>
        <v>0</v>
      </c>
      <c r="Z30" s="129">
        <f t="shared" si="4"/>
        <v>4329</v>
      </c>
      <c r="AA30" s="129">
        <f t="shared" si="4"/>
        <v>0</v>
      </c>
      <c r="AB30" s="129">
        <f t="shared" si="4"/>
        <v>66310</v>
      </c>
      <c r="AC30" s="129">
        <f t="shared" si="4"/>
        <v>0</v>
      </c>
      <c r="AD30" s="129">
        <f t="shared" si="4"/>
        <v>0</v>
      </c>
      <c r="AE30" s="129">
        <f t="shared" si="4"/>
        <v>0</v>
      </c>
      <c r="AF30" s="129">
        <f t="shared" si="4"/>
        <v>4</v>
      </c>
      <c r="AG30" s="129">
        <f t="shared" si="4"/>
        <v>443307</v>
      </c>
      <c r="AH30" s="129">
        <f t="shared" si="4"/>
        <v>14032</v>
      </c>
      <c r="AI30" s="129">
        <f t="shared" si="4"/>
        <v>0</v>
      </c>
      <c r="AJ30" s="129">
        <f t="shared" si="4"/>
        <v>306642</v>
      </c>
      <c r="AK30" s="129">
        <f t="shared" si="4"/>
        <v>0</v>
      </c>
      <c r="AL30" s="129">
        <f t="shared" si="4"/>
        <v>0</v>
      </c>
      <c r="AM30" s="129">
        <f t="shared" si="4"/>
        <v>0</v>
      </c>
      <c r="AN30" s="129">
        <f t="shared" si="4"/>
        <v>9330</v>
      </c>
      <c r="AO30" s="129">
        <f t="shared" si="4"/>
        <v>0</v>
      </c>
      <c r="AP30" s="129">
        <f t="shared" si="4"/>
        <v>113263</v>
      </c>
      <c r="AQ30" s="129">
        <f t="shared" si="4"/>
        <v>20872</v>
      </c>
      <c r="AR30" s="129">
        <f t="shared" si="4"/>
        <v>160</v>
      </c>
      <c r="AS30" s="129">
        <f t="shared" si="4"/>
        <v>87</v>
      </c>
      <c r="AT30" s="129">
        <f t="shared" si="4"/>
        <v>0</v>
      </c>
      <c r="AU30" s="129">
        <f t="shared" si="4"/>
        <v>80500</v>
      </c>
      <c r="AV30" s="129">
        <f t="shared" si="4"/>
        <v>0</v>
      </c>
      <c r="AW30" s="129">
        <f t="shared" si="4"/>
        <v>1130</v>
      </c>
      <c r="AX30" s="129">
        <f t="shared" si="4"/>
        <v>0</v>
      </c>
      <c r="AY30" s="129">
        <f t="shared" si="4"/>
        <v>0</v>
      </c>
      <c r="AZ30" s="129">
        <f t="shared" si="4"/>
        <v>290150</v>
      </c>
      <c r="BA30" s="129">
        <f t="shared" si="4"/>
        <v>0</v>
      </c>
      <c r="BB30" s="129">
        <f t="shared" si="4"/>
        <v>0</v>
      </c>
      <c r="BC30" s="129">
        <f t="shared" si="4"/>
        <v>23600</v>
      </c>
      <c r="BD30" s="129">
        <f t="shared" si="4"/>
        <v>1500</v>
      </c>
      <c r="BE30" s="129">
        <f t="shared" si="4"/>
        <v>0</v>
      </c>
      <c r="BF30" s="129">
        <f t="shared" si="4"/>
        <v>0</v>
      </c>
      <c r="BG30" s="129">
        <f t="shared" si="4"/>
        <v>44695</v>
      </c>
      <c r="BH30" s="129">
        <f t="shared" si="4"/>
        <v>0</v>
      </c>
      <c r="BI30" s="129">
        <f t="shared" si="4"/>
        <v>288999</v>
      </c>
      <c r="BJ30" s="129">
        <f t="shared" si="4"/>
        <v>19795</v>
      </c>
      <c r="BK30" s="101"/>
      <c r="BL30" s="144">
        <f>SUM(BL20:BL29)</f>
        <v>5939225</v>
      </c>
    </row>
    <row r="31" spans="1:64" ht="13.5" x14ac:dyDescent="0.25">
      <c r="A31" s="78"/>
      <c r="B31" s="79"/>
      <c r="C31" s="90"/>
      <c r="D31" s="94"/>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82"/>
    </row>
    <row r="32" spans="1:64" ht="13.5" x14ac:dyDescent="0.25">
      <c r="A32" s="78"/>
      <c r="B32" s="79"/>
      <c r="C32" s="111" t="s">
        <v>232</v>
      </c>
      <c r="D32" s="94"/>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82"/>
    </row>
    <row r="33" spans="1:64" ht="13.5" x14ac:dyDescent="0.25">
      <c r="A33" s="78">
        <v>3630</v>
      </c>
      <c r="B33" s="79"/>
      <c r="C33" s="199" t="s">
        <v>479</v>
      </c>
      <c r="D33" s="94"/>
      <c r="E33" s="137">
        <v>0</v>
      </c>
      <c r="F33" s="137">
        <v>0</v>
      </c>
      <c r="G33" s="137">
        <v>0</v>
      </c>
      <c r="H33" s="137">
        <v>0</v>
      </c>
      <c r="I33" s="137">
        <v>0</v>
      </c>
      <c r="J33" s="137">
        <v>16656</v>
      </c>
      <c r="K33" s="137">
        <v>0</v>
      </c>
      <c r="L33" s="137">
        <v>38072</v>
      </c>
      <c r="M33" s="137">
        <v>0</v>
      </c>
      <c r="N33" s="137">
        <v>1001971</v>
      </c>
      <c r="O33" s="137">
        <v>36960</v>
      </c>
      <c r="P33" s="137">
        <v>0</v>
      </c>
      <c r="Q33" s="137">
        <v>1797659</v>
      </c>
      <c r="R33" s="137">
        <v>-24225</v>
      </c>
      <c r="S33" s="137">
        <v>0</v>
      </c>
      <c r="T33" s="137">
        <v>0</v>
      </c>
      <c r="U33" s="137">
        <v>0</v>
      </c>
      <c r="V33" s="137">
        <v>3534987</v>
      </c>
      <c r="W33" s="137">
        <v>0</v>
      </c>
      <c r="X33" s="137">
        <v>0</v>
      </c>
      <c r="Y33" s="137">
        <v>0</v>
      </c>
      <c r="Z33" s="137">
        <v>0</v>
      </c>
      <c r="AA33" s="137">
        <v>26456</v>
      </c>
      <c r="AB33" s="137">
        <v>1604153</v>
      </c>
      <c r="AC33" s="137">
        <v>0</v>
      </c>
      <c r="AD33" s="137">
        <v>0</v>
      </c>
      <c r="AE33" s="137">
        <v>0</v>
      </c>
      <c r="AF33" s="137">
        <v>0</v>
      </c>
      <c r="AG33" s="137">
        <v>778790</v>
      </c>
      <c r="AH33" s="137">
        <v>660955</v>
      </c>
      <c r="AI33" s="137">
        <v>67640</v>
      </c>
      <c r="AJ33" s="137">
        <v>0</v>
      </c>
      <c r="AK33" s="137">
        <v>0</v>
      </c>
      <c r="AL33" s="137">
        <v>0</v>
      </c>
      <c r="AM33" s="137">
        <v>0</v>
      </c>
      <c r="AN33" s="137">
        <v>0</v>
      </c>
      <c r="AO33" s="137">
        <v>0</v>
      </c>
      <c r="AP33" s="137">
        <v>9934</v>
      </c>
      <c r="AQ33" s="137">
        <v>0</v>
      </c>
      <c r="AR33" s="137">
        <v>0</v>
      </c>
      <c r="AS33" s="137">
        <v>0</v>
      </c>
      <c r="AT33" s="137">
        <v>0</v>
      </c>
      <c r="AU33" s="137">
        <v>0</v>
      </c>
      <c r="AV33" s="137">
        <v>0</v>
      </c>
      <c r="AW33" s="137">
        <v>1834120</v>
      </c>
      <c r="AX33" s="137">
        <v>0</v>
      </c>
      <c r="AY33" s="137">
        <v>0</v>
      </c>
      <c r="AZ33" s="137">
        <v>0</v>
      </c>
      <c r="BA33" s="137">
        <v>0</v>
      </c>
      <c r="BB33" s="137">
        <v>582871</v>
      </c>
      <c r="BC33" s="137">
        <v>1773948</v>
      </c>
      <c r="BD33" s="137">
        <v>0</v>
      </c>
      <c r="BE33" s="137">
        <v>1095</v>
      </c>
      <c r="BF33" s="137">
        <v>0</v>
      </c>
      <c r="BG33" s="137">
        <v>208117</v>
      </c>
      <c r="BH33" s="137">
        <v>0</v>
      </c>
      <c r="BI33" s="137">
        <v>301185</v>
      </c>
      <c r="BJ33" s="137">
        <v>3042847</v>
      </c>
      <c r="BK33" s="100"/>
      <c r="BL33" s="79">
        <f t="shared" ref="BL33:BL38" si="5">SUM(E33:BK33)</f>
        <v>17294191</v>
      </c>
    </row>
    <row r="34" spans="1:64" ht="13.5" x14ac:dyDescent="0.25">
      <c r="A34" s="78"/>
      <c r="B34" s="79"/>
      <c r="C34" s="199" t="s">
        <v>235</v>
      </c>
      <c r="D34" s="94"/>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00"/>
      <c r="BL34" s="79">
        <f t="shared" si="5"/>
        <v>0</v>
      </c>
    </row>
    <row r="35" spans="1:64" ht="13.5" x14ac:dyDescent="0.25">
      <c r="A35" s="78"/>
      <c r="B35" s="79"/>
      <c r="C35" s="197" t="s">
        <v>236</v>
      </c>
      <c r="D35" s="90"/>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00"/>
      <c r="BL35" s="79">
        <f t="shared" si="5"/>
        <v>0</v>
      </c>
    </row>
    <row r="36" spans="1:64" ht="13.5" x14ac:dyDescent="0.25">
      <c r="A36" s="78">
        <v>3640</v>
      </c>
      <c r="B36" s="79"/>
      <c r="C36" s="198" t="s">
        <v>237</v>
      </c>
      <c r="D36" s="90"/>
      <c r="E36" s="137">
        <v>0</v>
      </c>
      <c r="F36" s="137">
        <v>2820264</v>
      </c>
      <c r="G36" s="137">
        <v>4550169</v>
      </c>
      <c r="H36" s="137">
        <v>0</v>
      </c>
      <c r="I36" s="137">
        <v>650168</v>
      </c>
      <c r="J36" s="137">
        <v>12336426</v>
      </c>
      <c r="K36" s="137">
        <v>5140411</v>
      </c>
      <c r="L36" s="137">
        <v>0</v>
      </c>
      <c r="M36" s="137">
        <v>11514173</v>
      </c>
      <c r="N36" s="137">
        <v>0</v>
      </c>
      <c r="O36" s="137">
        <v>4986369</v>
      </c>
      <c r="P36" s="137">
        <v>10326364</v>
      </c>
      <c r="Q36" s="137">
        <v>53171790</v>
      </c>
      <c r="R36" s="137">
        <v>530257</v>
      </c>
      <c r="S36" s="137">
        <v>0</v>
      </c>
      <c r="T36" s="137">
        <v>0</v>
      </c>
      <c r="U36" s="137">
        <v>0</v>
      </c>
      <c r="V36" s="137">
        <v>0</v>
      </c>
      <c r="W36" s="137">
        <v>5057401</v>
      </c>
      <c r="X36" s="137">
        <v>2896252</v>
      </c>
      <c r="Y36" s="137">
        <v>0</v>
      </c>
      <c r="Z36" s="137">
        <v>6780415</v>
      </c>
      <c r="AA36" s="137">
        <v>0</v>
      </c>
      <c r="AB36" s="137">
        <v>4292417</v>
      </c>
      <c r="AC36" s="137">
        <v>0</v>
      </c>
      <c r="AD36" s="137">
        <v>0</v>
      </c>
      <c r="AE36" s="137">
        <v>0</v>
      </c>
      <c r="AF36" s="137">
        <v>1222668</v>
      </c>
      <c r="AG36" s="137">
        <v>0</v>
      </c>
      <c r="AH36" s="137">
        <v>5457559</v>
      </c>
      <c r="AI36" s="137">
        <v>0</v>
      </c>
      <c r="AJ36" s="137">
        <v>4960036</v>
      </c>
      <c r="AK36" s="137">
        <v>0</v>
      </c>
      <c r="AL36" s="137">
        <v>0</v>
      </c>
      <c r="AM36" s="137">
        <v>4017659</v>
      </c>
      <c r="AN36" s="137">
        <v>8045981</v>
      </c>
      <c r="AO36" s="137">
        <v>0</v>
      </c>
      <c r="AP36" s="137">
        <v>0</v>
      </c>
      <c r="AQ36" s="137">
        <v>5773763</v>
      </c>
      <c r="AR36" s="137">
        <v>4856345</v>
      </c>
      <c r="AS36" s="137">
        <v>4808846</v>
      </c>
      <c r="AT36" s="137">
        <v>0</v>
      </c>
      <c r="AU36" s="137">
        <v>0</v>
      </c>
      <c r="AV36" s="137">
        <v>11169532</v>
      </c>
      <c r="AW36" s="137">
        <v>2858986</v>
      </c>
      <c r="AX36" s="137">
        <v>2227034</v>
      </c>
      <c r="AY36" s="137">
        <v>0</v>
      </c>
      <c r="AZ36" s="137">
        <v>5309660</v>
      </c>
      <c r="BA36" s="137">
        <v>6120484</v>
      </c>
      <c r="BB36" s="137">
        <v>1268142</v>
      </c>
      <c r="BC36" s="137">
        <v>0</v>
      </c>
      <c r="BD36" s="137">
        <v>97631</v>
      </c>
      <c r="BE36" s="137">
        <v>6925555</v>
      </c>
      <c r="BF36" s="137">
        <v>0</v>
      </c>
      <c r="BG36" s="137">
        <v>0</v>
      </c>
      <c r="BH36" s="137">
        <v>0</v>
      </c>
      <c r="BI36" s="137">
        <v>0</v>
      </c>
      <c r="BJ36" s="137">
        <v>3143991</v>
      </c>
      <c r="BK36" s="100"/>
      <c r="BL36" s="79">
        <f>SUM(E36:BK36)</f>
        <v>203316748</v>
      </c>
    </row>
    <row r="37" spans="1:64" ht="13.5" x14ac:dyDescent="0.25">
      <c r="A37" s="78"/>
      <c r="B37" s="79"/>
      <c r="C37" s="197" t="s">
        <v>240</v>
      </c>
      <c r="D37" s="90"/>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00"/>
      <c r="BL37" s="79">
        <f t="shared" si="5"/>
        <v>0</v>
      </c>
    </row>
    <row r="38" spans="1:64" ht="13.5" x14ac:dyDescent="0.25">
      <c r="A38" s="78">
        <v>3650</v>
      </c>
      <c r="B38" s="79"/>
      <c r="C38" s="198" t="s">
        <v>237</v>
      </c>
      <c r="D38" s="90"/>
      <c r="E38" s="137">
        <v>0</v>
      </c>
      <c r="F38" s="137">
        <v>1518604</v>
      </c>
      <c r="G38" s="137">
        <v>9225046</v>
      </c>
      <c r="H38" s="137">
        <v>0</v>
      </c>
      <c r="I38" s="137">
        <v>388398</v>
      </c>
      <c r="J38" s="137">
        <v>3712397</v>
      </c>
      <c r="K38" s="137">
        <v>1084230</v>
      </c>
      <c r="L38" s="137">
        <v>0</v>
      </c>
      <c r="M38" s="137">
        <v>6850694</v>
      </c>
      <c r="N38" s="137">
        <v>0</v>
      </c>
      <c r="O38" s="137">
        <v>3117127</v>
      </c>
      <c r="P38" s="137">
        <v>0</v>
      </c>
      <c r="Q38" s="137">
        <v>30769857</v>
      </c>
      <c r="R38" s="137">
        <v>1232054</v>
      </c>
      <c r="S38" s="137">
        <v>0</v>
      </c>
      <c r="T38" s="137">
        <v>0</v>
      </c>
      <c r="U38" s="137">
        <v>0</v>
      </c>
      <c r="V38" s="137">
        <v>0</v>
      </c>
      <c r="W38" s="137">
        <v>3719511</v>
      </c>
      <c r="X38" s="137">
        <v>377549</v>
      </c>
      <c r="Y38" s="137">
        <v>0</v>
      </c>
      <c r="Z38" s="137">
        <v>4099961</v>
      </c>
      <c r="AA38" s="137">
        <v>0</v>
      </c>
      <c r="AB38" s="137">
        <v>4169780</v>
      </c>
      <c r="AC38" s="137">
        <v>0</v>
      </c>
      <c r="AD38" s="137">
        <v>0</v>
      </c>
      <c r="AE38" s="137">
        <v>0</v>
      </c>
      <c r="AF38" s="137">
        <v>763485</v>
      </c>
      <c r="AG38" s="137">
        <v>-778790</v>
      </c>
      <c r="AH38" s="137">
        <v>1673372</v>
      </c>
      <c r="AI38" s="137">
        <v>412645</v>
      </c>
      <c r="AJ38" s="137">
        <v>4552834</v>
      </c>
      <c r="AK38" s="137">
        <v>0</v>
      </c>
      <c r="AL38" s="137">
        <v>0</v>
      </c>
      <c r="AM38" s="137">
        <v>256895</v>
      </c>
      <c r="AN38" s="137">
        <v>2414577</v>
      </c>
      <c r="AO38" s="137">
        <v>0</v>
      </c>
      <c r="AP38" s="137">
        <v>0</v>
      </c>
      <c r="AQ38" s="137">
        <v>1922713</v>
      </c>
      <c r="AR38" s="137">
        <v>7279925</v>
      </c>
      <c r="AS38" s="137">
        <v>0</v>
      </c>
      <c r="AT38" s="137">
        <v>0</v>
      </c>
      <c r="AU38" s="137">
        <v>0</v>
      </c>
      <c r="AV38" s="137">
        <v>536619</v>
      </c>
      <c r="AW38" s="137">
        <v>1536360</v>
      </c>
      <c r="AX38" s="137">
        <v>1614309</v>
      </c>
      <c r="AY38" s="137">
        <v>0</v>
      </c>
      <c r="AZ38" s="137">
        <v>0</v>
      </c>
      <c r="BA38" s="137">
        <v>1235015</v>
      </c>
      <c r="BB38" s="137">
        <v>2105708</v>
      </c>
      <c r="BC38" s="137">
        <v>0</v>
      </c>
      <c r="BD38" s="137">
        <v>318409</v>
      </c>
      <c r="BE38" s="137">
        <v>2373391</v>
      </c>
      <c r="BF38" s="137">
        <v>0</v>
      </c>
      <c r="BG38" s="137">
        <v>0</v>
      </c>
      <c r="BH38" s="137">
        <v>0</v>
      </c>
      <c r="BI38" s="137">
        <v>8173662</v>
      </c>
      <c r="BJ38" s="137">
        <v>0</v>
      </c>
      <c r="BK38" s="100"/>
      <c r="BL38" s="79">
        <f t="shared" si="5"/>
        <v>106656337</v>
      </c>
    </row>
    <row r="39" spans="1:64" ht="13.5" x14ac:dyDescent="0.25">
      <c r="A39" s="78">
        <v>3680</v>
      </c>
      <c r="B39" s="79"/>
      <c r="C39" s="199" t="s">
        <v>242</v>
      </c>
      <c r="D39" s="90"/>
      <c r="E39" s="137">
        <v>17458406</v>
      </c>
      <c r="F39" s="137">
        <v>719635</v>
      </c>
      <c r="G39" s="137">
        <v>2196005</v>
      </c>
      <c r="H39" s="137">
        <v>0</v>
      </c>
      <c r="I39" s="137">
        <v>376763</v>
      </c>
      <c r="J39" s="137">
        <v>1297828</v>
      </c>
      <c r="K39" s="137">
        <v>423819</v>
      </c>
      <c r="L39" s="137">
        <v>21031941</v>
      </c>
      <c r="M39" s="137">
        <v>806891</v>
      </c>
      <c r="N39" s="137">
        <v>5283226</v>
      </c>
      <c r="O39" s="137">
        <v>1405708</v>
      </c>
      <c r="P39" s="137">
        <v>2867760</v>
      </c>
      <c r="Q39" s="137">
        <v>9271792</v>
      </c>
      <c r="R39" s="137">
        <v>698400</v>
      </c>
      <c r="S39" s="137">
        <v>0</v>
      </c>
      <c r="T39" s="137">
        <v>10612447</v>
      </c>
      <c r="U39" s="137">
        <v>0</v>
      </c>
      <c r="V39" s="137">
        <v>22348053</v>
      </c>
      <c r="W39" s="137">
        <v>5996973</v>
      </c>
      <c r="X39" s="137">
        <v>0</v>
      </c>
      <c r="Y39" s="137">
        <v>0</v>
      </c>
      <c r="Z39" s="137">
        <v>3648630</v>
      </c>
      <c r="AA39" s="137">
        <v>13886</v>
      </c>
      <c r="AB39" s="137">
        <v>7602537</v>
      </c>
      <c r="AC39" s="137">
        <v>0</v>
      </c>
      <c r="AD39" s="137">
        <v>0</v>
      </c>
      <c r="AE39" s="137">
        <v>3300102</v>
      </c>
      <c r="AF39" s="137">
        <v>308110</v>
      </c>
      <c r="AG39" s="137">
        <v>13256212</v>
      </c>
      <c r="AH39" s="137">
        <v>4623634</v>
      </c>
      <c r="AI39" s="137">
        <v>-68260</v>
      </c>
      <c r="AJ39" s="137">
        <v>-1525142</v>
      </c>
      <c r="AK39" s="137">
        <v>0</v>
      </c>
      <c r="AL39" s="137">
        <v>0</v>
      </c>
      <c r="AM39" s="137">
        <v>124275</v>
      </c>
      <c r="AN39" s="137">
        <v>313352</v>
      </c>
      <c r="AO39" s="137">
        <v>0</v>
      </c>
      <c r="AP39" s="137">
        <v>2433634</v>
      </c>
      <c r="AQ39" s="137">
        <v>130348</v>
      </c>
      <c r="AR39" s="137">
        <v>2231643</v>
      </c>
      <c r="AS39" s="137">
        <v>744178</v>
      </c>
      <c r="AT39" s="137">
        <v>0</v>
      </c>
      <c r="AU39" s="137">
        <v>3943630</v>
      </c>
      <c r="AV39" s="137">
        <v>9036056</v>
      </c>
      <c r="AW39" s="137">
        <v>3069820</v>
      </c>
      <c r="AX39" s="137">
        <v>803467</v>
      </c>
      <c r="AY39" s="137">
        <v>0</v>
      </c>
      <c r="AZ39" s="137">
        <v>3487501</v>
      </c>
      <c r="BA39" s="137">
        <v>284126</v>
      </c>
      <c r="BB39" s="137">
        <v>372770</v>
      </c>
      <c r="BC39" s="137">
        <v>13314508</v>
      </c>
      <c r="BD39" s="137">
        <v>0</v>
      </c>
      <c r="BE39" s="137">
        <v>370780</v>
      </c>
      <c r="BF39" s="137">
        <v>0</v>
      </c>
      <c r="BG39" s="137">
        <v>10889258</v>
      </c>
      <c r="BH39" s="137">
        <v>3992674</v>
      </c>
      <c r="BI39" s="137">
        <v>4784315</v>
      </c>
      <c r="BJ39" s="137">
        <v>344017</v>
      </c>
      <c r="BK39" s="100"/>
      <c r="BL39" s="79">
        <f>SUM(E39:BK39)</f>
        <v>194625708</v>
      </c>
    </row>
    <row r="40" spans="1:64" ht="14.25" thickBot="1" x14ac:dyDescent="0.3">
      <c r="A40" s="78"/>
      <c r="B40" s="79"/>
      <c r="C40" s="111" t="s">
        <v>245</v>
      </c>
      <c r="D40" s="90"/>
      <c r="E40" s="126">
        <f>SUM(E33:E39)</f>
        <v>17458406</v>
      </c>
      <c r="F40" s="126">
        <f t="shared" ref="F40:BJ40" si="6">SUM(F33:F39)</f>
        <v>5058503</v>
      </c>
      <c r="G40" s="126">
        <f t="shared" si="6"/>
        <v>15971220</v>
      </c>
      <c r="H40" s="126">
        <f t="shared" si="6"/>
        <v>0</v>
      </c>
      <c r="I40" s="126">
        <f t="shared" si="6"/>
        <v>1415329</v>
      </c>
      <c r="J40" s="126">
        <f t="shared" si="6"/>
        <v>17363307</v>
      </c>
      <c r="K40" s="126">
        <f t="shared" si="6"/>
        <v>6648460</v>
      </c>
      <c r="L40" s="126">
        <f t="shared" si="6"/>
        <v>21070013</v>
      </c>
      <c r="M40" s="126">
        <f t="shared" si="6"/>
        <v>19171758</v>
      </c>
      <c r="N40" s="126">
        <f>SUM(N33:N39)</f>
        <v>6285197</v>
      </c>
      <c r="O40" s="126">
        <f t="shared" si="6"/>
        <v>9546164</v>
      </c>
      <c r="P40" s="126">
        <f t="shared" si="6"/>
        <v>13194124</v>
      </c>
      <c r="Q40" s="126">
        <f t="shared" si="6"/>
        <v>95011098</v>
      </c>
      <c r="R40" s="126">
        <f t="shared" si="6"/>
        <v>2436486</v>
      </c>
      <c r="S40" s="126">
        <f t="shared" si="6"/>
        <v>0</v>
      </c>
      <c r="T40" s="126">
        <f t="shared" si="6"/>
        <v>10612447</v>
      </c>
      <c r="U40" s="126">
        <f t="shared" si="6"/>
        <v>0</v>
      </c>
      <c r="V40" s="126">
        <f t="shared" si="6"/>
        <v>25883040</v>
      </c>
      <c r="W40" s="126">
        <f t="shared" si="6"/>
        <v>14773885</v>
      </c>
      <c r="X40" s="126">
        <f t="shared" si="6"/>
        <v>3273801</v>
      </c>
      <c r="Y40" s="126">
        <f t="shared" si="6"/>
        <v>0</v>
      </c>
      <c r="Z40" s="126">
        <f t="shared" si="6"/>
        <v>14529006</v>
      </c>
      <c r="AA40" s="126">
        <f t="shared" si="6"/>
        <v>40342</v>
      </c>
      <c r="AB40" s="126">
        <f t="shared" si="6"/>
        <v>17668887</v>
      </c>
      <c r="AC40" s="126">
        <f t="shared" si="6"/>
        <v>0</v>
      </c>
      <c r="AD40" s="126">
        <f t="shared" si="6"/>
        <v>0</v>
      </c>
      <c r="AE40" s="126">
        <f t="shared" si="6"/>
        <v>3300102</v>
      </c>
      <c r="AF40" s="126">
        <f t="shared" si="6"/>
        <v>2294263</v>
      </c>
      <c r="AG40" s="126">
        <f t="shared" si="6"/>
        <v>13256212</v>
      </c>
      <c r="AH40" s="126">
        <f t="shared" si="6"/>
        <v>12415520</v>
      </c>
      <c r="AI40" s="126">
        <f t="shared" si="6"/>
        <v>412025</v>
      </c>
      <c r="AJ40" s="126">
        <f t="shared" si="6"/>
        <v>7987728</v>
      </c>
      <c r="AK40" s="126">
        <f t="shared" si="6"/>
        <v>0</v>
      </c>
      <c r="AL40" s="126">
        <f t="shared" si="6"/>
        <v>0</v>
      </c>
      <c r="AM40" s="126">
        <f t="shared" si="6"/>
        <v>4398829</v>
      </c>
      <c r="AN40" s="126">
        <f t="shared" si="6"/>
        <v>10773910</v>
      </c>
      <c r="AO40" s="126">
        <f t="shared" si="6"/>
        <v>0</v>
      </c>
      <c r="AP40" s="126">
        <f t="shared" si="6"/>
        <v>2443568</v>
      </c>
      <c r="AQ40" s="126">
        <f t="shared" si="6"/>
        <v>7826824</v>
      </c>
      <c r="AR40" s="126">
        <f t="shared" si="6"/>
        <v>14367913</v>
      </c>
      <c r="AS40" s="126">
        <f t="shared" si="6"/>
        <v>5553024</v>
      </c>
      <c r="AT40" s="126">
        <f t="shared" si="6"/>
        <v>0</v>
      </c>
      <c r="AU40" s="126">
        <f t="shared" si="6"/>
        <v>3943630</v>
      </c>
      <c r="AV40" s="126">
        <f t="shared" si="6"/>
        <v>20742207</v>
      </c>
      <c r="AW40" s="126">
        <f t="shared" si="6"/>
        <v>9299286</v>
      </c>
      <c r="AX40" s="126">
        <f t="shared" si="6"/>
        <v>4644810</v>
      </c>
      <c r="AY40" s="126">
        <f t="shared" si="6"/>
        <v>0</v>
      </c>
      <c r="AZ40" s="126">
        <f t="shared" si="6"/>
        <v>8797161</v>
      </c>
      <c r="BA40" s="126">
        <f t="shared" si="6"/>
        <v>7639625</v>
      </c>
      <c r="BB40" s="126">
        <f t="shared" si="6"/>
        <v>4329491</v>
      </c>
      <c r="BC40" s="126">
        <f t="shared" si="6"/>
        <v>15088456</v>
      </c>
      <c r="BD40" s="126">
        <f>SUM(BD33:BD39)</f>
        <v>416040</v>
      </c>
      <c r="BE40" s="126">
        <f t="shared" si="6"/>
        <v>9670821</v>
      </c>
      <c r="BF40" s="126">
        <f t="shared" si="6"/>
        <v>0</v>
      </c>
      <c r="BG40" s="126">
        <f t="shared" si="6"/>
        <v>11097375</v>
      </c>
      <c r="BH40" s="126">
        <f t="shared" si="6"/>
        <v>3992674</v>
      </c>
      <c r="BI40" s="126">
        <f t="shared" si="6"/>
        <v>13259162</v>
      </c>
      <c r="BJ40" s="126">
        <f t="shared" si="6"/>
        <v>6530855</v>
      </c>
      <c r="BK40" s="126"/>
      <c r="BL40" s="126">
        <f>SUM(BL33:BL39)</f>
        <v>521892984</v>
      </c>
    </row>
    <row r="41" spans="1:64" ht="14.25" thickTop="1" x14ac:dyDescent="0.25">
      <c r="A41" s="78"/>
      <c r="B41" s="79"/>
      <c r="C41" s="90"/>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82"/>
    </row>
    <row r="42" spans="1:64" ht="13.5" x14ac:dyDescent="0.25">
      <c r="A42" s="78"/>
      <c r="B42" s="79"/>
      <c r="C42" s="81"/>
      <c r="D42" s="102"/>
      <c r="E42" s="103" t="str">
        <f>IF(E17-E30=E40,"In Balance",E40+E30-E17)</f>
        <v>In Balance</v>
      </c>
      <c r="F42" s="103" t="str">
        <f t="shared" ref="F42:BL42" si="7">IF(F17-F30=F40,"In Balance",F40+F30-F17)</f>
        <v>In Balance</v>
      </c>
      <c r="G42" s="103" t="str">
        <f t="shared" si="7"/>
        <v>In Balance</v>
      </c>
      <c r="H42" s="103" t="str">
        <f>IF(H17-H30=H40,"In Balance",H40+H30-H17)</f>
        <v>In Balance</v>
      </c>
      <c r="I42" s="103" t="str">
        <f t="shared" si="7"/>
        <v>In Balance</v>
      </c>
      <c r="J42" s="103" t="str">
        <f t="shared" si="7"/>
        <v>In Balance</v>
      </c>
      <c r="K42" s="103" t="str">
        <f t="shared" si="7"/>
        <v>In Balance</v>
      </c>
      <c r="L42" s="103" t="str">
        <f t="shared" si="7"/>
        <v>In Balance</v>
      </c>
      <c r="M42" s="103" t="str">
        <f>IF(M17-M30=M40,"In Balance",M40+M30-M17)</f>
        <v>In Balance</v>
      </c>
      <c r="N42" s="103" t="str">
        <f t="shared" si="7"/>
        <v>In Balance</v>
      </c>
      <c r="O42" s="103" t="str">
        <f t="shared" si="7"/>
        <v>In Balance</v>
      </c>
      <c r="P42" s="103" t="str">
        <f t="shared" si="7"/>
        <v>In Balance</v>
      </c>
      <c r="Q42" s="103" t="str">
        <f t="shared" si="7"/>
        <v>In Balance</v>
      </c>
      <c r="R42" s="103" t="str">
        <f t="shared" si="7"/>
        <v>In Balance</v>
      </c>
      <c r="S42" s="103" t="str">
        <f>IF(S17-S30=S40,"In Balance",S40+S30-S17)</f>
        <v>In Balance</v>
      </c>
      <c r="T42" s="103" t="str">
        <f>IF(T17-T30=T40,"In Balance",T40+T30-T17)</f>
        <v>In Balance</v>
      </c>
      <c r="U42" s="103" t="str">
        <f>IF(U17-U30=U40,"In Balance",U40+U30-U17)</f>
        <v>In Balance</v>
      </c>
      <c r="V42" s="103" t="str">
        <f t="shared" si="7"/>
        <v>In Balance</v>
      </c>
      <c r="W42" s="103" t="str">
        <f>IF(W17-W30=W40,"In Balance",W40+W30-W17)</f>
        <v>In Balance</v>
      </c>
      <c r="X42" s="103" t="str">
        <f>IF(X17-X30=X40,"In Balance",X40+X30-X17)</f>
        <v>In Balance</v>
      </c>
      <c r="Y42" s="103" t="str">
        <f>IF(Y17-Y30=Y40,"In Balance",Y40+Y30-Y17)</f>
        <v>In Balance</v>
      </c>
      <c r="Z42" s="103" t="str">
        <f>IF(Z17-Z30=Z40,"In Balance",Z40+Z30-Z17)</f>
        <v>In Balance</v>
      </c>
      <c r="AA42" s="103" t="str">
        <f>IF(AA17-AA30=AA40,"In Balance",AA40+AA30-AA17)</f>
        <v>In Balance</v>
      </c>
      <c r="AB42" s="103" t="str">
        <f t="shared" si="7"/>
        <v>In Balance</v>
      </c>
      <c r="AC42" s="103" t="str">
        <f>IF(AC17-AC30=AC40,"In Balance",AC40+AC30-AC17)</f>
        <v>In Balance</v>
      </c>
      <c r="AD42" s="103" t="str">
        <f>IF(AD17-AD30=AD40,"In Balance",AD40+AD30-AD17)</f>
        <v>In Balance</v>
      </c>
      <c r="AE42" s="103" t="str">
        <f t="shared" si="7"/>
        <v>In Balance</v>
      </c>
      <c r="AF42" s="103" t="str">
        <f t="shared" si="7"/>
        <v>In Balance</v>
      </c>
      <c r="AG42" s="103" t="str">
        <f t="shared" si="7"/>
        <v>In Balance</v>
      </c>
      <c r="AH42" s="103" t="str">
        <f t="shared" si="7"/>
        <v>In Balance</v>
      </c>
      <c r="AI42" s="103" t="str">
        <f>IF(AI17-AI30=AI40,"In Balance",AI40+AI30-AI17)</f>
        <v>In Balance</v>
      </c>
      <c r="AJ42" s="103" t="str">
        <f t="shared" si="7"/>
        <v>In Balance</v>
      </c>
      <c r="AK42" s="103" t="str">
        <f>IF(AK17-AK30=AK40,"In Balance",AK40+AK30-AK17)</f>
        <v>In Balance</v>
      </c>
      <c r="AL42" s="103" t="str">
        <f>IF(AL17-AL30=AL40,"In Balance",AL40+AL30-AL17)</f>
        <v>In Balance</v>
      </c>
      <c r="AM42" s="103" t="str">
        <f t="shared" si="7"/>
        <v>In Balance</v>
      </c>
      <c r="AN42" s="103" t="str">
        <f t="shared" si="7"/>
        <v>In Balance</v>
      </c>
      <c r="AO42" s="103" t="str">
        <f t="shared" si="7"/>
        <v>In Balance</v>
      </c>
      <c r="AP42" s="103" t="str">
        <f t="shared" si="7"/>
        <v>In Balance</v>
      </c>
      <c r="AQ42" s="103" t="str">
        <f t="shared" si="7"/>
        <v>In Balance</v>
      </c>
      <c r="AR42" s="103" t="str">
        <f t="shared" si="7"/>
        <v>In Balance</v>
      </c>
      <c r="AS42" s="103" t="str">
        <f t="shared" si="7"/>
        <v>In Balance</v>
      </c>
      <c r="AT42" s="103" t="str">
        <f t="shared" si="7"/>
        <v>In Balance</v>
      </c>
      <c r="AU42" s="103" t="str">
        <f t="shared" si="7"/>
        <v>In Balance</v>
      </c>
      <c r="AV42" s="103" t="str">
        <f t="shared" si="7"/>
        <v>In Balance</v>
      </c>
      <c r="AW42" s="103" t="str">
        <f t="shared" si="7"/>
        <v>In Balance</v>
      </c>
      <c r="AX42" s="103" t="str">
        <f t="shared" si="7"/>
        <v>In Balance</v>
      </c>
      <c r="AY42" s="103" t="str">
        <f t="shared" si="7"/>
        <v>In Balance</v>
      </c>
      <c r="AZ42" s="103" t="str">
        <f t="shared" si="7"/>
        <v>In Balance</v>
      </c>
      <c r="BA42" s="103" t="str">
        <f t="shared" si="7"/>
        <v>In Balance</v>
      </c>
      <c r="BB42" s="103" t="str">
        <f t="shared" si="7"/>
        <v>In Balance</v>
      </c>
      <c r="BC42" s="103" t="str">
        <f t="shared" si="7"/>
        <v>In Balance</v>
      </c>
      <c r="BD42" s="103" t="str">
        <f t="shared" si="7"/>
        <v>In Balance</v>
      </c>
      <c r="BE42" s="103" t="str">
        <f t="shared" si="7"/>
        <v>In Balance</v>
      </c>
      <c r="BF42" s="103" t="str">
        <f t="shared" si="7"/>
        <v>In Balance</v>
      </c>
      <c r="BG42" s="103" t="str">
        <f t="shared" si="7"/>
        <v>In Balance</v>
      </c>
      <c r="BH42" s="103" t="str">
        <f t="shared" si="7"/>
        <v>In Balance</v>
      </c>
      <c r="BI42" s="103" t="str">
        <f t="shared" si="7"/>
        <v>In Balance</v>
      </c>
      <c r="BJ42" s="103" t="str">
        <f t="shared" si="7"/>
        <v>In Balance</v>
      </c>
      <c r="BK42" s="103"/>
      <c r="BL42" s="103" t="str">
        <f t="shared" si="7"/>
        <v>In Balance</v>
      </c>
    </row>
    <row r="43" spans="1:64" ht="13.5" x14ac:dyDescent="0.25">
      <c r="A43" s="78"/>
      <c r="B43" s="79"/>
      <c r="C43" s="79"/>
      <c r="D43" s="79"/>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row>
    <row r="44" spans="1:64" ht="13.5" x14ac:dyDescent="0.25">
      <c r="A44" s="78"/>
      <c r="B44" s="79"/>
      <c r="C44" s="79" t="s">
        <v>480</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84"/>
    </row>
    <row r="46" spans="1:64" x14ac:dyDescent="0.2">
      <c r="C46" s="173" t="s">
        <v>481</v>
      </c>
    </row>
    <row r="47" spans="1:64" x14ac:dyDescent="0.2">
      <c r="C47" s="173" t="s">
        <v>482</v>
      </c>
    </row>
    <row r="48" spans="1:64" x14ac:dyDescent="0.2">
      <c r="C48" s="173" t="s">
        <v>483</v>
      </c>
    </row>
    <row r="49" spans="3:3" x14ac:dyDescent="0.2">
      <c r="C49" s="173" t="s">
        <v>484</v>
      </c>
    </row>
    <row r="50" spans="3:3" x14ac:dyDescent="0.2">
      <c r="C50" s="173" t="s">
        <v>485</v>
      </c>
    </row>
    <row r="51" spans="3:3" x14ac:dyDescent="0.2">
      <c r="C51" s="173" t="s">
        <v>486</v>
      </c>
    </row>
    <row r="52" spans="3:3" x14ac:dyDescent="0.2">
      <c r="C52" s="173" t="s">
        <v>487</v>
      </c>
    </row>
  </sheetData>
  <sheetProtection algorithmName="SHA-512" hashValue="j7wGt24Hbb8LhKCnGKIbMNCYryGrRPdjzYGCIU4d8V2VVy4VciQZFSAyOshBb36VydwX3TJ6hduSzr9LGdVSgQ==" saltValue="4ZCvTwhHXAC/Vruy5qQu+w==" spinCount="100000" sheet="1" autoFilter="0"/>
  <pageMargins left="0.2" right="0.2" top="0.25" bottom="0.5" header="0.05"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L38"/>
  <sheetViews>
    <sheetView zoomScaleNormal="100" workbookViewId="0">
      <pane xSplit="3" ySplit="5" topLeftCell="D6" activePane="bottomRight" state="frozen"/>
      <selection activeCell="B9" sqref="B9"/>
      <selection pane="topRight" activeCell="B9" sqref="B9"/>
      <selection pane="bottomLeft" activeCell="B9" sqref="B9"/>
      <selection pane="bottomRight" activeCell="B9" sqref="B9"/>
    </sheetView>
  </sheetViews>
  <sheetFormatPr defaultRowHeight="12.75" x14ac:dyDescent="0.2"/>
  <cols>
    <col min="1" max="1" width="5" bestFit="1" customWidth="1"/>
    <col min="2" max="2" width="9.28515625" customWidth="1"/>
    <col min="3" max="3" width="41.5703125" bestFit="1" customWidth="1"/>
    <col min="4" max="4" width="3" customWidth="1"/>
    <col min="5" max="5" width="13" customWidth="1"/>
    <col min="6" max="6" width="12.85546875" customWidth="1"/>
    <col min="7" max="7" width="11.7109375" bestFit="1" customWidth="1"/>
    <col min="8" max="8" width="6.5703125" bestFit="1" customWidth="1"/>
    <col min="9" max="9" width="9.85546875" bestFit="1" customWidth="1"/>
    <col min="10" max="12" width="11.7109375" bestFit="1" customWidth="1"/>
    <col min="13" max="13" width="11.42578125" customWidth="1"/>
    <col min="14" max="16" width="11.7109375" bestFit="1" customWidth="1"/>
    <col min="17" max="17" width="12.7109375" bestFit="1" customWidth="1"/>
    <col min="18" max="18" width="11.7109375" bestFit="1" customWidth="1"/>
    <col min="19" max="19" width="6.7109375" bestFit="1" customWidth="1"/>
    <col min="20" max="20" width="10.140625" customWidth="1"/>
    <col min="21" max="21" width="6.7109375" bestFit="1" customWidth="1"/>
    <col min="22" max="24" width="11.7109375" bestFit="1" customWidth="1"/>
    <col min="25" max="25" width="8.28515625" bestFit="1" customWidth="1"/>
    <col min="26" max="28" width="11.7109375" bestFit="1" customWidth="1"/>
    <col min="29" max="29" width="6.7109375" bestFit="1" customWidth="1"/>
    <col min="30" max="30" width="7" bestFit="1" customWidth="1"/>
    <col min="31" max="34" width="11.7109375" bestFit="1" customWidth="1"/>
    <col min="35" max="35" width="10.140625" bestFit="1" customWidth="1"/>
    <col min="36" max="36" width="11.7109375" bestFit="1" customWidth="1"/>
    <col min="37" max="37" width="7.28515625" bestFit="1" customWidth="1"/>
    <col min="38" max="38" width="6.7109375" bestFit="1" customWidth="1"/>
    <col min="39" max="39" width="11.7109375" bestFit="1" customWidth="1"/>
    <col min="40" max="40" width="10.7109375" bestFit="1" customWidth="1"/>
    <col min="41" max="41" width="6.7109375" bestFit="1" customWidth="1"/>
    <col min="42" max="42" width="10.140625" bestFit="1" customWidth="1"/>
    <col min="43" max="45" width="11.7109375" bestFit="1" customWidth="1"/>
    <col min="46" max="46" width="7.140625" bestFit="1" customWidth="1"/>
    <col min="47" max="47" width="9.7109375" bestFit="1" customWidth="1"/>
    <col min="48" max="48" width="12.7109375" bestFit="1" customWidth="1"/>
    <col min="49" max="49" width="10.42578125" customWidth="1"/>
    <col min="50" max="50" width="11.7109375" bestFit="1" customWidth="1"/>
    <col min="51" max="51" width="7.140625" bestFit="1" customWidth="1"/>
    <col min="52" max="55" width="11.7109375" bestFit="1" customWidth="1"/>
    <col min="56" max="56" width="8.28515625" bestFit="1" customWidth="1"/>
    <col min="57" max="57" width="11.7109375" bestFit="1" customWidth="1"/>
    <col min="58" max="58" width="12" customWidth="1"/>
    <col min="59" max="62" width="11.7109375" bestFit="1" customWidth="1"/>
    <col min="63" max="63" width="5" bestFit="1" customWidth="1"/>
    <col min="64" max="64" width="13.85546875" bestFit="1" customWidth="1"/>
  </cols>
  <sheetData>
    <row r="1" spans="1:64" ht="13.5" x14ac:dyDescent="0.25">
      <c r="A1" s="150" t="s">
        <v>502</v>
      </c>
      <c r="B1" s="116"/>
      <c r="C1" s="80" t="s">
        <v>350</v>
      </c>
      <c r="D1" s="116"/>
      <c r="E1" s="63" t="s">
        <v>508</v>
      </c>
      <c r="F1" s="63" t="s">
        <v>509</v>
      </c>
      <c r="G1" s="63" t="s">
        <v>510</v>
      </c>
      <c r="H1" s="63" t="s">
        <v>511</v>
      </c>
      <c r="I1" s="63" t="s">
        <v>512</v>
      </c>
      <c r="J1" s="63" t="s">
        <v>513</v>
      </c>
      <c r="K1" s="63" t="s">
        <v>514</v>
      </c>
      <c r="L1" s="63" t="s">
        <v>515</v>
      </c>
      <c r="M1" s="63" t="s">
        <v>516</v>
      </c>
      <c r="N1" s="63" t="s">
        <v>499</v>
      </c>
      <c r="O1" s="63" t="s">
        <v>517</v>
      </c>
      <c r="P1" s="63" t="s">
        <v>518</v>
      </c>
      <c r="Q1" s="63" t="s">
        <v>519</v>
      </c>
      <c r="R1" s="63" t="s">
        <v>520</v>
      </c>
      <c r="S1" s="63" t="s">
        <v>521</v>
      </c>
      <c r="T1" s="63" t="s">
        <v>522</v>
      </c>
      <c r="U1" s="63" t="s">
        <v>523</v>
      </c>
      <c r="V1" s="63" t="s">
        <v>524</v>
      </c>
      <c r="W1" s="63" t="s">
        <v>525</v>
      </c>
      <c r="X1" s="63" t="s">
        <v>526</v>
      </c>
      <c r="Y1" s="63" t="s">
        <v>527</v>
      </c>
      <c r="Z1" s="63" t="s">
        <v>528</v>
      </c>
      <c r="AA1" s="63" t="s">
        <v>529</v>
      </c>
      <c r="AB1" s="63" t="s">
        <v>530</v>
      </c>
      <c r="AC1" s="63" t="s">
        <v>531</v>
      </c>
      <c r="AD1" s="63" t="s">
        <v>532</v>
      </c>
      <c r="AE1" s="63" t="s">
        <v>533</v>
      </c>
      <c r="AF1" s="63" t="s">
        <v>534</v>
      </c>
      <c r="AG1" s="63" t="s">
        <v>535</v>
      </c>
      <c r="AH1" s="63" t="s">
        <v>536</v>
      </c>
      <c r="AI1" s="63" t="s">
        <v>537</v>
      </c>
      <c r="AJ1" s="63" t="s">
        <v>538</v>
      </c>
      <c r="AK1" s="63" t="s">
        <v>539</v>
      </c>
      <c r="AL1" s="63" t="s">
        <v>540</v>
      </c>
      <c r="AM1" s="63" t="s">
        <v>541</v>
      </c>
      <c r="AN1" s="63" t="s">
        <v>542</v>
      </c>
      <c r="AO1" s="63" t="s">
        <v>543</v>
      </c>
      <c r="AP1" s="63" t="s">
        <v>544</v>
      </c>
      <c r="AQ1" s="63" t="s">
        <v>545</v>
      </c>
      <c r="AR1" s="63" t="s">
        <v>546</v>
      </c>
      <c r="AS1" s="63" t="s">
        <v>547</v>
      </c>
      <c r="AT1" s="63" t="s">
        <v>548</v>
      </c>
      <c r="AU1" s="63" t="s">
        <v>549</v>
      </c>
      <c r="AV1" s="63" t="s">
        <v>550</v>
      </c>
      <c r="AW1" s="63" t="s">
        <v>551</v>
      </c>
      <c r="AX1" s="63" t="s">
        <v>552</v>
      </c>
      <c r="AY1" s="63" t="s">
        <v>553</v>
      </c>
      <c r="AZ1" s="63" t="s">
        <v>554</v>
      </c>
      <c r="BA1" s="63" t="s">
        <v>555</v>
      </c>
      <c r="BB1" s="63" t="s">
        <v>556</v>
      </c>
      <c r="BC1" s="63" t="s">
        <v>557</v>
      </c>
      <c r="BD1" s="63" t="s">
        <v>558</v>
      </c>
      <c r="BE1" s="63" t="s">
        <v>559</v>
      </c>
      <c r="BF1" s="63" t="s">
        <v>560</v>
      </c>
      <c r="BG1" s="63" t="s">
        <v>561</v>
      </c>
      <c r="BH1" s="63" t="s">
        <v>562</v>
      </c>
      <c r="BI1" s="63" t="s">
        <v>563</v>
      </c>
      <c r="BJ1" s="63" t="s">
        <v>564</v>
      </c>
      <c r="BK1" s="82"/>
      <c r="BL1" s="80" t="s">
        <v>39</v>
      </c>
    </row>
    <row r="2" spans="1:64" ht="13.5" x14ac:dyDescent="0.25">
      <c r="A2" s="115"/>
      <c r="B2" s="117"/>
      <c r="C2" s="83" t="s">
        <v>488</v>
      </c>
      <c r="D2" s="117"/>
      <c r="E2" s="80" t="s">
        <v>352</v>
      </c>
      <c r="F2" s="80" t="s">
        <v>353</v>
      </c>
      <c r="G2" s="80" t="s">
        <v>354</v>
      </c>
      <c r="H2" s="80" t="s">
        <v>355</v>
      </c>
      <c r="I2" s="80" t="s">
        <v>356</v>
      </c>
      <c r="J2" s="80" t="s">
        <v>357</v>
      </c>
      <c r="K2" s="80" t="s">
        <v>358</v>
      </c>
      <c r="L2" s="80" t="s">
        <v>359</v>
      </c>
      <c r="M2" s="80" t="s">
        <v>360</v>
      </c>
      <c r="N2" s="80" t="s">
        <v>361</v>
      </c>
      <c r="O2" s="80" t="s">
        <v>362</v>
      </c>
      <c r="P2" s="80" t="s">
        <v>363</v>
      </c>
      <c r="Q2" s="80" t="s">
        <v>364</v>
      </c>
      <c r="R2" s="80" t="s">
        <v>365</v>
      </c>
      <c r="S2" s="80" t="s">
        <v>366</v>
      </c>
      <c r="T2" s="80" t="s">
        <v>367</v>
      </c>
      <c r="U2" s="80" t="s">
        <v>368</v>
      </c>
      <c r="V2" s="80" t="s">
        <v>369</v>
      </c>
      <c r="W2" s="80" t="s">
        <v>370</v>
      </c>
      <c r="X2" s="80" t="s">
        <v>371</v>
      </c>
      <c r="Y2" s="80" t="s">
        <v>372</v>
      </c>
      <c r="Z2" s="80" t="s">
        <v>373</v>
      </c>
      <c r="AA2" s="80" t="s">
        <v>374</v>
      </c>
      <c r="AB2" s="80" t="s">
        <v>375</v>
      </c>
      <c r="AC2" s="80" t="s">
        <v>376</v>
      </c>
      <c r="AD2" s="80" t="s">
        <v>377</v>
      </c>
      <c r="AE2" s="80" t="s">
        <v>378</v>
      </c>
      <c r="AF2" s="80" t="s">
        <v>379</v>
      </c>
      <c r="AG2" s="80" t="s">
        <v>380</v>
      </c>
      <c r="AH2" s="80" t="s">
        <v>381</v>
      </c>
      <c r="AI2" s="80" t="s">
        <v>382</v>
      </c>
      <c r="AJ2" s="80" t="s">
        <v>383</v>
      </c>
      <c r="AK2" s="80" t="s">
        <v>384</v>
      </c>
      <c r="AL2" s="80" t="s">
        <v>385</v>
      </c>
      <c r="AM2" s="80" t="s">
        <v>386</v>
      </c>
      <c r="AN2" s="80" t="s">
        <v>387</v>
      </c>
      <c r="AO2" s="80" t="s">
        <v>388</v>
      </c>
      <c r="AP2" s="80" t="s">
        <v>389</v>
      </c>
      <c r="AQ2" s="80" t="s">
        <v>390</v>
      </c>
      <c r="AR2" s="80" t="s">
        <v>391</v>
      </c>
      <c r="AS2" s="80" t="s">
        <v>392</v>
      </c>
      <c r="AT2" s="80" t="s">
        <v>393</v>
      </c>
      <c r="AU2" s="80" t="s">
        <v>394</v>
      </c>
      <c r="AV2" s="80" t="s">
        <v>395</v>
      </c>
      <c r="AW2" s="80" t="s">
        <v>396</v>
      </c>
      <c r="AX2" s="80" t="s">
        <v>397</v>
      </c>
      <c r="AY2" s="80" t="s">
        <v>398</v>
      </c>
      <c r="AZ2" s="80" t="s">
        <v>399</v>
      </c>
      <c r="BA2" s="80" t="s">
        <v>400</v>
      </c>
      <c r="BB2" s="80" t="s">
        <v>401</v>
      </c>
      <c r="BC2" s="80" t="s">
        <v>402</v>
      </c>
      <c r="BD2" s="80" t="s">
        <v>403</v>
      </c>
      <c r="BE2" s="80" t="s">
        <v>404</v>
      </c>
      <c r="BF2" s="80" t="s">
        <v>405</v>
      </c>
      <c r="BG2" s="80" t="s">
        <v>406</v>
      </c>
      <c r="BH2" s="80" t="s">
        <v>407</v>
      </c>
      <c r="BI2" s="80" t="s">
        <v>408</v>
      </c>
      <c r="BJ2" s="80" t="s">
        <v>409</v>
      </c>
      <c r="BK2" s="84"/>
      <c r="BL2" s="81"/>
    </row>
    <row r="3" spans="1:64" ht="13.5" x14ac:dyDescent="0.25">
      <c r="A3" s="115"/>
      <c r="B3" s="116"/>
      <c r="C3" s="105" t="s">
        <v>500</v>
      </c>
      <c r="D3" s="116"/>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4"/>
      <c r="BL3" s="81"/>
    </row>
    <row r="4" spans="1:64" ht="13.5" x14ac:dyDescent="0.25">
      <c r="A4" s="115"/>
      <c r="B4" s="116"/>
      <c r="C4" s="86" t="s">
        <v>410</v>
      </c>
      <c r="D4" s="116"/>
      <c r="E4" s="81"/>
      <c r="F4" s="81"/>
      <c r="G4" s="81"/>
      <c r="H4" s="81"/>
      <c r="I4" s="81"/>
      <c r="J4" s="81"/>
      <c r="K4" s="81"/>
      <c r="L4" s="81"/>
      <c r="M4" s="81"/>
      <c r="N4" s="81"/>
      <c r="O4" s="81"/>
      <c r="P4" s="81" t="s">
        <v>412</v>
      </c>
      <c r="Q4" s="81" t="s">
        <v>412</v>
      </c>
      <c r="R4" s="81"/>
      <c r="S4" s="81"/>
      <c r="T4" s="81" t="s">
        <v>413</v>
      </c>
      <c r="U4" s="81"/>
      <c r="V4" s="81" t="s">
        <v>414</v>
      </c>
      <c r="W4" s="81"/>
      <c r="X4" s="81"/>
      <c r="Y4" s="81"/>
      <c r="Z4" s="81"/>
      <c r="AA4" s="81"/>
      <c r="AB4" s="81"/>
      <c r="AC4" s="81"/>
      <c r="AD4" s="81"/>
      <c r="AE4" s="81"/>
      <c r="AF4" s="81"/>
      <c r="AG4" s="81"/>
      <c r="AH4" s="81"/>
      <c r="AI4" s="81"/>
      <c r="AJ4" s="81"/>
      <c r="AK4" s="81"/>
      <c r="AL4" s="81"/>
      <c r="AM4" s="81"/>
      <c r="AN4" s="81"/>
      <c r="AO4" s="81"/>
      <c r="AP4" s="81"/>
      <c r="AQ4" s="81"/>
      <c r="AR4" s="81"/>
      <c r="AS4" s="81"/>
      <c r="AT4" s="81" t="s">
        <v>415</v>
      </c>
      <c r="AU4" s="81"/>
      <c r="AV4" s="81"/>
      <c r="AW4" s="81" t="s">
        <v>416</v>
      </c>
      <c r="AX4" s="81"/>
      <c r="AY4" s="81"/>
      <c r="AZ4" s="81"/>
      <c r="BA4" s="81"/>
      <c r="BB4" s="81"/>
      <c r="BC4" s="81"/>
      <c r="BD4" s="81"/>
      <c r="BE4" s="81" t="s">
        <v>417</v>
      </c>
      <c r="BF4" s="81"/>
      <c r="BG4" s="81"/>
      <c r="BH4" s="81"/>
      <c r="BI4" s="81"/>
      <c r="BJ4" s="81"/>
      <c r="BK4" s="84"/>
      <c r="BL4" s="81"/>
    </row>
    <row r="5" spans="1:64" ht="13.5" x14ac:dyDescent="0.25">
      <c r="A5" s="115"/>
      <c r="B5" s="116"/>
      <c r="C5" s="87" t="s">
        <v>489</v>
      </c>
      <c r="D5" s="116"/>
      <c r="E5" s="88" t="s">
        <v>419</v>
      </c>
      <c r="F5" s="88" t="s">
        <v>420</v>
      </c>
      <c r="G5" s="88" t="s">
        <v>421</v>
      </c>
      <c r="H5" s="88" t="s">
        <v>422</v>
      </c>
      <c r="I5" s="88" t="s">
        <v>423</v>
      </c>
      <c r="J5" s="88" t="s">
        <v>424</v>
      </c>
      <c r="K5" s="88" t="s">
        <v>425</v>
      </c>
      <c r="L5" s="88" t="s">
        <v>426</v>
      </c>
      <c r="M5" s="88" t="s">
        <v>427</v>
      </c>
      <c r="N5" s="88" t="s">
        <v>428</v>
      </c>
      <c r="O5" s="88" t="s">
        <v>429</v>
      </c>
      <c r="P5" s="88" t="s">
        <v>430</v>
      </c>
      <c r="Q5" s="88" t="s">
        <v>431</v>
      </c>
      <c r="R5" s="88" t="s">
        <v>432</v>
      </c>
      <c r="S5" s="88" t="s">
        <v>433</v>
      </c>
      <c r="T5" s="88" t="s">
        <v>434</v>
      </c>
      <c r="U5" s="88" t="s">
        <v>435</v>
      </c>
      <c r="V5" s="88" t="s">
        <v>436</v>
      </c>
      <c r="W5" s="88" t="s">
        <v>437</v>
      </c>
      <c r="X5" s="88" t="s">
        <v>438</v>
      </c>
      <c r="Y5" s="88" t="s">
        <v>439</v>
      </c>
      <c r="Z5" s="88" t="s">
        <v>440</v>
      </c>
      <c r="AA5" s="88" t="s">
        <v>441</v>
      </c>
      <c r="AB5" s="88" t="s">
        <v>442</v>
      </c>
      <c r="AC5" s="88" t="s">
        <v>443</v>
      </c>
      <c r="AD5" s="88" t="s">
        <v>444</v>
      </c>
      <c r="AE5" s="88" t="s">
        <v>445</v>
      </c>
      <c r="AF5" s="88" t="s">
        <v>446</v>
      </c>
      <c r="AG5" s="88" t="s">
        <v>447</v>
      </c>
      <c r="AH5" s="88" t="s">
        <v>448</v>
      </c>
      <c r="AI5" s="88" t="s">
        <v>449</v>
      </c>
      <c r="AJ5" s="88" t="s">
        <v>450</v>
      </c>
      <c r="AK5" s="88" t="s">
        <v>451</v>
      </c>
      <c r="AL5" s="88" t="s">
        <v>452</v>
      </c>
      <c r="AM5" s="88" t="s">
        <v>453</v>
      </c>
      <c r="AN5" s="88" t="s">
        <v>454</v>
      </c>
      <c r="AO5" s="88" t="s">
        <v>455</v>
      </c>
      <c r="AP5" s="88" t="s">
        <v>431</v>
      </c>
      <c r="AQ5" s="88" t="s">
        <v>456</v>
      </c>
      <c r="AR5" s="88" t="s">
        <v>457</v>
      </c>
      <c r="AS5" s="88" t="s">
        <v>458</v>
      </c>
      <c r="AT5" s="88" t="s">
        <v>459</v>
      </c>
      <c r="AU5" s="88" t="s">
        <v>460</v>
      </c>
      <c r="AV5" s="88" t="s">
        <v>461</v>
      </c>
      <c r="AW5" s="88" t="s">
        <v>462</v>
      </c>
      <c r="AX5" s="88" t="s">
        <v>463</v>
      </c>
      <c r="AY5" s="88" t="s">
        <v>464</v>
      </c>
      <c r="AZ5" s="88" t="s">
        <v>465</v>
      </c>
      <c r="BA5" s="88" t="s">
        <v>466</v>
      </c>
      <c r="BB5" s="88" t="s">
        <v>467</v>
      </c>
      <c r="BC5" s="88" t="s">
        <v>468</v>
      </c>
      <c r="BD5" s="88" t="s">
        <v>469</v>
      </c>
      <c r="BE5" s="88" t="s">
        <v>470</v>
      </c>
      <c r="BF5" s="88" t="s">
        <v>471</v>
      </c>
      <c r="BG5" s="88" t="s">
        <v>472</v>
      </c>
      <c r="BH5" s="88" t="s">
        <v>473</v>
      </c>
      <c r="BI5" s="88" t="s">
        <v>474</v>
      </c>
      <c r="BJ5" s="88" t="s">
        <v>475</v>
      </c>
      <c r="BK5" s="84"/>
      <c r="BL5" s="88"/>
    </row>
    <row r="6" spans="1:64" x14ac:dyDescent="0.2">
      <c r="A6" s="115"/>
      <c r="B6" s="116"/>
      <c r="C6" s="111" t="s">
        <v>260</v>
      </c>
      <c r="D6" s="116"/>
      <c r="E6" s="116"/>
      <c r="F6" s="116"/>
      <c r="G6" s="116"/>
      <c r="H6" s="116"/>
      <c r="I6" s="116"/>
      <c r="J6" s="116"/>
      <c r="K6" s="116"/>
      <c r="L6" s="116"/>
      <c r="M6" s="116"/>
      <c r="N6" s="116"/>
      <c r="O6" s="116"/>
      <c r="P6" s="116"/>
      <c r="Q6" s="116"/>
      <c r="R6" s="116"/>
      <c r="S6" s="116">
        <v>0</v>
      </c>
      <c r="T6" s="116"/>
      <c r="U6" s="116"/>
      <c r="V6" s="116"/>
      <c r="W6" s="116">
        <v>0</v>
      </c>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row>
    <row r="7" spans="1:64" ht="13.5" x14ac:dyDescent="0.25">
      <c r="A7" s="115">
        <v>2710</v>
      </c>
      <c r="B7" s="196">
        <v>500</v>
      </c>
      <c r="C7" s="200" t="s">
        <v>139</v>
      </c>
      <c r="D7" s="116"/>
      <c r="E7" s="137">
        <v>3322903</v>
      </c>
      <c r="F7" s="137">
        <v>894761</v>
      </c>
      <c r="G7" s="137">
        <v>2350140</v>
      </c>
      <c r="H7" s="146">
        <v>0</v>
      </c>
      <c r="I7" s="137">
        <v>275625</v>
      </c>
      <c r="J7" s="137">
        <v>2210580</v>
      </c>
      <c r="K7" s="137">
        <v>1360070</v>
      </c>
      <c r="L7" s="137">
        <v>2131079</v>
      </c>
      <c r="M7" s="137">
        <v>2337379</v>
      </c>
      <c r="N7" s="137">
        <v>977005</v>
      </c>
      <c r="O7" s="137">
        <v>1858885</v>
      </c>
      <c r="P7" s="137">
        <v>1226106</v>
      </c>
      <c r="Q7" s="137">
        <v>13958400</v>
      </c>
      <c r="R7" s="137">
        <v>1154791</v>
      </c>
      <c r="S7" s="146">
        <v>0</v>
      </c>
      <c r="T7" s="137">
        <v>822315</v>
      </c>
      <c r="U7" s="146">
        <v>0</v>
      </c>
      <c r="V7" s="137">
        <v>521709</v>
      </c>
      <c r="W7" s="137">
        <v>7489231</v>
      </c>
      <c r="X7" s="137">
        <v>346825</v>
      </c>
      <c r="Y7" s="146">
        <v>0</v>
      </c>
      <c r="Z7" s="137">
        <v>1780257</v>
      </c>
      <c r="AA7" s="137">
        <v>-1</v>
      </c>
      <c r="AB7" s="137">
        <v>872481</v>
      </c>
      <c r="AC7" s="146">
        <v>0</v>
      </c>
      <c r="AD7" s="146">
        <v>0</v>
      </c>
      <c r="AE7" s="137">
        <v>306456</v>
      </c>
      <c r="AF7" s="137">
        <v>225788</v>
      </c>
      <c r="AG7" s="137">
        <v>1629945</v>
      </c>
      <c r="AH7" s="137">
        <v>805858</v>
      </c>
      <c r="AI7" s="137">
        <v>34848</v>
      </c>
      <c r="AJ7" s="137">
        <v>1812450</v>
      </c>
      <c r="AK7" s="146">
        <v>0</v>
      </c>
      <c r="AL7" s="146">
        <v>0</v>
      </c>
      <c r="AM7" s="137">
        <v>220319</v>
      </c>
      <c r="AN7" s="137">
        <v>531160</v>
      </c>
      <c r="AO7" s="146">
        <v>0</v>
      </c>
      <c r="AP7" s="137">
        <v>688101</v>
      </c>
      <c r="AQ7" s="137">
        <v>1098441</v>
      </c>
      <c r="AR7" s="137">
        <v>624774</v>
      </c>
      <c r="AS7" s="137">
        <v>565634</v>
      </c>
      <c r="AT7" s="146">
        <v>0</v>
      </c>
      <c r="AU7" s="137">
        <v>636216</v>
      </c>
      <c r="AV7" s="137">
        <v>371236</v>
      </c>
      <c r="AW7" s="137">
        <v>834411</v>
      </c>
      <c r="AX7" s="137">
        <v>1756119</v>
      </c>
      <c r="AY7" s="146">
        <v>0</v>
      </c>
      <c r="AZ7" s="137">
        <v>380595</v>
      </c>
      <c r="BA7" s="137">
        <v>524340</v>
      </c>
      <c r="BB7" s="137">
        <v>524701</v>
      </c>
      <c r="BC7" s="137">
        <v>434223</v>
      </c>
      <c r="BD7" s="146">
        <v>141721</v>
      </c>
      <c r="BE7" s="137">
        <v>490665</v>
      </c>
      <c r="BF7" s="146">
        <v>0</v>
      </c>
      <c r="BG7" s="137">
        <v>1270654</v>
      </c>
      <c r="BH7" s="137">
        <v>508370</v>
      </c>
      <c r="BI7" s="137">
        <v>2566180</v>
      </c>
      <c r="BJ7" s="137">
        <v>213495</v>
      </c>
      <c r="BK7" s="116"/>
      <c r="BL7" s="116">
        <f>SUM(E7:BK7)</f>
        <v>65087241</v>
      </c>
    </row>
    <row r="8" spans="1:64" ht="13.5" x14ac:dyDescent="0.25">
      <c r="A8" s="115">
        <v>2890</v>
      </c>
      <c r="B8" s="196">
        <v>510</v>
      </c>
      <c r="C8" s="200" t="s">
        <v>140</v>
      </c>
      <c r="D8" s="116"/>
      <c r="E8" s="137">
        <v>0</v>
      </c>
      <c r="F8" s="137">
        <v>0</v>
      </c>
      <c r="G8" s="137">
        <v>89172</v>
      </c>
      <c r="H8" s="146">
        <v>0</v>
      </c>
      <c r="I8" s="137">
        <v>0</v>
      </c>
      <c r="J8" s="137">
        <v>45069</v>
      </c>
      <c r="K8" s="137">
        <v>0</v>
      </c>
      <c r="L8" s="137">
        <v>0</v>
      </c>
      <c r="M8" s="137">
        <v>342702</v>
      </c>
      <c r="N8" s="137">
        <v>0</v>
      </c>
      <c r="O8" s="137">
        <v>0</v>
      </c>
      <c r="P8" s="137">
        <v>0</v>
      </c>
      <c r="Q8" s="137">
        <v>0</v>
      </c>
      <c r="R8" s="137">
        <v>0</v>
      </c>
      <c r="S8" s="146">
        <v>0</v>
      </c>
      <c r="T8" s="137">
        <v>0</v>
      </c>
      <c r="U8" s="146">
        <v>0</v>
      </c>
      <c r="V8" s="137">
        <v>0</v>
      </c>
      <c r="W8" s="137">
        <v>0</v>
      </c>
      <c r="X8" s="137">
        <v>0</v>
      </c>
      <c r="Y8" s="146">
        <v>0</v>
      </c>
      <c r="Z8" s="137">
        <v>22412</v>
      </c>
      <c r="AA8" s="137">
        <v>0</v>
      </c>
      <c r="AB8" s="137">
        <v>11755</v>
      </c>
      <c r="AC8" s="146">
        <v>0</v>
      </c>
      <c r="AD8" s="146">
        <v>0</v>
      </c>
      <c r="AE8" s="137">
        <v>0</v>
      </c>
      <c r="AF8" s="137">
        <v>0</v>
      </c>
      <c r="AG8" s="137">
        <v>0</v>
      </c>
      <c r="AH8" s="137">
        <v>1317928</v>
      </c>
      <c r="AI8" s="137">
        <v>0</v>
      </c>
      <c r="AJ8" s="137">
        <v>0</v>
      </c>
      <c r="AK8" s="146">
        <v>0</v>
      </c>
      <c r="AL8" s="146">
        <v>0</v>
      </c>
      <c r="AM8" s="137">
        <v>0</v>
      </c>
      <c r="AN8" s="137">
        <v>510000</v>
      </c>
      <c r="AO8" s="146">
        <v>0</v>
      </c>
      <c r="AP8" s="137">
        <v>0</v>
      </c>
      <c r="AQ8" s="137">
        <v>0</v>
      </c>
      <c r="AR8" s="137">
        <v>0</v>
      </c>
      <c r="AS8" s="137">
        <v>0</v>
      </c>
      <c r="AT8" s="146">
        <v>0</v>
      </c>
      <c r="AU8" s="137">
        <v>0</v>
      </c>
      <c r="AV8" s="137">
        <v>0</v>
      </c>
      <c r="AW8" s="137">
        <v>0</v>
      </c>
      <c r="AX8" s="137">
        <v>0</v>
      </c>
      <c r="AY8" s="146">
        <v>0</v>
      </c>
      <c r="AZ8" s="137">
        <v>0</v>
      </c>
      <c r="BA8" s="137">
        <v>0</v>
      </c>
      <c r="BB8" s="137">
        <v>0</v>
      </c>
      <c r="BC8" s="137">
        <v>0</v>
      </c>
      <c r="BD8" s="146">
        <v>0</v>
      </c>
      <c r="BE8" s="137">
        <v>0</v>
      </c>
      <c r="BF8" s="146">
        <v>0</v>
      </c>
      <c r="BG8" s="137">
        <v>714645</v>
      </c>
      <c r="BH8" s="137">
        <v>0</v>
      </c>
      <c r="BI8" s="137">
        <v>0</v>
      </c>
      <c r="BJ8" s="137">
        <v>0</v>
      </c>
      <c r="BK8" s="116"/>
      <c r="BL8" s="116">
        <f t="shared" ref="BL8:BL14" si="0">SUM(E8:BK8)</f>
        <v>3053683</v>
      </c>
    </row>
    <row r="9" spans="1:64" ht="13.5" x14ac:dyDescent="0.25">
      <c r="A9" s="115">
        <v>2900</v>
      </c>
      <c r="B9" s="196">
        <v>520</v>
      </c>
      <c r="C9" s="200" t="s">
        <v>141</v>
      </c>
      <c r="D9" s="116"/>
      <c r="E9" s="137">
        <v>0</v>
      </c>
      <c r="F9" s="137">
        <v>21270</v>
      </c>
      <c r="G9" s="137">
        <v>38455</v>
      </c>
      <c r="H9" s="146">
        <v>0</v>
      </c>
      <c r="I9" s="137">
        <v>0</v>
      </c>
      <c r="J9" s="137">
        <v>-668510</v>
      </c>
      <c r="K9" s="137">
        <v>0</v>
      </c>
      <c r="L9" s="137">
        <v>0</v>
      </c>
      <c r="M9" s="137">
        <v>1258869</v>
      </c>
      <c r="N9" s="137">
        <v>702785</v>
      </c>
      <c r="O9" s="137">
        <v>26150</v>
      </c>
      <c r="P9" s="137">
        <v>0</v>
      </c>
      <c r="Q9" s="137">
        <v>5445080</v>
      </c>
      <c r="R9" s="137">
        <v>0</v>
      </c>
      <c r="S9" s="146">
        <v>0</v>
      </c>
      <c r="T9" s="137">
        <v>43992</v>
      </c>
      <c r="U9" s="146">
        <v>0</v>
      </c>
      <c r="V9" s="137">
        <v>180256</v>
      </c>
      <c r="W9" s="137">
        <v>0</v>
      </c>
      <c r="X9" s="137">
        <v>0</v>
      </c>
      <c r="Y9" s="146">
        <v>0</v>
      </c>
      <c r="Z9" s="137">
        <v>134501</v>
      </c>
      <c r="AA9" s="137">
        <v>0</v>
      </c>
      <c r="AB9" s="137">
        <v>263147</v>
      </c>
      <c r="AC9" s="146">
        <v>0</v>
      </c>
      <c r="AD9" s="146">
        <v>0</v>
      </c>
      <c r="AE9" s="137">
        <v>0</v>
      </c>
      <c r="AF9" s="137">
        <v>33915</v>
      </c>
      <c r="AG9" s="137">
        <v>0</v>
      </c>
      <c r="AH9" s="137">
        <v>387552</v>
      </c>
      <c r="AI9" s="137">
        <v>0</v>
      </c>
      <c r="AJ9" s="137">
        <v>0</v>
      </c>
      <c r="AK9" s="146">
        <v>0</v>
      </c>
      <c r="AL9" s="146">
        <v>0</v>
      </c>
      <c r="AM9" s="137">
        <v>0</v>
      </c>
      <c r="AN9" s="137">
        <v>2111206</v>
      </c>
      <c r="AO9" s="146">
        <v>0</v>
      </c>
      <c r="AP9" s="137">
        <v>0</v>
      </c>
      <c r="AQ9" s="137">
        <v>944194</v>
      </c>
      <c r="AR9" s="137">
        <v>0</v>
      </c>
      <c r="AS9" s="137">
        <v>0</v>
      </c>
      <c r="AT9" s="146">
        <v>0</v>
      </c>
      <c r="AU9" s="137">
        <v>145803</v>
      </c>
      <c r="AV9" s="137">
        <v>125753</v>
      </c>
      <c r="AW9" s="137">
        <v>0</v>
      </c>
      <c r="AX9" s="137">
        <v>0</v>
      </c>
      <c r="AY9" s="146">
        <v>0</v>
      </c>
      <c r="AZ9" s="137">
        <v>161336</v>
      </c>
      <c r="BA9" s="137">
        <v>260958</v>
      </c>
      <c r="BB9" s="137">
        <v>22635</v>
      </c>
      <c r="BC9" s="137">
        <v>0</v>
      </c>
      <c r="BD9" s="146">
        <v>5012</v>
      </c>
      <c r="BE9" s="137">
        <v>90299</v>
      </c>
      <c r="BF9" s="146">
        <v>0</v>
      </c>
      <c r="BG9" s="137">
        <v>86204</v>
      </c>
      <c r="BH9" s="137">
        <v>20000</v>
      </c>
      <c r="BI9" s="137">
        <v>58697</v>
      </c>
      <c r="BJ9" s="137">
        <v>0</v>
      </c>
      <c r="BK9" s="116"/>
      <c r="BL9" s="116">
        <f t="shared" si="0"/>
        <v>11899559</v>
      </c>
    </row>
    <row r="10" spans="1:64" ht="13.5" x14ac:dyDescent="0.25">
      <c r="A10" s="115">
        <v>2760</v>
      </c>
      <c r="B10" s="196">
        <v>530</v>
      </c>
      <c r="C10" s="200" t="s">
        <v>101</v>
      </c>
      <c r="D10" s="116"/>
      <c r="E10" s="137">
        <v>227662</v>
      </c>
      <c r="F10" s="137">
        <v>272767</v>
      </c>
      <c r="G10" s="137">
        <v>645970</v>
      </c>
      <c r="H10" s="146">
        <v>0</v>
      </c>
      <c r="I10" s="137">
        <v>99593</v>
      </c>
      <c r="J10" s="137">
        <v>622374</v>
      </c>
      <c r="K10" s="137">
        <v>1733</v>
      </c>
      <c r="L10" s="137">
        <v>1523075</v>
      </c>
      <c r="M10" s="137">
        <v>1237626</v>
      </c>
      <c r="N10" s="137">
        <v>670</v>
      </c>
      <c r="O10" s="137">
        <v>418193</v>
      </c>
      <c r="P10" s="137">
        <v>873520</v>
      </c>
      <c r="Q10" s="137">
        <v>6863789</v>
      </c>
      <c r="R10" s="137">
        <v>257918</v>
      </c>
      <c r="S10" s="146">
        <v>0</v>
      </c>
      <c r="T10" s="137">
        <v>1058069</v>
      </c>
      <c r="U10" s="146">
        <v>0</v>
      </c>
      <c r="V10" s="137">
        <v>2233264</v>
      </c>
      <c r="W10" s="137">
        <v>492068</v>
      </c>
      <c r="X10" s="137">
        <v>140235</v>
      </c>
      <c r="Y10" s="146">
        <v>0</v>
      </c>
      <c r="Z10" s="137">
        <v>1000950</v>
      </c>
      <c r="AA10" s="137">
        <v>0</v>
      </c>
      <c r="AB10" s="137">
        <v>1388744</v>
      </c>
      <c r="AC10" s="146">
        <v>0</v>
      </c>
      <c r="AD10" s="146">
        <v>0</v>
      </c>
      <c r="AE10" s="137">
        <v>228155</v>
      </c>
      <c r="AF10" s="137">
        <v>152214</v>
      </c>
      <c r="AG10" s="137">
        <v>877560</v>
      </c>
      <c r="AH10" s="137">
        <v>511159</v>
      </c>
      <c r="AI10" s="137">
        <v>2648</v>
      </c>
      <c r="AJ10" s="137">
        <v>-563056</v>
      </c>
      <c r="AK10" s="146">
        <v>0</v>
      </c>
      <c r="AL10" s="146">
        <v>0</v>
      </c>
      <c r="AM10" s="137">
        <v>441906</v>
      </c>
      <c r="AN10" s="137">
        <v>755409</v>
      </c>
      <c r="AO10" s="146">
        <v>0</v>
      </c>
      <c r="AP10" s="137">
        <v>70122</v>
      </c>
      <c r="AQ10" s="137">
        <v>421965</v>
      </c>
      <c r="AR10" s="137">
        <v>904424</v>
      </c>
      <c r="AS10" s="137">
        <v>416940</v>
      </c>
      <c r="AT10" s="146">
        <v>0</v>
      </c>
      <c r="AU10" s="137">
        <v>263392</v>
      </c>
      <c r="AV10" s="137">
        <v>1770812</v>
      </c>
      <c r="AW10" s="137">
        <v>366404</v>
      </c>
      <c r="AX10" s="137">
        <v>421142</v>
      </c>
      <c r="AY10" s="146">
        <v>0</v>
      </c>
      <c r="AZ10" s="137">
        <v>797534</v>
      </c>
      <c r="BA10" s="137">
        <v>694279</v>
      </c>
      <c r="BB10" s="137">
        <v>-179750</v>
      </c>
      <c r="BC10" s="137">
        <v>1179096</v>
      </c>
      <c r="BD10" s="146">
        <v>24361</v>
      </c>
      <c r="BE10" s="137">
        <v>701913</v>
      </c>
      <c r="BF10" s="146">
        <v>0</v>
      </c>
      <c r="BG10" s="137">
        <v>855840</v>
      </c>
      <c r="BH10" s="137">
        <v>230896</v>
      </c>
      <c r="BI10" s="137">
        <v>501895</v>
      </c>
      <c r="BJ10" s="137">
        <v>279343</v>
      </c>
      <c r="BK10" s="116"/>
      <c r="BL10" s="116">
        <f t="shared" si="0"/>
        <v>31484823</v>
      </c>
    </row>
    <row r="11" spans="1:64" ht="13.5" x14ac:dyDescent="0.25">
      <c r="A11" s="115">
        <v>2310</v>
      </c>
      <c r="B11" s="196">
        <v>540</v>
      </c>
      <c r="C11" s="200" t="s">
        <v>103</v>
      </c>
      <c r="D11" s="116"/>
      <c r="E11" s="137">
        <v>0</v>
      </c>
      <c r="F11" s="137">
        <v>0</v>
      </c>
      <c r="G11" s="137">
        <v>0</v>
      </c>
      <c r="H11" s="146">
        <v>0</v>
      </c>
      <c r="I11" s="137">
        <v>0</v>
      </c>
      <c r="J11" s="137">
        <v>0</v>
      </c>
      <c r="K11" s="137">
        <v>0</v>
      </c>
      <c r="L11" s="137">
        <v>0</v>
      </c>
      <c r="M11" s="137">
        <v>0</v>
      </c>
      <c r="N11" s="137">
        <v>480750</v>
      </c>
      <c r="O11" s="137">
        <v>0</v>
      </c>
      <c r="P11" s="137">
        <v>0</v>
      </c>
      <c r="Q11" s="137">
        <v>0</v>
      </c>
      <c r="R11" s="137">
        <v>0</v>
      </c>
      <c r="S11" s="146">
        <v>0</v>
      </c>
      <c r="T11" s="137">
        <v>0</v>
      </c>
      <c r="U11" s="146">
        <v>0</v>
      </c>
      <c r="V11" s="137">
        <v>0</v>
      </c>
      <c r="W11" s="137">
        <v>0</v>
      </c>
      <c r="X11" s="137">
        <v>0</v>
      </c>
      <c r="Y11" s="146">
        <v>0</v>
      </c>
      <c r="Z11" s="137">
        <v>0</v>
      </c>
      <c r="AA11" s="137">
        <v>0</v>
      </c>
      <c r="AB11" s="137">
        <v>0</v>
      </c>
      <c r="AC11" s="146">
        <v>0</v>
      </c>
      <c r="AD11" s="146">
        <v>0</v>
      </c>
      <c r="AE11" s="137">
        <v>0</v>
      </c>
      <c r="AF11" s="137">
        <v>0</v>
      </c>
      <c r="AG11" s="137">
        <v>0</v>
      </c>
      <c r="AH11" s="137">
        <v>221541</v>
      </c>
      <c r="AI11" s="137">
        <v>0</v>
      </c>
      <c r="AJ11" s="137">
        <v>0</v>
      </c>
      <c r="AK11" s="146">
        <v>0</v>
      </c>
      <c r="AL11" s="146">
        <v>0</v>
      </c>
      <c r="AM11" s="137">
        <v>0</v>
      </c>
      <c r="AN11" s="137">
        <v>0</v>
      </c>
      <c r="AO11" s="146">
        <v>0</v>
      </c>
      <c r="AP11" s="137">
        <v>0</v>
      </c>
      <c r="AQ11" s="137">
        <v>0</v>
      </c>
      <c r="AR11" s="137">
        <v>0</v>
      </c>
      <c r="AS11" s="137">
        <v>0</v>
      </c>
      <c r="AT11" s="146">
        <v>0</v>
      </c>
      <c r="AU11" s="137">
        <v>0</v>
      </c>
      <c r="AV11" s="137">
        <v>0</v>
      </c>
      <c r="AW11" s="137">
        <v>0</v>
      </c>
      <c r="AX11" s="137">
        <v>0</v>
      </c>
      <c r="AY11" s="146">
        <v>0</v>
      </c>
      <c r="AZ11" s="137">
        <v>0</v>
      </c>
      <c r="BA11" s="137">
        <v>0</v>
      </c>
      <c r="BB11" s="137">
        <v>0</v>
      </c>
      <c r="BC11" s="137">
        <v>0</v>
      </c>
      <c r="BD11" s="146">
        <v>8605</v>
      </c>
      <c r="BE11" s="137">
        <v>0</v>
      </c>
      <c r="BF11" s="146">
        <v>0</v>
      </c>
      <c r="BG11" s="137">
        <v>0</v>
      </c>
      <c r="BH11" s="137">
        <v>0</v>
      </c>
      <c r="BI11" s="137">
        <v>4618400</v>
      </c>
      <c r="BJ11" s="137">
        <v>0</v>
      </c>
      <c r="BK11" s="116"/>
      <c r="BL11" s="116">
        <f>SUM(E11:BK11)</f>
        <v>5329296</v>
      </c>
    </row>
    <row r="12" spans="1:64" ht="13.5" x14ac:dyDescent="0.25">
      <c r="A12" s="115">
        <v>2420</v>
      </c>
      <c r="B12" s="196">
        <v>550</v>
      </c>
      <c r="C12" s="200" t="s">
        <v>261</v>
      </c>
      <c r="D12" s="116"/>
      <c r="E12" s="137">
        <v>0</v>
      </c>
      <c r="F12" s="137">
        <v>0</v>
      </c>
      <c r="G12" s="137">
        <v>0</v>
      </c>
      <c r="H12" s="146">
        <v>0</v>
      </c>
      <c r="I12" s="137">
        <v>0</v>
      </c>
      <c r="J12" s="137">
        <v>0</v>
      </c>
      <c r="K12" s="137">
        <v>0</v>
      </c>
      <c r="L12" s="137">
        <v>0</v>
      </c>
      <c r="M12" s="137">
        <v>0</v>
      </c>
      <c r="N12" s="137">
        <v>145452</v>
      </c>
      <c r="O12" s="137">
        <v>0</v>
      </c>
      <c r="P12" s="137">
        <v>0</v>
      </c>
      <c r="Q12" s="137">
        <v>280000</v>
      </c>
      <c r="R12" s="137">
        <v>0</v>
      </c>
      <c r="S12" s="146">
        <v>0</v>
      </c>
      <c r="T12" s="137">
        <v>0</v>
      </c>
      <c r="U12" s="146">
        <v>0</v>
      </c>
      <c r="V12" s="137">
        <v>0</v>
      </c>
      <c r="W12" s="137">
        <v>0</v>
      </c>
      <c r="X12" s="137">
        <v>0</v>
      </c>
      <c r="Y12" s="146">
        <v>0</v>
      </c>
      <c r="Z12" s="137">
        <v>0</v>
      </c>
      <c r="AA12" s="137">
        <v>0</v>
      </c>
      <c r="AB12" s="137">
        <v>0</v>
      </c>
      <c r="AC12" s="146">
        <v>0</v>
      </c>
      <c r="AD12" s="146">
        <v>0</v>
      </c>
      <c r="AE12" s="137">
        <v>0</v>
      </c>
      <c r="AF12" s="137">
        <v>0</v>
      </c>
      <c r="AG12" s="137">
        <v>0</v>
      </c>
      <c r="AH12" s="137">
        <v>20588</v>
      </c>
      <c r="AI12" s="137">
        <v>23100</v>
      </c>
      <c r="AJ12" s="137">
        <v>0</v>
      </c>
      <c r="AK12" s="146">
        <v>0</v>
      </c>
      <c r="AL12" s="146">
        <v>0</v>
      </c>
      <c r="AM12" s="137">
        <v>0</v>
      </c>
      <c r="AN12" s="137">
        <v>0</v>
      </c>
      <c r="AO12" s="146">
        <v>0</v>
      </c>
      <c r="AP12" s="137">
        <v>0</v>
      </c>
      <c r="AQ12" s="137">
        <v>0</v>
      </c>
      <c r="AR12" s="137">
        <v>0</v>
      </c>
      <c r="AS12" s="137">
        <v>0</v>
      </c>
      <c r="AT12" s="146">
        <v>0</v>
      </c>
      <c r="AU12" s="137">
        <v>0</v>
      </c>
      <c r="AV12" s="137">
        <v>0</v>
      </c>
      <c r="AW12" s="137">
        <v>0</v>
      </c>
      <c r="AX12" s="137">
        <v>0</v>
      </c>
      <c r="AY12" s="146">
        <v>0</v>
      </c>
      <c r="AZ12" s="137">
        <v>0</v>
      </c>
      <c r="BA12" s="137">
        <v>0</v>
      </c>
      <c r="BB12" s="137">
        <v>0</v>
      </c>
      <c r="BC12" s="137">
        <v>2800</v>
      </c>
      <c r="BD12" s="146">
        <v>0</v>
      </c>
      <c r="BE12" s="137">
        <v>0</v>
      </c>
      <c r="BF12" s="146">
        <v>0</v>
      </c>
      <c r="BG12" s="137">
        <v>0</v>
      </c>
      <c r="BH12" s="137">
        <v>0</v>
      </c>
      <c r="BI12" s="137">
        <v>0</v>
      </c>
      <c r="BJ12" s="137">
        <v>38431</v>
      </c>
      <c r="BK12" s="116"/>
      <c r="BL12" s="116">
        <f t="shared" si="0"/>
        <v>510371</v>
      </c>
    </row>
    <row r="13" spans="1:64" ht="13.5" x14ac:dyDescent="0.25">
      <c r="A13" s="115">
        <v>2740</v>
      </c>
      <c r="B13" s="196">
        <v>555</v>
      </c>
      <c r="C13" s="200" t="s">
        <v>105</v>
      </c>
      <c r="D13" s="116"/>
      <c r="E13" s="137">
        <v>0</v>
      </c>
      <c r="F13" s="137">
        <v>0</v>
      </c>
      <c r="G13" s="137">
        <v>0</v>
      </c>
      <c r="H13" s="146">
        <v>0</v>
      </c>
      <c r="I13" s="137">
        <v>0</v>
      </c>
      <c r="J13" s="137">
        <v>0</v>
      </c>
      <c r="K13" s="137">
        <v>0</v>
      </c>
      <c r="L13" s="137">
        <v>0</v>
      </c>
      <c r="M13" s="137">
        <v>0</v>
      </c>
      <c r="N13" s="137">
        <v>0</v>
      </c>
      <c r="O13" s="137">
        <v>0</v>
      </c>
      <c r="P13" s="137">
        <v>0</v>
      </c>
      <c r="Q13" s="137">
        <v>-6844</v>
      </c>
      <c r="R13" s="137">
        <v>0</v>
      </c>
      <c r="S13" s="146">
        <v>0</v>
      </c>
      <c r="T13" s="137">
        <v>0</v>
      </c>
      <c r="U13" s="146">
        <v>0</v>
      </c>
      <c r="V13" s="137">
        <v>0</v>
      </c>
      <c r="W13" s="137">
        <v>0</v>
      </c>
      <c r="X13" s="137">
        <v>0</v>
      </c>
      <c r="Y13" s="146">
        <v>0</v>
      </c>
      <c r="Z13" s="137">
        <v>0</v>
      </c>
      <c r="AA13" s="137">
        <v>0</v>
      </c>
      <c r="AB13" s="137">
        <v>0</v>
      </c>
      <c r="AC13" s="146">
        <v>0</v>
      </c>
      <c r="AD13" s="146">
        <v>0</v>
      </c>
      <c r="AE13" s="137">
        <v>0</v>
      </c>
      <c r="AF13" s="137">
        <v>0</v>
      </c>
      <c r="AG13" s="137">
        <v>0</v>
      </c>
      <c r="AH13" s="137">
        <v>0</v>
      </c>
      <c r="AI13" s="137">
        <v>0</v>
      </c>
      <c r="AJ13" s="137">
        <v>0</v>
      </c>
      <c r="AK13" s="146">
        <v>0</v>
      </c>
      <c r="AL13" s="146">
        <v>0</v>
      </c>
      <c r="AM13" s="137">
        <v>0</v>
      </c>
      <c r="AN13" s="137">
        <v>26684</v>
      </c>
      <c r="AO13" s="146">
        <v>0</v>
      </c>
      <c r="AP13" s="137">
        <v>0</v>
      </c>
      <c r="AQ13" s="137">
        <v>0</v>
      </c>
      <c r="AR13" s="137">
        <v>1030</v>
      </c>
      <c r="AS13" s="137">
        <v>0</v>
      </c>
      <c r="AT13" s="146">
        <v>0</v>
      </c>
      <c r="AU13" s="137">
        <v>0</v>
      </c>
      <c r="AV13" s="137">
        <v>0</v>
      </c>
      <c r="AW13" s="137">
        <v>0</v>
      </c>
      <c r="AX13" s="137">
        <v>0</v>
      </c>
      <c r="AY13" s="146">
        <v>0</v>
      </c>
      <c r="AZ13" s="137">
        <v>0</v>
      </c>
      <c r="BA13" s="137">
        <v>0</v>
      </c>
      <c r="BB13" s="137">
        <v>0</v>
      </c>
      <c r="BC13" s="137">
        <v>0</v>
      </c>
      <c r="BD13" s="146">
        <v>0</v>
      </c>
      <c r="BE13" s="137">
        <v>0</v>
      </c>
      <c r="BF13" s="146">
        <v>0</v>
      </c>
      <c r="BG13" s="137">
        <v>0</v>
      </c>
      <c r="BH13" s="137">
        <v>0</v>
      </c>
      <c r="BI13" s="137">
        <v>0</v>
      </c>
      <c r="BJ13" s="137">
        <v>0</v>
      </c>
      <c r="BK13" s="116"/>
      <c r="BL13" s="116">
        <f t="shared" si="0"/>
        <v>20870</v>
      </c>
    </row>
    <row r="14" spans="1:64" ht="13.5" x14ac:dyDescent="0.25">
      <c r="A14" s="115">
        <v>2800</v>
      </c>
      <c r="B14" s="196">
        <v>560</v>
      </c>
      <c r="C14" s="200" t="s">
        <v>490</v>
      </c>
      <c r="D14" s="116"/>
      <c r="E14" s="137">
        <v>8427</v>
      </c>
      <c r="F14" s="137">
        <v>0</v>
      </c>
      <c r="G14" s="137">
        <v>8995</v>
      </c>
      <c r="H14" s="147">
        <v>0</v>
      </c>
      <c r="I14" s="137">
        <v>0</v>
      </c>
      <c r="J14" s="137">
        <v>12</v>
      </c>
      <c r="K14" s="137">
        <v>0</v>
      </c>
      <c r="L14" s="137">
        <v>0</v>
      </c>
      <c r="M14" s="137">
        <v>0</v>
      </c>
      <c r="N14" s="137">
        <v>0</v>
      </c>
      <c r="O14" s="137">
        <v>0</v>
      </c>
      <c r="P14" s="137">
        <v>0</v>
      </c>
      <c r="Q14" s="137">
        <v>32707</v>
      </c>
      <c r="R14" s="137">
        <v>0</v>
      </c>
      <c r="S14" s="147">
        <v>0</v>
      </c>
      <c r="T14" s="137">
        <v>148</v>
      </c>
      <c r="U14" s="147">
        <v>0</v>
      </c>
      <c r="V14" s="137">
        <v>17628</v>
      </c>
      <c r="W14" s="137">
        <v>0</v>
      </c>
      <c r="X14" s="137">
        <v>0</v>
      </c>
      <c r="Y14" s="147">
        <v>0</v>
      </c>
      <c r="Z14" s="137">
        <v>0</v>
      </c>
      <c r="AA14" s="137">
        <v>0</v>
      </c>
      <c r="AB14" s="137">
        <v>6538</v>
      </c>
      <c r="AC14" s="147">
        <v>0</v>
      </c>
      <c r="AD14" s="147">
        <v>0</v>
      </c>
      <c r="AE14" s="137">
        <v>0</v>
      </c>
      <c r="AF14" s="137">
        <v>0</v>
      </c>
      <c r="AG14" s="137">
        <v>0</v>
      </c>
      <c r="AH14" s="137">
        <v>0</v>
      </c>
      <c r="AI14" s="137">
        <v>17225</v>
      </c>
      <c r="AJ14" s="137">
        <v>0</v>
      </c>
      <c r="AK14" s="147">
        <v>0</v>
      </c>
      <c r="AL14" s="147">
        <v>0</v>
      </c>
      <c r="AM14" s="137">
        <v>0</v>
      </c>
      <c r="AN14" s="137">
        <v>1553</v>
      </c>
      <c r="AO14" s="147">
        <v>0</v>
      </c>
      <c r="AP14" s="137">
        <v>0</v>
      </c>
      <c r="AQ14" s="137">
        <v>0</v>
      </c>
      <c r="AR14" s="137">
        <v>0</v>
      </c>
      <c r="AS14" s="137">
        <v>5400</v>
      </c>
      <c r="AT14" s="147">
        <v>0</v>
      </c>
      <c r="AU14" s="137">
        <v>0</v>
      </c>
      <c r="AV14" s="137">
        <v>0</v>
      </c>
      <c r="AW14" s="137">
        <v>11322</v>
      </c>
      <c r="AX14" s="137">
        <v>2000</v>
      </c>
      <c r="AY14" s="147">
        <v>0</v>
      </c>
      <c r="AZ14" s="137">
        <v>0</v>
      </c>
      <c r="BA14" s="137">
        <v>0</v>
      </c>
      <c r="BB14" s="137">
        <v>8158</v>
      </c>
      <c r="BC14" s="137">
        <v>374</v>
      </c>
      <c r="BD14" s="147">
        <v>0</v>
      </c>
      <c r="BE14" s="137">
        <v>0</v>
      </c>
      <c r="BF14" s="147">
        <v>0</v>
      </c>
      <c r="BG14" s="137">
        <v>0</v>
      </c>
      <c r="BH14" s="137">
        <v>0</v>
      </c>
      <c r="BI14" s="137">
        <v>306445</v>
      </c>
      <c r="BJ14" s="137">
        <v>76000</v>
      </c>
      <c r="BK14" s="146"/>
      <c r="BL14" s="116">
        <f t="shared" si="0"/>
        <v>502932</v>
      </c>
    </row>
    <row r="15" spans="1:64" x14ac:dyDescent="0.2">
      <c r="A15" s="115"/>
      <c r="B15" s="196"/>
      <c r="C15" s="198" t="s">
        <v>107</v>
      </c>
      <c r="D15" s="116"/>
      <c r="E15" s="119">
        <f t="shared" ref="E15:AJ15" si="1">SUM(E7:E14)</f>
        <v>3558992</v>
      </c>
      <c r="F15" s="119">
        <f t="shared" si="1"/>
        <v>1188798</v>
      </c>
      <c r="G15" s="119">
        <f t="shared" si="1"/>
        <v>3132732</v>
      </c>
      <c r="H15" s="119">
        <f t="shared" si="1"/>
        <v>0</v>
      </c>
      <c r="I15" s="119">
        <f t="shared" si="1"/>
        <v>375218</v>
      </c>
      <c r="J15" s="119">
        <f t="shared" si="1"/>
        <v>2209525</v>
      </c>
      <c r="K15" s="119">
        <f t="shared" si="1"/>
        <v>1361803</v>
      </c>
      <c r="L15" s="119">
        <f t="shared" si="1"/>
        <v>3654154</v>
      </c>
      <c r="M15" s="119">
        <f t="shared" si="1"/>
        <v>5176576</v>
      </c>
      <c r="N15" s="119">
        <f t="shared" si="1"/>
        <v>2306662</v>
      </c>
      <c r="O15" s="119">
        <f t="shared" si="1"/>
        <v>2303228</v>
      </c>
      <c r="P15" s="119">
        <f t="shared" si="1"/>
        <v>2099626</v>
      </c>
      <c r="Q15" s="119">
        <f t="shared" si="1"/>
        <v>26573132</v>
      </c>
      <c r="R15" s="119">
        <f t="shared" si="1"/>
        <v>1412709</v>
      </c>
      <c r="S15" s="119">
        <f t="shared" si="1"/>
        <v>0</v>
      </c>
      <c r="T15" s="119">
        <f t="shared" si="1"/>
        <v>1924524</v>
      </c>
      <c r="U15" s="119">
        <f t="shared" si="1"/>
        <v>0</v>
      </c>
      <c r="V15" s="119">
        <f t="shared" si="1"/>
        <v>2952857</v>
      </c>
      <c r="W15" s="119">
        <f t="shared" si="1"/>
        <v>7981299</v>
      </c>
      <c r="X15" s="119">
        <f t="shared" si="1"/>
        <v>487060</v>
      </c>
      <c r="Y15" s="119">
        <f t="shared" si="1"/>
        <v>0</v>
      </c>
      <c r="Z15" s="119">
        <f t="shared" si="1"/>
        <v>2938120</v>
      </c>
      <c r="AA15" s="119">
        <f t="shared" si="1"/>
        <v>-1</v>
      </c>
      <c r="AB15" s="119">
        <f t="shared" si="1"/>
        <v>2542665</v>
      </c>
      <c r="AC15" s="119">
        <f t="shared" si="1"/>
        <v>0</v>
      </c>
      <c r="AD15" s="119">
        <f t="shared" si="1"/>
        <v>0</v>
      </c>
      <c r="AE15" s="119">
        <f t="shared" si="1"/>
        <v>534611</v>
      </c>
      <c r="AF15" s="119">
        <f t="shared" si="1"/>
        <v>411917</v>
      </c>
      <c r="AG15" s="119">
        <f t="shared" si="1"/>
        <v>2507505</v>
      </c>
      <c r="AH15" s="119">
        <f t="shared" si="1"/>
        <v>3264626</v>
      </c>
      <c r="AI15" s="119">
        <f t="shared" si="1"/>
        <v>77821</v>
      </c>
      <c r="AJ15" s="119">
        <f t="shared" si="1"/>
        <v>1249394</v>
      </c>
      <c r="AK15" s="119">
        <f t="shared" ref="AK15:BJ15" si="2">SUM(AK7:AK14)</f>
        <v>0</v>
      </c>
      <c r="AL15" s="119">
        <f t="shared" si="2"/>
        <v>0</v>
      </c>
      <c r="AM15" s="119">
        <f t="shared" si="2"/>
        <v>662225</v>
      </c>
      <c r="AN15" s="119">
        <f t="shared" si="2"/>
        <v>3936012</v>
      </c>
      <c r="AO15" s="119">
        <f t="shared" si="2"/>
        <v>0</v>
      </c>
      <c r="AP15" s="119">
        <f t="shared" si="2"/>
        <v>758223</v>
      </c>
      <c r="AQ15" s="119">
        <f t="shared" si="2"/>
        <v>2464600</v>
      </c>
      <c r="AR15" s="119">
        <f t="shared" si="2"/>
        <v>1530228</v>
      </c>
      <c r="AS15" s="119">
        <f t="shared" si="2"/>
        <v>987974</v>
      </c>
      <c r="AT15" s="119">
        <f t="shared" si="2"/>
        <v>0</v>
      </c>
      <c r="AU15" s="119">
        <f t="shared" si="2"/>
        <v>1045411</v>
      </c>
      <c r="AV15" s="119">
        <f t="shared" si="2"/>
        <v>2267801</v>
      </c>
      <c r="AW15" s="119">
        <f t="shared" si="2"/>
        <v>1212137</v>
      </c>
      <c r="AX15" s="119">
        <f t="shared" si="2"/>
        <v>2179261</v>
      </c>
      <c r="AY15" s="119">
        <f t="shared" si="2"/>
        <v>0</v>
      </c>
      <c r="AZ15" s="119">
        <f t="shared" si="2"/>
        <v>1339465</v>
      </c>
      <c r="BA15" s="119">
        <f t="shared" si="2"/>
        <v>1479577</v>
      </c>
      <c r="BB15" s="119">
        <f t="shared" si="2"/>
        <v>375744</v>
      </c>
      <c r="BC15" s="119">
        <f t="shared" si="2"/>
        <v>1616493</v>
      </c>
      <c r="BD15" s="119">
        <f t="shared" si="2"/>
        <v>179699</v>
      </c>
      <c r="BE15" s="119">
        <f t="shared" si="2"/>
        <v>1282877</v>
      </c>
      <c r="BF15" s="119">
        <f t="shared" si="2"/>
        <v>0</v>
      </c>
      <c r="BG15" s="119">
        <f t="shared" si="2"/>
        <v>2927343</v>
      </c>
      <c r="BH15" s="119">
        <f t="shared" si="2"/>
        <v>759266</v>
      </c>
      <c r="BI15" s="119">
        <f t="shared" si="2"/>
        <v>8051617</v>
      </c>
      <c r="BJ15" s="119">
        <f t="shared" si="2"/>
        <v>607269</v>
      </c>
      <c r="BK15" s="116"/>
      <c r="BL15" s="119">
        <f>SUM(BL7:BL14)</f>
        <v>117888775</v>
      </c>
    </row>
    <row r="16" spans="1:64" x14ac:dyDescent="0.2">
      <c r="A16" s="115"/>
      <c r="B16" s="114"/>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row>
    <row r="17" spans="1:64" x14ac:dyDescent="0.2">
      <c r="A17" s="115"/>
      <c r="B17" s="114"/>
      <c r="C17" s="111" t="s">
        <v>263</v>
      </c>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row>
    <row r="18" spans="1:64" ht="13.5" x14ac:dyDescent="0.25">
      <c r="A18" s="115">
        <v>2594</v>
      </c>
      <c r="B18" s="112">
        <v>604</v>
      </c>
      <c r="C18" s="120" t="s">
        <v>491</v>
      </c>
      <c r="D18" s="121"/>
      <c r="E18" s="140">
        <v>0</v>
      </c>
      <c r="F18" s="140">
        <v>4028</v>
      </c>
      <c r="G18" s="140">
        <v>105509</v>
      </c>
      <c r="H18" s="149">
        <v>0</v>
      </c>
      <c r="I18" s="140">
        <v>108181</v>
      </c>
      <c r="J18" s="140">
        <v>0</v>
      </c>
      <c r="K18" s="140">
        <v>714058</v>
      </c>
      <c r="L18" s="140">
        <v>863492</v>
      </c>
      <c r="M18" s="140">
        <v>667709</v>
      </c>
      <c r="N18" s="140">
        <v>134604</v>
      </c>
      <c r="O18" s="140">
        <v>170543</v>
      </c>
      <c r="P18" s="140">
        <v>1099763</v>
      </c>
      <c r="Q18" s="140">
        <v>0</v>
      </c>
      <c r="R18" s="140">
        <v>65740</v>
      </c>
      <c r="S18" s="148">
        <v>0</v>
      </c>
      <c r="T18" s="140">
        <v>471270</v>
      </c>
      <c r="U18" s="149">
        <v>0</v>
      </c>
      <c r="V18" s="140">
        <v>576056</v>
      </c>
      <c r="W18" s="140">
        <v>214567</v>
      </c>
      <c r="X18" s="140">
        <v>69324</v>
      </c>
      <c r="Y18" s="149">
        <v>0</v>
      </c>
      <c r="Z18" s="140">
        <v>0</v>
      </c>
      <c r="AA18" s="140">
        <v>0</v>
      </c>
      <c r="AB18" s="140">
        <v>448318</v>
      </c>
      <c r="AC18" s="149">
        <v>0</v>
      </c>
      <c r="AD18" s="149">
        <v>0</v>
      </c>
      <c r="AE18" s="140">
        <v>53365</v>
      </c>
      <c r="AF18" s="140">
        <v>24919</v>
      </c>
      <c r="AG18" s="140">
        <v>341156</v>
      </c>
      <c r="AH18" s="140">
        <v>275062</v>
      </c>
      <c r="AI18" s="140">
        <v>17539</v>
      </c>
      <c r="AJ18" s="140">
        <v>173109</v>
      </c>
      <c r="AK18" s="149">
        <v>0</v>
      </c>
      <c r="AL18" s="149">
        <v>0</v>
      </c>
      <c r="AM18" s="140">
        <v>147303</v>
      </c>
      <c r="AN18" s="140">
        <v>342430</v>
      </c>
      <c r="AO18" s="149">
        <v>0</v>
      </c>
      <c r="AP18" s="140">
        <v>223577</v>
      </c>
      <c r="AQ18" s="140">
        <v>251202</v>
      </c>
      <c r="AR18" s="140">
        <v>344570</v>
      </c>
      <c r="AS18" s="140">
        <v>0</v>
      </c>
      <c r="AT18" s="149">
        <v>0</v>
      </c>
      <c r="AU18" s="140">
        <v>160053</v>
      </c>
      <c r="AV18" s="140">
        <v>0</v>
      </c>
      <c r="AW18" s="140">
        <v>574795</v>
      </c>
      <c r="AX18" s="140">
        <v>110546</v>
      </c>
      <c r="AY18" s="149">
        <v>0</v>
      </c>
      <c r="AZ18" s="140">
        <v>0</v>
      </c>
      <c r="BA18" s="140">
        <v>225154</v>
      </c>
      <c r="BB18" s="140">
        <v>0</v>
      </c>
      <c r="BC18" s="140">
        <v>28000</v>
      </c>
      <c r="BD18" s="149">
        <v>0</v>
      </c>
      <c r="BE18" s="140">
        <v>0</v>
      </c>
      <c r="BF18" s="149">
        <v>0</v>
      </c>
      <c r="BG18" s="140">
        <v>376952</v>
      </c>
      <c r="BH18" s="140">
        <v>61628</v>
      </c>
      <c r="BI18" s="140">
        <v>0</v>
      </c>
      <c r="BJ18" s="140">
        <v>141580</v>
      </c>
      <c r="BK18" s="136"/>
      <c r="BL18" s="122">
        <f>SUM(E18:BK18)</f>
        <v>9586102</v>
      </c>
    </row>
    <row r="19" spans="1:64" ht="15" x14ac:dyDescent="0.25">
      <c r="A19" s="115">
        <v>2593</v>
      </c>
      <c r="B19" s="112">
        <v>600</v>
      </c>
      <c r="C19" s="120" t="s">
        <v>492</v>
      </c>
      <c r="D19" s="122"/>
      <c r="E19" s="140">
        <v>0</v>
      </c>
      <c r="F19" s="140">
        <v>242313</v>
      </c>
      <c r="G19" s="140">
        <v>677304</v>
      </c>
      <c r="H19" s="148">
        <v>0</v>
      </c>
      <c r="I19" s="140">
        <v>0</v>
      </c>
      <c r="J19" s="140">
        <v>2210580</v>
      </c>
      <c r="K19" s="140">
        <v>0</v>
      </c>
      <c r="L19" s="140">
        <v>0</v>
      </c>
      <c r="M19" s="140">
        <v>351719</v>
      </c>
      <c r="N19" s="140">
        <v>354627</v>
      </c>
      <c r="O19" s="140">
        <v>0</v>
      </c>
      <c r="P19" s="140">
        <v>0</v>
      </c>
      <c r="Q19" s="140">
        <v>1048555</v>
      </c>
      <c r="R19" s="140">
        <v>0</v>
      </c>
      <c r="S19" s="148">
        <v>0</v>
      </c>
      <c r="T19" s="140">
        <v>317376</v>
      </c>
      <c r="U19" s="148">
        <v>0</v>
      </c>
      <c r="V19" s="140">
        <v>0</v>
      </c>
      <c r="W19" s="140">
        <v>488681</v>
      </c>
      <c r="X19" s="140">
        <v>7500</v>
      </c>
      <c r="Y19" s="148">
        <v>0</v>
      </c>
      <c r="Z19" s="140">
        <v>1675051</v>
      </c>
      <c r="AA19" s="140">
        <v>0</v>
      </c>
      <c r="AB19" s="140">
        <v>59904</v>
      </c>
      <c r="AC19" s="148">
        <v>0</v>
      </c>
      <c r="AD19" s="148">
        <v>0</v>
      </c>
      <c r="AE19" s="140">
        <v>23995</v>
      </c>
      <c r="AF19" s="140">
        <v>0</v>
      </c>
      <c r="AG19" s="140">
        <v>374193</v>
      </c>
      <c r="AH19" s="140">
        <v>61850</v>
      </c>
      <c r="AI19" s="140">
        <v>0</v>
      </c>
      <c r="AJ19" s="140">
        <v>1318</v>
      </c>
      <c r="AK19" s="148">
        <v>0</v>
      </c>
      <c r="AL19" s="148">
        <v>0</v>
      </c>
      <c r="AM19" s="140">
        <v>96436</v>
      </c>
      <c r="AN19" s="140">
        <v>79479</v>
      </c>
      <c r="AO19" s="148">
        <v>0</v>
      </c>
      <c r="AP19" s="140">
        <v>0</v>
      </c>
      <c r="AQ19" s="140">
        <v>101976</v>
      </c>
      <c r="AR19" s="140">
        <v>231578</v>
      </c>
      <c r="AS19" s="140">
        <v>388634</v>
      </c>
      <c r="AT19" s="148">
        <v>0</v>
      </c>
      <c r="AU19" s="140">
        <v>0</v>
      </c>
      <c r="AV19" s="140">
        <v>412289</v>
      </c>
      <c r="AW19" s="140">
        <v>0</v>
      </c>
      <c r="AX19" s="140">
        <v>11505</v>
      </c>
      <c r="AY19" s="148">
        <v>0</v>
      </c>
      <c r="AZ19" s="140">
        <v>891223</v>
      </c>
      <c r="BA19" s="140">
        <v>0</v>
      </c>
      <c r="BB19" s="140">
        <v>388517</v>
      </c>
      <c r="BC19" s="140">
        <v>0</v>
      </c>
      <c r="BD19" s="148">
        <v>0</v>
      </c>
      <c r="BE19" s="140">
        <v>131875</v>
      </c>
      <c r="BF19" s="148">
        <v>0</v>
      </c>
      <c r="BG19" s="140">
        <v>316876</v>
      </c>
      <c r="BH19" s="140">
        <v>0</v>
      </c>
      <c r="BI19" s="140">
        <v>2614302</v>
      </c>
      <c r="BJ19" s="140">
        <v>0</v>
      </c>
      <c r="BK19" s="135"/>
      <c r="BL19" s="122">
        <f>SUM(E19:BK19)</f>
        <v>13559656</v>
      </c>
    </row>
    <row r="20" spans="1:64" ht="15" x14ac:dyDescent="0.25">
      <c r="A20" s="115">
        <v>2596</v>
      </c>
      <c r="B20" s="112">
        <v>602</v>
      </c>
      <c r="C20" s="120" t="s">
        <v>493</v>
      </c>
      <c r="D20" s="122"/>
      <c r="E20" s="140">
        <v>0</v>
      </c>
      <c r="F20" s="140">
        <v>0</v>
      </c>
      <c r="G20" s="140">
        <v>89172</v>
      </c>
      <c r="H20" s="148">
        <v>0</v>
      </c>
      <c r="I20" s="140">
        <v>0</v>
      </c>
      <c r="J20" s="140">
        <v>45069</v>
      </c>
      <c r="K20" s="140">
        <v>0</v>
      </c>
      <c r="L20" s="140">
        <v>0</v>
      </c>
      <c r="M20" s="140">
        <v>0</v>
      </c>
      <c r="N20" s="140">
        <v>140908</v>
      </c>
      <c r="O20" s="140">
        <v>0</v>
      </c>
      <c r="P20" s="140">
        <v>0</v>
      </c>
      <c r="Q20" s="140">
        <v>293675</v>
      </c>
      <c r="R20" s="140">
        <v>391852</v>
      </c>
      <c r="S20" s="148">
        <v>0</v>
      </c>
      <c r="T20" s="140">
        <v>0</v>
      </c>
      <c r="U20" s="148">
        <v>0</v>
      </c>
      <c r="V20" s="140">
        <v>247528</v>
      </c>
      <c r="W20" s="140">
        <v>0</v>
      </c>
      <c r="X20" s="140">
        <v>0</v>
      </c>
      <c r="Y20" s="148">
        <v>0</v>
      </c>
      <c r="Z20" s="140">
        <v>280435</v>
      </c>
      <c r="AA20" s="140">
        <v>0</v>
      </c>
      <c r="AB20" s="140">
        <v>11755</v>
      </c>
      <c r="AC20" s="148">
        <v>0</v>
      </c>
      <c r="AD20" s="148">
        <v>0</v>
      </c>
      <c r="AE20" s="140">
        <v>129308</v>
      </c>
      <c r="AF20" s="140">
        <v>0</v>
      </c>
      <c r="AG20" s="140">
        <v>0</v>
      </c>
      <c r="AH20" s="140">
        <v>1305000</v>
      </c>
      <c r="AI20" s="140">
        <v>0</v>
      </c>
      <c r="AJ20" s="140">
        <v>2226519</v>
      </c>
      <c r="AK20" s="148">
        <v>0</v>
      </c>
      <c r="AL20" s="148">
        <v>0</v>
      </c>
      <c r="AM20" s="140">
        <v>0</v>
      </c>
      <c r="AN20" s="140">
        <v>504000</v>
      </c>
      <c r="AO20" s="148">
        <v>0</v>
      </c>
      <c r="AP20" s="140">
        <v>0</v>
      </c>
      <c r="AQ20" s="140">
        <v>4716552</v>
      </c>
      <c r="AR20" s="140">
        <v>0</v>
      </c>
      <c r="AS20" s="140">
        <v>0</v>
      </c>
      <c r="AT20" s="148">
        <v>0</v>
      </c>
      <c r="AU20" s="140">
        <v>0</v>
      </c>
      <c r="AV20" s="140">
        <v>0</v>
      </c>
      <c r="AW20" s="140">
        <v>0</v>
      </c>
      <c r="AX20" s="140">
        <v>1326180</v>
      </c>
      <c r="AY20" s="148">
        <v>0</v>
      </c>
      <c r="AZ20" s="140">
        <v>0</v>
      </c>
      <c r="BA20" s="140">
        <v>0</v>
      </c>
      <c r="BB20" s="140">
        <v>88509</v>
      </c>
      <c r="BC20" s="140">
        <v>59500</v>
      </c>
      <c r="BD20" s="148">
        <v>0</v>
      </c>
      <c r="BE20" s="140">
        <v>0</v>
      </c>
      <c r="BF20" s="148">
        <v>0</v>
      </c>
      <c r="BG20" s="140">
        <v>220000</v>
      </c>
      <c r="BH20" s="140">
        <v>163500</v>
      </c>
      <c r="BI20" s="140">
        <v>861088</v>
      </c>
      <c r="BJ20" s="140">
        <v>0</v>
      </c>
      <c r="BK20" s="135"/>
      <c r="BL20" s="122">
        <f>SUM(E20:BK20)</f>
        <v>13100550</v>
      </c>
    </row>
    <row r="21" spans="1:64" ht="13.5" x14ac:dyDescent="0.25">
      <c r="A21" s="115">
        <v>2630</v>
      </c>
      <c r="B21" s="196">
        <v>610</v>
      </c>
      <c r="C21" s="199" t="s">
        <v>270</v>
      </c>
      <c r="D21" s="116"/>
      <c r="E21" s="137">
        <v>3825061</v>
      </c>
      <c r="F21" s="137">
        <v>379003</v>
      </c>
      <c r="G21" s="137">
        <v>1337109</v>
      </c>
      <c r="H21" s="147">
        <v>0</v>
      </c>
      <c r="I21" s="137">
        <v>83240</v>
      </c>
      <c r="J21" s="137">
        <v>408443</v>
      </c>
      <c r="K21" s="137">
        <v>326262</v>
      </c>
      <c r="L21" s="137">
        <v>278082</v>
      </c>
      <c r="M21" s="137">
        <v>1644434</v>
      </c>
      <c r="N21" s="137">
        <v>435438</v>
      </c>
      <c r="O21" s="137">
        <v>278437</v>
      </c>
      <c r="P21" s="137">
        <v>59665</v>
      </c>
      <c r="Q21" s="137">
        <v>9571163</v>
      </c>
      <c r="R21" s="137">
        <v>343444</v>
      </c>
      <c r="S21" s="146">
        <v>0</v>
      </c>
      <c r="T21" s="137">
        <v>308603</v>
      </c>
      <c r="U21" s="146">
        <v>0</v>
      </c>
      <c r="V21" s="137">
        <v>587150</v>
      </c>
      <c r="W21" s="137">
        <v>822962</v>
      </c>
      <c r="X21" s="137">
        <v>241678</v>
      </c>
      <c r="Y21" s="146">
        <v>0</v>
      </c>
      <c r="Z21" s="137">
        <v>562762</v>
      </c>
      <c r="AA21" s="137">
        <v>27431</v>
      </c>
      <c r="AB21" s="137">
        <v>629494</v>
      </c>
      <c r="AC21" s="146">
        <v>0</v>
      </c>
      <c r="AD21" s="146">
        <v>0</v>
      </c>
      <c r="AE21" s="137">
        <v>124735</v>
      </c>
      <c r="AF21" s="137">
        <v>80943</v>
      </c>
      <c r="AG21" s="137">
        <v>1070966</v>
      </c>
      <c r="AH21" s="137">
        <v>838067</v>
      </c>
      <c r="AI21" s="137">
        <v>60901</v>
      </c>
      <c r="AJ21" s="137">
        <v>307871</v>
      </c>
      <c r="AK21" s="146">
        <v>0</v>
      </c>
      <c r="AL21" s="146">
        <v>0</v>
      </c>
      <c r="AM21" s="137">
        <v>92079</v>
      </c>
      <c r="AN21" s="137">
        <v>326959</v>
      </c>
      <c r="AO21" s="146">
        <v>0</v>
      </c>
      <c r="AP21" s="137">
        <v>227588</v>
      </c>
      <c r="AQ21" s="137">
        <v>517493</v>
      </c>
      <c r="AR21" s="137">
        <v>141930</v>
      </c>
      <c r="AS21" s="137">
        <v>100201</v>
      </c>
      <c r="AT21" s="146">
        <v>0</v>
      </c>
      <c r="AU21" s="137">
        <v>204429</v>
      </c>
      <c r="AV21" s="137">
        <v>0</v>
      </c>
      <c r="AW21" s="137">
        <v>45888</v>
      </c>
      <c r="AX21" s="137">
        <v>106796</v>
      </c>
      <c r="AY21" s="146">
        <v>0</v>
      </c>
      <c r="AZ21" s="137">
        <v>116745</v>
      </c>
      <c r="BA21" s="137">
        <v>272178</v>
      </c>
      <c r="BB21" s="137">
        <v>88219</v>
      </c>
      <c r="BC21" s="137">
        <v>142527</v>
      </c>
      <c r="BD21" s="146">
        <v>129864</v>
      </c>
      <c r="BE21" s="137">
        <v>379753</v>
      </c>
      <c r="BF21" s="146">
        <v>0</v>
      </c>
      <c r="BG21" s="137">
        <v>421392</v>
      </c>
      <c r="BH21" s="137">
        <v>249797</v>
      </c>
      <c r="BI21" s="137">
        <v>3262621</v>
      </c>
      <c r="BJ21" s="137">
        <v>135382</v>
      </c>
      <c r="BK21" s="134"/>
      <c r="BL21" s="118">
        <f>SUM(E21:BK21)</f>
        <v>31595185</v>
      </c>
    </row>
    <row r="22" spans="1:64" x14ac:dyDescent="0.2">
      <c r="A22" s="115"/>
      <c r="B22" s="196"/>
      <c r="C22" s="198" t="s">
        <v>111</v>
      </c>
      <c r="D22" s="116"/>
      <c r="E22" s="119">
        <f>SUM(E18:E21)</f>
        <v>3825061</v>
      </c>
      <c r="F22" s="119">
        <f t="shared" ref="F22:BJ22" si="3">SUM(F18:F21)</f>
        <v>625344</v>
      </c>
      <c r="G22" s="119">
        <f t="shared" si="3"/>
        <v>2209094</v>
      </c>
      <c r="H22" s="119">
        <f t="shared" si="3"/>
        <v>0</v>
      </c>
      <c r="I22" s="119">
        <f t="shared" si="3"/>
        <v>191421</v>
      </c>
      <c r="J22" s="119">
        <f t="shared" si="3"/>
        <v>2664092</v>
      </c>
      <c r="K22" s="119">
        <f t="shared" si="3"/>
        <v>1040320</v>
      </c>
      <c r="L22" s="119">
        <f t="shared" si="3"/>
        <v>1141574</v>
      </c>
      <c r="M22" s="119">
        <f t="shared" si="3"/>
        <v>2663862</v>
      </c>
      <c r="N22" s="119">
        <f t="shared" si="3"/>
        <v>1065577</v>
      </c>
      <c r="O22" s="119">
        <f t="shared" si="3"/>
        <v>448980</v>
      </c>
      <c r="P22" s="119">
        <f t="shared" si="3"/>
        <v>1159428</v>
      </c>
      <c r="Q22" s="119">
        <f t="shared" si="3"/>
        <v>10913393</v>
      </c>
      <c r="R22" s="119">
        <f t="shared" si="3"/>
        <v>801036</v>
      </c>
      <c r="S22" s="119">
        <f t="shared" si="3"/>
        <v>0</v>
      </c>
      <c r="T22" s="119">
        <f t="shared" si="3"/>
        <v>1097249</v>
      </c>
      <c r="U22" s="119">
        <f t="shared" si="3"/>
        <v>0</v>
      </c>
      <c r="V22" s="119">
        <f t="shared" si="3"/>
        <v>1410734</v>
      </c>
      <c r="W22" s="119">
        <f t="shared" si="3"/>
        <v>1526210</v>
      </c>
      <c r="X22" s="119">
        <f t="shared" si="3"/>
        <v>318502</v>
      </c>
      <c r="Y22" s="119">
        <f t="shared" si="3"/>
        <v>0</v>
      </c>
      <c r="Z22" s="119">
        <f t="shared" si="3"/>
        <v>2518248</v>
      </c>
      <c r="AA22" s="119">
        <f t="shared" si="3"/>
        <v>27431</v>
      </c>
      <c r="AB22" s="119">
        <f t="shared" si="3"/>
        <v>1149471</v>
      </c>
      <c r="AC22" s="119">
        <f t="shared" si="3"/>
        <v>0</v>
      </c>
      <c r="AD22" s="119">
        <f t="shared" si="3"/>
        <v>0</v>
      </c>
      <c r="AE22" s="119">
        <f t="shared" si="3"/>
        <v>331403</v>
      </c>
      <c r="AF22" s="119">
        <f t="shared" si="3"/>
        <v>105862</v>
      </c>
      <c r="AG22" s="119">
        <f t="shared" si="3"/>
        <v>1786315</v>
      </c>
      <c r="AH22" s="119">
        <f t="shared" si="3"/>
        <v>2479979</v>
      </c>
      <c r="AI22" s="119">
        <f t="shared" si="3"/>
        <v>78440</v>
      </c>
      <c r="AJ22" s="119">
        <f t="shared" si="3"/>
        <v>2708817</v>
      </c>
      <c r="AK22" s="119">
        <f t="shared" si="3"/>
        <v>0</v>
      </c>
      <c r="AL22" s="119">
        <f t="shared" si="3"/>
        <v>0</v>
      </c>
      <c r="AM22" s="119">
        <f t="shared" si="3"/>
        <v>335818</v>
      </c>
      <c r="AN22" s="119">
        <f t="shared" si="3"/>
        <v>1252868</v>
      </c>
      <c r="AO22" s="119">
        <f t="shared" si="3"/>
        <v>0</v>
      </c>
      <c r="AP22" s="119">
        <f t="shared" si="3"/>
        <v>451165</v>
      </c>
      <c r="AQ22" s="119">
        <f t="shared" si="3"/>
        <v>5587223</v>
      </c>
      <c r="AR22" s="119">
        <f t="shared" si="3"/>
        <v>718078</v>
      </c>
      <c r="AS22" s="119">
        <f t="shared" si="3"/>
        <v>488835</v>
      </c>
      <c r="AT22" s="119">
        <f t="shared" si="3"/>
        <v>0</v>
      </c>
      <c r="AU22" s="119">
        <f t="shared" si="3"/>
        <v>364482</v>
      </c>
      <c r="AV22" s="119">
        <f t="shared" si="3"/>
        <v>412289</v>
      </c>
      <c r="AW22" s="119">
        <f t="shared" si="3"/>
        <v>620683</v>
      </c>
      <c r="AX22" s="119">
        <f t="shared" si="3"/>
        <v>1555027</v>
      </c>
      <c r="AY22" s="119">
        <f t="shared" si="3"/>
        <v>0</v>
      </c>
      <c r="AZ22" s="119">
        <f t="shared" si="3"/>
        <v>1007968</v>
      </c>
      <c r="BA22" s="119">
        <f t="shared" si="3"/>
        <v>497332</v>
      </c>
      <c r="BB22" s="119">
        <f t="shared" si="3"/>
        <v>565245</v>
      </c>
      <c r="BC22" s="119">
        <f t="shared" si="3"/>
        <v>230027</v>
      </c>
      <c r="BD22" s="119">
        <f t="shared" si="3"/>
        <v>129864</v>
      </c>
      <c r="BE22" s="119">
        <f t="shared" si="3"/>
        <v>511628</v>
      </c>
      <c r="BF22" s="119">
        <f t="shared" si="3"/>
        <v>0</v>
      </c>
      <c r="BG22" s="119">
        <f t="shared" si="3"/>
        <v>1335220</v>
      </c>
      <c r="BH22" s="119">
        <f t="shared" si="3"/>
        <v>474925</v>
      </c>
      <c r="BI22" s="119">
        <f t="shared" si="3"/>
        <v>6738011</v>
      </c>
      <c r="BJ22" s="119">
        <f t="shared" si="3"/>
        <v>276962</v>
      </c>
      <c r="BK22" s="134"/>
      <c r="BL22" s="118">
        <f>SUM(BL18:BL21)</f>
        <v>67841493</v>
      </c>
    </row>
    <row r="23" spans="1:64" x14ac:dyDescent="0.2">
      <c r="A23" s="115"/>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row>
    <row r="24" spans="1:64" x14ac:dyDescent="0.2">
      <c r="A24" s="115"/>
      <c r="B24" s="116"/>
      <c r="C24" s="200" t="s">
        <v>271</v>
      </c>
      <c r="D24" s="116"/>
      <c r="E24" s="116">
        <v>-266069</v>
      </c>
      <c r="F24" s="116">
        <v>563454</v>
      </c>
      <c r="G24" s="116">
        <v>923638</v>
      </c>
      <c r="H24" s="116">
        <v>0</v>
      </c>
      <c r="I24" s="116">
        <v>183797</v>
      </c>
      <c r="J24" s="116">
        <v>-454567</v>
      </c>
      <c r="K24" s="116">
        <v>321483</v>
      </c>
      <c r="L24" s="116">
        <v>2512580</v>
      </c>
      <c r="M24" s="116">
        <v>2512714</v>
      </c>
      <c r="N24" s="116">
        <v>1241085</v>
      </c>
      <c r="O24" s="116">
        <v>1854248</v>
      </c>
      <c r="P24" s="116">
        <v>940198</v>
      </c>
      <c r="Q24" s="116">
        <v>15659739</v>
      </c>
      <c r="R24" s="116">
        <v>611673</v>
      </c>
      <c r="S24" s="116">
        <v>0</v>
      </c>
      <c r="T24" s="116">
        <v>827275</v>
      </c>
      <c r="U24" s="116">
        <v>0</v>
      </c>
      <c r="V24" s="116">
        <v>1542123</v>
      </c>
      <c r="W24" s="116">
        <v>6455089</v>
      </c>
      <c r="X24" s="116">
        <v>168558</v>
      </c>
      <c r="Y24" s="116">
        <v>0</v>
      </c>
      <c r="Z24" s="116">
        <v>419872</v>
      </c>
      <c r="AA24" s="116">
        <v>-27432</v>
      </c>
      <c r="AB24" s="116">
        <v>1393194</v>
      </c>
      <c r="AC24" s="116">
        <v>0</v>
      </c>
      <c r="AD24" s="116">
        <v>0</v>
      </c>
      <c r="AE24" s="116">
        <v>203208</v>
      </c>
      <c r="AF24" s="116">
        <v>306055</v>
      </c>
      <c r="AG24" s="116">
        <v>721190</v>
      </c>
      <c r="AH24" s="116">
        <v>784647</v>
      </c>
      <c r="AI24" s="116">
        <v>-619</v>
      </c>
      <c r="AJ24" s="116">
        <v>-1459423</v>
      </c>
      <c r="AK24" s="116">
        <v>0</v>
      </c>
      <c r="AL24" s="116">
        <v>0</v>
      </c>
      <c r="AM24" s="116">
        <v>326407</v>
      </c>
      <c r="AN24" s="116">
        <v>2683144</v>
      </c>
      <c r="AO24" s="116">
        <v>0</v>
      </c>
      <c r="AP24" s="116">
        <v>307058</v>
      </c>
      <c r="AQ24" s="116">
        <v>-3122623</v>
      </c>
      <c r="AR24" s="116">
        <v>812150</v>
      </c>
      <c r="AS24" s="116">
        <v>499139</v>
      </c>
      <c r="AT24" s="116">
        <v>0</v>
      </c>
      <c r="AU24" s="116">
        <v>680929</v>
      </c>
      <c r="AV24" s="116">
        <v>1855512</v>
      </c>
      <c r="AW24" s="116">
        <v>591454</v>
      </c>
      <c r="AX24" s="116">
        <v>624234</v>
      </c>
      <c r="AY24" s="116">
        <v>0</v>
      </c>
      <c r="AZ24" s="116">
        <v>331497</v>
      </c>
      <c r="BA24" s="116">
        <v>982245</v>
      </c>
      <c r="BB24" s="116">
        <v>-189501</v>
      </c>
      <c r="BC24" s="116">
        <v>1386466</v>
      </c>
      <c r="BD24" s="116">
        <v>49835</v>
      </c>
      <c r="BE24" s="116">
        <v>771249</v>
      </c>
      <c r="BF24" s="116">
        <v>0</v>
      </c>
      <c r="BG24" s="116">
        <v>1592123</v>
      </c>
      <c r="BH24" s="116">
        <v>284341</v>
      </c>
      <c r="BI24" s="116">
        <v>1313606</v>
      </c>
      <c r="BJ24" s="116">
        <v>330307</v>
      </c>
      <c r="BK24" s="116"/>
      <c r="BL24" s="116">
        <f t="shared" ref="BL24" si="4">BL15-BL22</f>
        <v>50047282</v>
      </c>
    </row>
    <row r="25" spans="1:64" x14ac:dyDescent="0.2">
      <c r="A25" s="115"/>
      <c r="B25" s="116"/>
      <c r="C25" s="199"/>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row>
    <row r="26" spans="1:64" ht="13.5" x14ac:dyDescent="0.25">
      <c r="A26" s="115">
        <v>2980</v>
      </c>
      <c r="B26" s="116"/>
      <c r="C26" s="199" t="s">
        <v>272</v>
      </c>
      <c r="D26" s="116"/>
      <c r="E26" s="137">
        <v>17724475</v>
      </c>
      <c r="F26" s="137">
        <v>4495049</v>
      </c>
      <c r="G26" s="137">
        <v>15558713</v>
      </c>
      <c r="H26" s="146">
        <v>0</v>
      </c>
      <c r="I26" s="137">
        <v>1231532</v>
      </c>
      <c r="J26" s="137">
        <v>17817874</v>
      </c>
      <c r="K26" s="137">
        <v>6253444</v>
      </c>
      <c r="L26" s="137">
        <v>18557433</v>
      </c>
      <c r="M26" s="137">
        <v>16659044</v>
      </c>
      <c r="N26" s="137">
        <v>6437517</v>
      </c>
      <c r="O26" s="137">
        <v>7691916</v>
      </c>
      <c r="P26" s="137">
        <v>12253926</v>
      </c>
      <c r="Q26" s="137">
        <v>84672542</v>
      </c>
      <c r="R26" s="137">
        <v>1824813</v>
      </c>
      <c r="S26" s="146">
        <v>0</v>
      </c>
      <c r="T26" s="137">
        <v>9785172</v>
      </c>
      <c r="U26" s="146">
        <v>0</v>
      </c>
      <c r="V26" s="137">
        <v>24340917</v>
      </c>
      <c r="W26" s="137">
        <v>8307336</v>
      </c>
      <c r="X26" s="137">
        <v>3105243</v>
      </c>
      <c r="Y26" s="146">
        <v>0</v>
      </c>
      <c r="Z26" s="137">
        <v>14109134</v>
      </c>
      <c r="AA26" s="137">
        <v>67773</v>
      </c>
      <c r="AB26" s="137">
        <v>16275693</v>
      </c>
      <c r="AC26" s="146">
        <v>0</v>
      </c>
      <c r="AD26" s="146">
        <v>0</v>
      </c>
      <c r="AE26" s="137">
        <v>3096894</v>
      </c>
      <c r="AF26" s="137">
        <v>1988208</v>
      </c>
      <c r="AG26" s="137">
        <v>12535022</v>
      </c>
      <c r="AH26" s="137">
        <v>11630873</v>
      </c>
      <c r="AI26" s="137">
        <v>412645</v>
      </c>
      <c r="AJ26" s="137">
        <v>10821783</v>
      </c>
      <c r="AK26" s="146">
        <v>0</v>
      </c>
      <c r="AL26" s="146">
        <v>0</v>
      </c>
      <c r="AM26" s="137">
        <v>4072721</v>
      </c>
      <c r="AN26" s="137">
        <v>8090766</v>
      </c>
      <c r="AO26" s="146">
        <v>0</v>
      </c>
      <c r="AP26" s="137">
        <v>2136510</v>
      </c>
      <c r="AQ26" s="137">
        <v>10948442</v>
      </c>
      <c r="AR26" s="137">
        <v>13555763</v>
      </c>
      <c r="AS26" s="137">
        <v>5053885</v>
      </c>
      <c r="AT26" s="146">
        <v>0</v>
      </c>
      <c r="AU26" s="137">
        <v>3262701</v>
      </c>
      <c r="AV26" s="137">
        <v>18886695</v>
      </c>
      <c r="AW26" s="137">
        <v>8707832</v>
      </c>
      <c r="AX26" s="137">
        <v>4020576</v>
      </c>
      <c r="AY26" s="146">
        <v>0</v>
      </c>
      <c r="AZ26" s="137">
        <v>8465664</v>
      </c>
      <c r="BA26" s="137">
        <v>6657351</v>
      </c>
      <c r="BB26" s="137">
        <v>4518992</v>
      </c>
      <c r="BC26" s="137">
        <v>13683061</v>
      </c>
      <c r="BD26" s="146">
        <v>366205</v>
      </c>
      <c r="BE26" s="137">
        <v>8899572</v>
      </c>
      <c r="BF26" s="146">
        <v>0</v>
      </c>
      <c r="BG26" s="137">
        <v>9545144</v>
      </c>
      <c r="BH26" s="137">
        <v>3708333</v>
      </c>
      <c r="BI26" s="137">
        <v>11945556</v>
      </c>
      <c r="BJ26" s="137">
        <v>6200548</v>
      </c>
      <c r="BK26" s="116"/>
      <c r="BL26" s="116">
        <f>SUM(E26:BK26)</f>
        <v>480381288</v>
      </c>
    </row>
    <row r="27" spans="1:64" ht="13.5" x14ac:dyDescent="0.25">
      <c r="A27" s="115">
        <v>2990</v>
      </c>
      <c r="B27" s="116"/>
      <c r="C27" s="199" t="s">
        <v>114</v>
      </c>
      <c r="D27" s="116"/>
      <c r="E27" s="137">
        <v>0</v>
      </c>
      <c r="F27" s="137">
        <v>0</v>
      </c>
      <c r="G27" s="137">
        <v>-511131</v>
      </c>
      <c r="H27" s="146">
        <v>0</v>
      </c>
      <c r="I27" s="137">
        <v>0</v>
      </c>
      <c r="J27" s="137">
        <v>0</v>
      </c>
      <c r="K27" s="137">
        <v>73533</v>
      </c>
      <c r="L27" s="137">
        <v>0</v>
      </c>
      <c r="M27" s="137">
        <v>0</v>
      </c>
      <c r="N27" s="137">
        <v>-1393405</v>
      </c>
      <c r="O27" s="137">
        <v>0</v>
      </c>
      <c r="P27" s="137">
        <v>0</v>
      </c>
      <c r="Q27" s="137">
        <v>-5321183</v>
      </c>
      <c r="R27" s="137">
        <v>0</v>
      </c>
      <c r="S27" s="146">
        <v>0</v>
      </c>
      <c r="T27" s="137">
        <v>0</v>
      </c>
      <c r="U27" s="146">
        <v>0</v>
      </c>
      <c r="V27" s="137">
        <v>0</v>
      </c>
      <c r="W27" s="137">
        <v>11460</v>
      </c>
      <c r="X27" s="137">
        <v>0</v>
      </c>
      <c r="Y27" s="146">
        <v>0</v>
      </c>
      <c r="Z27" s="137">
        <v>0</v>
      </c>
      <c r="AA27" s="137">
        <v>0</v>
      </c>
      <c r="AB27" s="137">
        <v>0</v>
      </c>
      <c r="AC27" s="146">
        <v>0</v>
      </c>
      <c r="AD27" s="146">
        <v>0</v>
      </c>
      <c r="AE27" s="137">
        <v>0</v>
      </c>
      <c r="AF27" s="137">
        <v>0</v>
      </c>
      <c r="AG27" s="137">
        <v>0</v>
      </c>
      <c r="AH27" s="137">
        <v>0</v>
      </c>
      <c r="AI27" s="137">
        <v>0</v>
      </c>
      <c r="AJ27" s="137">
        <v>-1374632</v>
      </c>
      <c r="AK27" s="146">
        <v>0</v>
      </c>
      <c r="AL27" s="146">
        <v>0</v>
      </c>
      <c r="AM27" s="137">
        <v>-299</v>
      </c>
      <c r="AN27" s="137">
        <v>0</v>
      </c>
      <c r="AO27" s="146">
        <v>0</v>
      </c>
      <c r="AP27" s="137">
        <v>0</v>
      </c>
      <c r="AQ27" s="137">
        <v>1005</v>
      </c>
      <c r="AR27" s="137">
        <v>0</v>
      </c>
      <c r="AS27" s="137">
        <v>0</v>
      </c>
      <c r="AT27" s="146">
        <v>0</v>
      </c>
      <c r="AU27" s="137">
        <v>0</v>
      </c>
      <c r="AV27" s="137">
        <v>0</v>
      </c>
      <c r="AW27" s="137">
        <v>0</v>
      </c>
      <c r="AX27" s="137">
        <v>0</v>
      </c>
      <c r="AY27" s="146">
        <v>0</v>
      </c>
      <c r="AZ27" s="137">
        <v>0</v>
      </c>
      <c r="BA27" s="137">
        <v>29</v>
      </c>
      <c r="BB27" s="137">
        <v>0</v>
      </c>
      <c r="BC27" s="137">
        <v>18929</v>
      </c>
      <c r="BD27" s="146">
        <v>0</v>
      </c>
      <c r="BE27" s="137">
        <v>0</v>
      </c>
      <c r="BF27" s="146">
        <v>0</v>
      </c>
      <c r="BG27" s="137">
        <v>-39892</v>
      </c>
      <c r="BH27" s="137">
        <v>0</v>
      </c>
      <c r="BI27" s="137">
        <v>0</v>
      </c>
      <c r="BJ27" s="137">
        <v>0</v>
      </c>
      <c r="BK27" s="116"/>
      <c r="BL27" s="116">
        <f>SUM(E27:BK27)</f>
        <v>-8535586</v>
      </c>
    </row>
    <row r="28" spans="1:64" ht="13.5" thickBot="1" x14ac:dyDescent="0.25">
      <c r="A28" s="115">
        <v>3000</v>
      </c>
      <c r="B28" s="116"/>
      <c r="C28" s="199" t="s">
        <v>274</v>
      </c>
      <c r="D28" s="116"/>
      <c r="E28" s="131">
        <f>SUM(E24:E27)</f>
        <v>17458406</v>
      </c>
      <c r="F28" s="131">
        <f t="shared" ref="F28:BJ28" si="5">SUM(F24:F27)</f>
        <v>5058503</v>
      </c>
      <c r="G28" s="131">
        <f t="shared" si="5"/>
        <v>15971220</v>
      </c>
      <c r="H28" s="131">
        <f t="shared" si="5"/>
        <v>0</v>
      </c>
      <c r="I28" s="131">
        <f>SUM(I24:I27)</f>
        <v>1415329</v>
      </c>
      <c r="J28" s="131">
        <f t="shared" si="5"/>
        <v>17363307</v>
      </c>
      <c r="K28" s="131">
        <f t="shared" si="5"/>
        <v>6648460</v>
      </c>
      <c r="L28" s="131">
        <f t="shared" si="5"/>
        <v>21070013</v>
      </c>
      <c r="M28" s="131">
        <f t="shared" si="5"/>
        <v>19171758</v>
      </c>
      <c r="N28" s="131">
        <f>SUM(N24:N27)</f>
        <v>6285197</v>
      </c>
      <c r="O28" s="131">
        <f t="shared" si="5"/>
        <v>9546164</v>
      </c>
      <c r="P28" s="131">
        <f t="shared" si="5"/>
        <v>13194124</v>
      </c>
      <c r="Q28" s="131">
        <f t="shared" si="5"/>
        <v>95011098</v>
      </c>
      <c r="R28" s="131">
        <f t="shared" si="5"/>
        <v>2436486</v>
      </c>
      <c r="S28" s="131">
        <f t="shared" si="5"/>
        <v>0</v>
      </c>
      <c r="T28" s="131">
        <f t="shared" si="5"/>
        <v>10612447</v>
      </c>
      <c r="U28" s="131">
        <f t="shared" si="5"/>
        <v>0</v>
      </c>
      <c r="V28" s="131">
        <f>SUM(V24:V27)</f>
        <v>25883040</v>
      </c>
      <c r="W28" s="131">
        <f>SUM(W24:W27)</f>
        <v>14773885</v>
      </c>
      <c r="X28" s="131">
        <f t="shared" si="5"/>
        <v>3273801</v>
      </c>
      <c r="Y28" s="131">
        <f t="shared" si="5"/>
        <v>0</v>
      </c>
      <c r="Z28" s="131">
        <f t="shared" si="5"/>
        <v>14529006</v>
      </c>
      <c r="AA28" s="131">
        <f>SUM(AA24:AA27)+1</f>
        <v>40342</v>
      </c>
      <c r="AB28" s="131">
        <f t="shared" si="5"/>
        <v>17668887</v>
      </c>
      <c r="AC28" s="131">
        <f t="shared" si="5"/>
        <v>0</v>
      </c>
      <c r="AD28" s="131">
        <f t="shared" si="5"/>
        <v>0</v>
      </c>
      <c r="AE28" s="131">
        <f>SUM(AE24:AE27)</f>
        <v>3300102</v>
      </c>
      <c r="AF28" s="131">
        <f t="shared" si="5"/>
        <v>2294263</v>
      </c>
      <c r="AG28" s="131">
        <f t="shared" si="5"/>
        <v>13256212</v>
      </c>
      <c r="AH28" s="131">
        <f t="shared" si="5"/>
        <v>12415520</v>
      </c>
      <c r="AI28" s="131">
        <f>SUM(AI24:AI27)-1</f>
        <v>412025</v>
      </c>
      <c r="AJ28" s="131">
        <f t="shared" si="5"/>
        <v>7987728</v>
      </c>
      <c r="AK28" s="131">
        <f t="shared" si="5"/>
        <v>0</v>
      </c>
      <c r="AL28" s="131">
        <f t="shared" si="5"/>
        <v>0</v>
      </c>
      <c r="AM28" s="131">
        <f t="shared" si="5"/>
        <v>4398829</v>
      </c>
      <c r="AN28" s="131">
        <f t="shared" si="5"/>
        <v>10773910</v>
      </c>
      <c r="AO28" s="131">
        <f t="shared" si="5"/>
        <v>0</v>
      </c>
      <c r="AP28" s="131">
        <f t="shared" si="5"/>
        <v>2443568</v>
      </c>
      <c r="AQ28" s="131">
        <f t="shared" si="5"/>
        <v>7826824</v>
      </c>
      <c r="AR28" s="131">
        <f t="shared" si="5"/>
        <v>14367913</v>
      </c>
      <c r="AS28" s="131">
        <f t="shared" si="5"/>
        <v>5553024</v>
      </c>
      <c r="AT28" s="131">
        <f t="shared" si="5"/>
        <v>0</v>
      </c>
      <c r="AU28" s="131">
        <f t="shared" si="5"/>
        <v>3943630</v>
      </c>
      <c r="AV28" s="131">
        <f t="shared" si="5"/>
        <v>20742207</v>
      </c>
      <c r="AW28" s="131">
        <f t="shared" si="5"/>
        <v>9299286</v>
      </c>
      <c r="AX28" s="131">
        <f t="shared" si="5"/>
        <v>4644810</v>
      </c>
      <c r="AY28" s="131">
        <f t="shared" si="5"/>
        <v>0</v>
      </c>
      <c r="AZ28" s="131">
        <f t="shared" si="5"/>
        <v>8797161</v>
      </c>
      <c r="BA28" s="131">
        <f t="shared" si="5"/>
        <v>7639625</v>
      </c>
      <c r="BB28" s="131">
        <f t="shared" si="5"/>
        <v>4329491</v>
      </c>
      <c r="BC28" s="131">
        <f t="shared" si="5"/>
        <v>15088456</v>
      </c>
      <c r="BD28" s="131">
        <f>SUM(BD24:BD27)</f>
        <v>416040</v>
      </c>
      <c r="BE28" s="131">
        <f t="shared" si="5"/>
        <v>9670821</v>
      </c>
      <c r="BF28" s="131">
        <f t="shared" si="5"/>
        <v>0</v>
      </c>
      <c r="BG28" s="131">
        <f t="shared" si="5"/>
        <v>11097375</v>
      </c>
      <c r="BH28" s="131">
        <f t="shared" si="5"/>
        <v>3992674</v>
      </c>
      <c r="BI28" s="131">
        <f t="shared" si="5"/>
        <v>13259162</v>
      </c>
      <c r="BJ28" s="131">
        <f t="shared" si="5"/>
        <v>6530855</v>
      </c>
      <c r="BK28" s="123"/>
      <c r="BL28" s="125">
        <f>SUM(BL24:BL27)</f>
        <v>521892984</v>
      </c>
    </row>
    <row r="29" spans="1:64" ht="13.5" thickTop="1" x14ac:dyDescent="0.2">
      <c r="A29" s="115"/>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row>
    <row r="30" spans="1:64" x14ac:dyDescent="0.2">
      <c r="A30" s="115"/>
      <c r="B30" s="116"/>
      <c r="C30" s="116"/>
      <c r="D30" s="116"/>
      <c r="E30" s="124" t="str">
        <f>IF(E28=PriorYrExhD!E40,"OK","out of bal")</f>
        <v>OK</v>
      </c>
      <c r="F30" s="124" t="str">
        <f>IF(F28=PriorYrExhD!F40,"OK","out of bal")</f>
        <v>OK</v>
      </c>
      <c r="G30" s="124" t="str">
        <f>IF(G28=PriorYrExhD!G40,"OK","out of bal")</f>
        <v>OK</v>
      </c>
      <c r="H30" s="124" t="str">
        <f>IF(H28=PriorYrExhD!H40,"OK","out of bal")</f>
        <v>OK</v>
      </c>
      <c r="I30" s="124" t="str">
        <f>IF(I28=PriorYrExhD!I40,"OK","out of bal")</f>
        <v>OK</v>
      </c>
      <c r="J30" s="124" t="str">
        <f>IF(J28=PriorYrExhD!J40,"OK","out of bal")</f>
        <v>OK</v>
      </c>
      <c r="K30" s="124" t="str">
        <f>IF(K28=PriorYrExhD!K40,"OK","out of bal")</f>
        <v>OK</v>
      </c>
      <c r="L30" s="124" t="str">
        <f>IF(L28=PriorYrExhD!L40,"OK","out of bal")</f>
        <v>OK</v>
      </c>
      <c r="M30" s="124" t="str">
        <f>IF(M28=PriorYrExhD!M40,"OK","out of bal")</f>
        <v>OK</v>
      </c>
      <c r="N30" s="124" t="str">
        <f>IF(N28=PriorYrExhD!N40,"OK","out of bal")</f>
        <v>OK</v>
      </c>
      <c r="O30" s="124" t="str">
        <f>IF(O28=PriorYrExhD!O40,"OK","out of bal")</f>
        <v>OK</v>
      </c>
      <c r="P30" s="124" t="str">
        <f>IF(P28=PriorYrExhD!P40,"OK","out of bal")</f>
        <v>OK</v>
      </c>
      <c r="Q30" s="124" t="str">
        <f>IF(Q28=PriorYrExhD!Q40,"OK","out of bal")</f>
        <v>OK</v>
      </c>
      <c r="R30" s="124" t="str">
        <f>IF(R28=PriorYrExhD!R40,"OK","out of bal")</f>
        <v>OK</v>
      </c>
      <c r="S30" s="124" t="str">
        <f>IF(S28=PriorYrExhD!S40,"OK","out of bal")</f>
        <v>OK</v>
      </c>
      <c r="T30" s="124" t="str">
        <f>IF(T28=PriorYrExhD!T40,"OK","out of bal")</f>
        <v>OK</v>
      </c>
      <c r="U30" s="124" t="str">
        <f>IF(U28=PriorYrExhD!U40,"OK","out of bal")</f>
        <v>OK</v>
      </c>
      <c r="V30" s="124" t="str">
        <f>IF(V28=PriorYrExhD!V40,"OK","out of bal")</f>
        <v>OK</v>
      </c>
      <c r="W30" s="124" t="str">
        <f>IF(W28=PriorYrExhD!W40,"OK","out of bal")</f>
        <v>OK</v>
      </c>
      <c r="X30" s="124" t="str">
        <f>IF(X28=PriorYrExhD!X40,"OK","out of bal")</f>
        <v>OK</v>
      </c>
      <c r="Y30" s="124" t="str">
        <f>IF(Y28=PriorYrExhD!Y40,"OK","out of bal")</f>
        <v>OK</v>
      </c>
      <c r="Z30" s="124" t="str">
        <f>IF(Z28=PriorYrExhD!Z40,"OK","out of bal")</f>
        <v>OK</v>
      </c>
      <c r="AA30" s="124" t="str">
        <f>IF(AA28=PriorYrExhD!AA40,"OK","out of bal")</f>
        <v>OK</v>
      </c>
      <c r="AB30" s="124" t="str">
        <f>IF(AB28=PriorYrExhD!AB40,"OK","out of bal")</f>
        <v>OK</v>
      </c>
      <c r="AC30" s="124" t="str">
        <f>IF(AC28=PriorYrExhD!AC40,"OK","out of bal")</f>
        <v>OK</v>
      </c>
      <c r="AD30" s="124" t="str">
        <f>IF(AD28=PriorYrExhD!AD40,"OK","out of bal")</f>
        <v>OK</v>
      </c>
      <c r="AE30" s="124" t="str">
        <f>IF(AE28=PriorYrExhD!AE40,"OK","out of bal")</f>
        <v>OK</v>
      </c>
      <c r="AF30" s="124" t="str">
        <f>IF(AF28=PriorYrExhD!AF40,"OK","out of bal")</f>
        <v>OK</v>
      </c>
      <c r="AG30" s="124" t="str">
        <f>IF(AG28=PriorYrExhD!AG40,"OK","out of bal")</f>
        <v>OK</v>
      </c>
      <c r="AH30" s="124" t="str">
        <f>IF(AH28=PriorYrExhD!AH40,"OK","out of bal")</f>
        <v>OK</v>
      </c>
      <c r="AI30" s="124" t="str">
        <f>IF(AI28=PriorYrExhD!AI40,"OK","out of bal")</f>
        <v>OK</v>
      </c>
      <c r="AJ30" s="124" t="str">
        <f>IF(AJ28=PriorYrExhD!AJ40,"OK","out of bal")</f>
        <v>OK</v>
      </c>
      <c r="AK30" s="124" t="str">
        <f>IF(AK28=PriorYrExhD!AK40,"OK","out of bal")</f>
        <v>OK</v>
      </c>
      <c r="AL30" s="124" t="str">
        <f>IF(AL28=PriorYrExhD!AL40,"OK","out of bal")</f>
        <v>OK</v>
      </c>
      <c r="AM30" s="124" t="str">
        <f>IF(AM28=PriorYrExhD!AM40,"OK","out of bal")</f>
        <v>OK</v>
      </c>
      <c r="AN30" s="124" t="str">
        <f>IF(AN28=PriorYrExhD!AN40,"OK","out of bal")</f>
        <v>OK</v>
      </c>
      <c r="AO30" s="124" t="str">
        <f>IF(AO28=PriorYrExhD!AO40,"OK","out of bal")</f>
        <v>OK</v>
      </c>
      <c r="AP30" s="124" t="str">
        <f>IF(AP28=PriorYrExhD!AP40,"OK","out of bal")</f>
        <v>OK</v>
      </c>
      <c r="AQ30" s="124" t="str">
        <f>IF(AQ28=PriorYrExhD!AQ40,"OK","out of bal")</f>
        <v>OK</v>
      </c>
      <c r="AR30" s="124" t="str">
        <f>IF(AR28=PriorYrExhD!AR40,"OK","out of bal")</f>
        <v>OK</v>
      </c>
      <c r="AS30" s="124" t="str">
        <f>IF(AS28=PriorYrExhD!AS40,"OK","out of bal")</f>
        <v>OK</v>
      </c>
      <c r="AT30" s="124" t="str">
        <f>IF(AT28=PriorYrExhD!AT40,"OK","out of bal")</f>
        <v>OK</v>
      </c>
      <c r="AU30" s="124" t="str">
        <f>IF(AU28=PriorYrExhD!AU40,"OK","out of bal")</f>
        <v>OK</v>
      </c>
      <c r="AV30" s="124" t="str">
        <f>IF(AV28=PriorYrExhD!AV40,"OK","out of bal")</f>
        <v>OK</v>
      </c>
      <c r="AW30" s="124" t="str">
        <f>IF(AW28=PriorYrExhD!AW40,"OK","out of bal")</f>
        <v>OK</v>
      </c>
      <c r="AX30" s="124" t="str">
        <f>IF(AX28=PriorYrExhD!AX40,"OK","out of bal")</f>
        <v>OK</v>
      </c>
      <c r="AY30" s="124" t="str">
        <f>IF(AY28=PriorYrExhD!AY40,"OK","out of bal")</f>
        <v>OK</v>
      </c>
      <c r="AZ30" s="124" t="str">
        <f>IF(AZ28=PriorYrExhD!AZ40,"OK","out of bal")</f>
        <v>OK</v>
      </c>
      <c r="BA30" s="124" t="str">
        <f>IF(BA28=PriorYrExhD!BA40,"OK","out of bal")</f>
        <v>OK</v>
      </c>
      <c r="BB30" s="124" t="str">
        <f>IF(BB28=PriorYrExhD!BB40,"OK","out of bal")</f>
        <v>OK</v>
      </c>
      <c r="BC30" s="124" t="str">
        <f>IF(BC28=PriorYrExhD!BC40,"OK","out of bal")</f>
        <v>OK</v>
      </c>
      <c r="BD30" s="124" t="str">
        <f>IF(BD28=PriorYrExhD!BD40,"OK","out of bal")</f>
        <v>OK</v>
      </c>
      <c r="BE30" s="124" t="str">
        <f>IF(BE28=PriorYrExhD!BE40,"OK","out of bal")</f>
        <v>OK</v>
      </c>
      <c r="BF30" s="124" t="str">
        <f>IF(BF28=PriorYrExhD!BF40,"OK","out of bal")</f>
        <v>OK</v>
      </c>
      <c r="BG30" s="124" t="str">
        <f>IF(BG28=PriorYrExhD!BG40,"OK","out of bal")</f>
        <v>OK</v>
      </c>
      <c r="BH30" s="124" t="str">
        <f>IF(BH28=PriorYrExhD!BH40,"OK","out of bal")</f>
        <v>OK</v>
      </c>
      <c r="BI30" s="124" t="str">
        <f>IF(BI28=PriorYrExhD!BI40,"OK","out of bal")</f>
        <v>OK</v>
      </c>
      <c r="BJ30" s="124" t="str">
        <f>IF(BJ28=PriorYrExhD!BJ40,"OK","out of bal")</f>
        <v>OK</v>
      </c>
      <c r="BK30" s="124"/>
      <c r="BL30" s="124" t="str">
        <f>IF(BL28=PriorYrExhD!BL40,"OK","out of bal")</f>
        <v>OK</v>
      </c>
    </row>
    <row r="32" spans="1:64" x14ac:dyDescent="0.2">
      <c r="C32" s="173" t="s">
        <v>481</v>
      </c>
    </row>
    <row r="33" spans="3:3" x14ac:dyDescent="0.2">
      <c r="C33" s="173" t="s">
        <v>482</v>
      </c>
    </row>
    <row r="34" spans="3:3" x14ac:dyDescent="0.2">
      <c r="C34" s="173" t="s">
        <v>494</v>
      </c>
    </row>
    <row r="35" spans="3:3" x14ac:dyDescent="0.2">
      <c r="C35" s="173" t="s">
        <v>484</v>
      </c>
    </row>
    <row r="36" spans="3:3" x14ac:dyDescent="0.2">
      <c r="C36" s="173" t="s">
        <v>485</v>
      </c>
    </row>
    <row r="38" spans="3:3" x14ac:dyDescent="0.2">
      <c r="C38" s="152" t="s">
        <v>503</v>
      </c>
    </row>
  </sheetData>
  <sheetProtection algorithmName="SHA-512" hashValue="y7YkPleuggfN3ENhIeAkmnpjofaHgSjJmuTOtwkTCzb3wZ8F0FnX0F3Pxik+BgbSN1A1RXTukCThJgqcm53myA==" saltValue="C1tObHYsTWlNKCqMooLTZw==" spinCount="100000" sheet="1" autoFilter="0"/>
  <pageMargins left="0.2" right="0.2" top="0.5" bottom="0.5" header="0.3" footer="0.3"/>
  <pageSetup orientation="landscape" r:id="rId1"/>
  <ignoredErrors>
    <ignoredError sqref="W15" formulaRange="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AE0C-0C04-46C1-B327-9941725A32F5}">
  <dimension ref="A1:G91"/>
  <sheetViews>
    <sheetView workbookViewId="0">
      <selection activeCell="F30" sqref="F30"/>
    </sheetView>
  </sheetViews>
  <sheetFormatPr defaultRowHeight="12.75" x14ac:dyDescent="0.2"/>
  <cols>
    <col min="4" max="4" width="43.7109375" bestFit="1" customWidth="1"/>
    <col min="5" max="5" width="51.7109375" customWidth="1"/>
    <col min="6" max="6" width="32" bestFit="1" customWidth="1"/>
    <col min="7" max="7" width="17.28515625" customWidth="1"/>
    <col min="10" max="10" width="35.7109375" bestFit="1" customWidth="1"/>
  </cols>
  <sheetData>
    <row r="1" spans="1:7" ht="23.25" x14ac:dyDescent="0.35">
      <c r="A1" s="231" t="s">
        <v>584</v>
      </c>
    </row>
    <row r="2" spans="1:7" x14ac:dyDescent="0.2">
      <c r="E2" s="246" t="s">
        <v>625</v>
      </c>
      <c r="F2" s="246" t="s">
        <v>626</v>
      </c>
      <c r="G2" s="246" t="s">
        <v>627</v>
      </c>
    </row>
    <row r="3" spans="1:7" x14ac:dyDescent="0.2">
      <c r="D3" s="133" t="s">
        <v>40</v>
      </c>
      <c r="E3" t="s">
        <v>579</v>
      </c>
      <c r="F3" t="s">
        <v>584</v>
      </c>
      <c r="G3" s="173" t="s">
        <v>628</v>
      </c>
    </row>
    <row r="4" spans="1:7" x14ac:dyDescent="0.2">
      <c r="C4" s="32">
        <v>100</v>
      </c>
      <c r="D4" s="31" t="s">
        <v>41</v>
      </c>
      <c r="E4" t="str">
        <f>+C4&amp;" "&amp;D4</f>
        <v>100 Cash and cash equivalents</v>
      </c>
      <c r="F4" t="s">
        <v>629</v>
      </c>
      <c r="G4" s="164">
        <v>11111000</v>
      </c>
    </row>
    <row r="5" spans="1:7" ht="15.75" x14ac:dyDescent="0.25">
      <c r="C5" s="32">
        <v>105</v>
      </c>
      <c r="D5" s="31" t="s">
        <v>44</v>
      </c>
      <c r="E5" t="str">
        <f t="shared" ref="E5:E24" si="0">+C5&amp;" "&amp;D5</f>
        <v>105 Investment in joint venture</v>
      </c>
      <c r="F5" s="232" t="s">
        <v>631</v>
      </c>
      <c r="G5" s="164">
        <v>11210100</v>
      </c>
    </row>
    <row r="6" spans="1:7" ht="15.75" x14ac:dyDescent="0.25">
      <c r="C6" s="32">
        <v>105</v>
      </c>
      <c r="D6" s="31" t="s">
        <v>45</v>
      </c>
      <c r="E6" t="str">
        <f t="shared" si="0"/>
        <v>105 Cash surrender value of life insurance</v>
      </c>
      <c r="F6" s="232" t="s">
        <v>631</v>
      </c>
      <c r="G6" s="164">
        <v>11210100</v>
      </c>
    </row>
    <row r="7" spans="1:7" ht="15.75" x14ac:dyDescent="0.25">
      <c r="C7" s="32">
        <v>105</v>
      </c>
      <c r="D7" s="31" t="s">
        <v>46</v>
      </c>
      <c r="E7" t="str">
        <f t="shared" si="0"/>
        <v>105 Assets held in charitable trusts and annuities</v>
      </c>
      <c r="F7" s="232" t="s">
        <v>631</v>
      </c>
      <c r="G7" s="164">
        <v>11210100</v>
      </c>
    </row>
    <row r="8" spans="1:7" ht="15.75" x14ac:dyDescent="0.25">
      <c r="C8" s="32">
        <v>105</v>
      </c>
      <c r="D8" s="31" t="s">
        <v>47</v>
      </c>
      <c r="E8" t="str">
        <f t="shared" si="0"/>
        <v>105 Security deposits</v>
      </c>
      <c r="F8" s="232" t="s">
        <v>631</v>
      </c>
      <c r="G8" s="164">
        <v>11210100</v>
      </c>
    </row>
    <row r="9" spans="1:7" ht="15.75" x14ac:dyDescent="0.25">
      <c r="C9" s="32">
        <v>105</v>
      </c>
      <c r="D9" s="31" t="s">
        <v>48</v>
      </c>
      <c r="E9" t="str">
        <f t="shared" si="0"/>
        <v>105 Assets held by trustee</v>
      </c>
      <c r="F9" s="232" t="s">
        <v>631</v>
      </c>
      <c r="G9" s="164">
        <v>11210100</v>
      </c>
    </row>
    <row r="10" spans="1:7" ht="15.75" x14ac:dyDescent="0.25">
      <c r="C10" s="32">
        <v>105</v>
      </c>
      <c r="D10" s="31" t="s">
        <v>49</v>
      </c>
      <c r="E10" t="str">
        <f t="shared" si="0"/>
        <v>105 Real estate held for resale</v>
      </c>
      <c r="F10" s="232" t="s">
        <v>631</v>
      </c>
      <c r="G10" s="164">
        <v>11210100</v>
      </c>
    </row>
    <row r="11" spans="1:7" ht="15.75" x14ac:dyDescent="0.25">
      <c r="C11" s="32">
        <v>105</v>
      </c>
      <c r="D11" s="31" t="s">
        <v>57</v>
      </c>
      <c r="E11" t="str">
        <f t="shared" si="0"/>
        <v>105 In-kind gifts</v>
      </c>
      <c r="F11" s="232" t="s">
        <v>631</v>
      </c>
      <c r="G11" s="164">
        <v>11210100</v>
      </c>
    </row>
    <row r="12" spans="1:7" ht="15.75" x14ac:dyDescent="0.25">
      <c r="C12" s="32">
        <v>105</v>
      </c>
      <c r="D12" s="31" t="s">
        <v>130</v>
      </c>
      <c r="E12" t="str">
        <f t="shared" si="0"/>
        <v>105 Other Investments</v>
      </c>
      <c r="F12" s="232" t="s">
        <v>631</v>
      </c>
      <c r="G12" s="164">
        <v>11210100</v>
      </c>
    </row>
    <row r="13" spans="1:7" ht="15.75" x14ac:dyDescent="0.25">
      <c r="C13" s="32">
        <v>110</v>
      </c>
      <c r="D13" s="31" t="s">
        <v>50</v>
      </c>
      <c r="E13" t="str">
        <f t="shared" si="0"/>
        <v>110 Receivables, net</v>
      </c>
      <c r="F13" s="232" t="s">
        <v>670</v>
      </c>
      <c r="G13" s="164">
        <v>11320000</v>
      </c>
    </row>
    <row r="14" spans="1:7" ht="15.75" x14ac:dyDescent="0.25">
      <c r="C14" s="32">
        <v>110</v>
      </c>
      <c r="D14" s="31" t="s">
        <v>51</v>
      </c>
      <c r="E14" t="str">
        <f t="shared" si="0"/>
        <v>110 Promises to give</v>
      </c>
      <c r="F14" s="232" t="s">
        <v>670</v>
      </c>
      <c r="G14" s="164">
        <v>11320000</v>
      </c>
    </row>
    <row r="15" spans="1:7" ht="15.75" x14ac:dyDescent="0.25">
      <c r="C15" s="32">
        <v>115</v>
      </c>
      <c r="D15" s="31" t="s">
        <v>52</v>
      </c>
      <c r="E15" t="str">
        <f t="shared" si="0"/>
        <v>115 Inventories</v>
      </c>
      <c r="F15" s="232" t="s">
        <v>632</v>
      </c>
      <c r="G15" s="164">
        <v>11611000</v>
      </c>
    </row>
    <row r="16" spans="1:7" ht="15.75" x14ac:dyDescent="0.25">
      <c r="C16" s="32">
        <v>120</v>
      </c>
      <c r="D16" s="31" t="s">
        <v>53</v>
      </c>
      <c r="E16" t="str">
        <f t="shared" si="0"/>
        <v>120 Prepaid expenses</v>
      </c>
      <c r="F16" s="232" t="s">
        <v>633</v>
      </c>
      <c r="G16" s="164">
        <v>11910000</v>
      </c>
    </row>
    <row r="17" spans="3:7" ht="15.75" x14ac:dyDescent="0.25">
      <c r="C17" s="32">
        <v>120</v>
      </c>
      <c r="D17" s="31" t="s">
        <v>56</v>
      </c>
      <c r="E17" t="str">
        <f t="shared" si="0"/>
        <v>120 Deferred charges</v>
      </c>
      <c r="F17" s="232" t="s">
        <v>633</v>
      </c>
      <c r="G17" s="164">
        <v>11910000</v>
      </c>
    </row>
    <row r="18" spans="3:7" ht="15.75" x14ac:dyDescent="0.25">
      <c r="C18" s="32">
        <v>125</v>
      </c>
      <c r="D18" s="31" t="s">
        <v>54</v>
      </c>
      <c r="E18" t="str">
        <f t="shared" si="0"/>
        <v>125 Notes/loans receivable, net</v>
      </c>
      <c r="F18" s="232" t="s">
        <v>671</v>
      </c>
      <c r="G18" s="164">
        <v>11510000</v>
      </c>
    </row>
    <row r="19" spans="3:7" ht="15.75" x14ac:dyDescent="0.25">
      <c r="C19" s="32">
        <v>126</v>
      </c>
      <c r="D19" s="31" t="s">
        <v>55</v>
      </c>
      <c r="E19" t="str">
        <f t="shared" si="0"/>
        <v>126 Lease receivable, net</v>
      </c>
      <c r="F19" s="232" t="s">
        <v>634</v>
      </c>
      <c r="G19" s="164" t="s">
        <v>637</v>
      </c>
    </row>
    <row r="20" spans="3:7" x14ac:dyDescent="0.2">
      <c r="C20" s="32">
        <v>130</v>
      </c>
      <c r="D20" s="31" t="s">
        <v>129</v>
      </c>
      <c r="E20" t="str">
        <f t="shared" si="0"/>
        <v>130 Restricted/endowment investments</v>
      </c>
      <c r="F20" s="173" t="s">
        <v>630</v>
      </c>
      <c r="G20" s="164">
        <v>11212500</v>
      </c>
    </row>
    <row r="21" spans="3:7" ht="15.75" x14ac:dyDescent="0.25">
      <c r="C21" s="32">
        <v>140</v>
      </c>
      <c r="D21" s="31" t="s">
        <v>133</v>
      </c>
      <c r="E21" t="str">
        <f t="shared" si="0"/>
        <v>140 Unrestricted property/equipment, nondepreciable</v>
      </c>
      <c r="F21" s="247" t="s">
        <v>635</v>
      </c>
      <c r="G21" s="164" t="s">
        <v>27</v>
      </c>
    </row>
    <row r="22" spans="3:7" ht="15.75" x14ac:dyDescent="0.25">
      <c r="C22" s="32">
        <v>145</v>
      </c>
      <c r="D22" s="31" t="s">
        <v>134</v>
      </c>
      <c r="E22" t="str">
        <f t="shared" si="0"/>
        <v>145 Unrestricted property/equipment, depreciable, net</v>
      </c>
      <c r="F22" s="247" t="s">
        <v>636</v>
      </c>
      <c r="G22" s="164"/>
    </row>
    <row r="23" spans="3:7" ht="15.75" x14ac:dyDescent="0.25">
      <c r="C23" s="32">
        <v>140</v>
      </c>
      <c r="D23" s="31" t="s">
        <v>135</v>
      </c>
      <c r="E23" t="str">
        <f t="shared" si="0"/>
        <v>140 Restricted property/equipment, nondepreciable</v>
      </c>
      <c r="F23" s="247" t="s">
        <v>635</v>
      </c>
    </row>
    <row r="24" spans="3:7" ht="15.75" x14ac:dyDescent="0.25">
      <c r="C24" s="32">
        <v>145</v>
      </c>
      <c r="D24" s="31" t="s">
        <v>136</v>
      </c>
      <c r="E24" t="str">
        <f t="shared" si="0"/>
        <v>145 Restricted property/equipment, depreciable, net</v>
      </c>
      <c r="F24" s="247" t="s">
        <v>636</v>
      </c>
    </row>
    <row r="27" spans="3:7" x14ac:dyDescent="0.2">
      <c r="D27" s="133" t="s">
        <v>580</v>
      </c>
      <c r="E27" t="s">
        <v>579</v>
      </c>
      <c r="F27" s="173" t="s">
        <v>584</v>
      </c>
    </row>
    <row r="28" spans="3:7" x14ac:dyDescent="0.2">
      <c r="C28" s="32">
        <v>200</v>
      </c>
      <c r="D28" s="31" t="s">
        <v>61</v>
      </c>
      <c r="E28" t="str">
        <f t="shared" ref="E28:E47" si="1">+C28&amp;" "&amp;D28</f>
        <v>200 Accounts payable and accrued expenses</v>
      </c>
      <c r="F28" t="s">
        <v>672</v>
      </c>
      <c r="G28" s="164">
        <v>21110000</v>
      </c>
    </row>
    <row r="29" spans="3:7" x14ac:dyDescent="0.2">
      <c r="C29" s="32">
        <v>200</v>
      </c>
      <c r="D29" s="31" t="s">
        <v>68</v>
      </c>
      <c r="E29" t="str">
        <f t="shared" si="1"/>
        <v>200 Interest rate swap fair value liability</v>
      </c>
      <c r="F29" t="s">
        <v>641</v>
      </c>
    </row>
    <row r="30" spans="3:7" x14ac:dyDescent="0.2">
      <c r="C30" s="32">
        <v>202</v>
      </c>
      <c r="D30" s="31" t="s">
        <v>645</v>
      </c>
      <c r="E30" t="str">
        <f t="shared" si="1"/>
        <v xml:space="preserve">202 Due to the College </v>
      </c>
      <c r="F30" s="173" t="s">
        <v>673</v>
      </c>
      <c r="G30" s="164">
        <v>21270000</v>
      </c>
    </row>
    <row r="31" spans="3:7" x14ac:dyDescent="0.2">
      <c r="C31" s="32">
        <v>203</v>
      </c>
      <c r="D31" s="31" t="s">
        <v>646</v>
      </c>
      <c r="E31" t="str">
        <f t="shared" si="1"/>
        <v xml:space="preserve">203 Grants payable to the College </v>
      </c>
      <c r="F31" s="173" t="s">
        <v>647</v>
      </c>
      <c r="G31" s="164" t="s">
        <v>226</v>
      </c>
    </row>
    <row r="32" spans="3:7" x14ac:dyDescent="0.2">
      <c r="C32" s="32">
        <v>205</v>
      </c>
      <c r="D32" s="31" t="s">
        <v>64</v>
      </c>
      <c r="E32" t="str">
        <f t="shared" si="1"/>
        <v>205 Unearned revenue</v>
      </c>
      <c r="F32" t="s">
        <v>639</v>
      </c>
      <c r="G32" s="164">
        <v>21811000</v>
      </c>
    </row>
    <row r="33" spans="3:7" x14ac:dyDescent="0.2">
      <c r="C33" s="32">
        <v>210</v>
      </c>
      <c r="D33" s="31" t="s">
        <v>65</v>
      </c>
      <c r="E33" t="str">
        <f t="shared" si="1"/>
        <v>210 Interest payable</v>
      </c>
      <c r="F33" t="s">
        <v>638</v>
      </c>
      <c r="G33" s="164">
        <v>21621000</v>
      </c>
    </row>
    <row r="34" spans="3:7" x14ac:dyDescent="0.2">
      <c r="C34" s="32">
        <v>215</v>
      </c>
      <c r="D34" s="31" t="s">
        <v>66</v>
      </c>
      <c r="E34" t="str">
        <f t="shared" si="1"/>
        <v>215 Deposits payable</v>
      </c>
      <c r="F34" t="s">
        <v>674</v>
      </c>
      <c r="G34" s="164">
        <v>21712000</v>
      </c>
    </row>
    <row r="35" spans="3:7" x14ac:dyDescent="0.2">
      <c r="C35" s="32">
        <v>220</v>
      </c>
      <c r="D35" s="31" t="s">
        <v>67</v>
      </c>
      <c r="E35" t="str">
        <f t="shared" si="1"/>
        <v>220 Funds held for others</v>
      </c>
      <c r="F35" t="s">
        <v>640</v>
      </c>
      <c r="G35" s="164">
        <v>21719000</v>
      </c>
    </row>
    <row r="36" spans="3:7" x14ac:dyDescent="0.2">
      <c r="C36" s="32" t="s">
        <v>42</v>
      </c>
      <c r="D36" s="31" t="s">
        <v>648</v>
      </c>
      <c r="E36" t="str">
        <f t="shared" si="1"/>
        <v>** Split interest agreement obligations - Due in 1 year</v>
      </c>
      <c r="F36" t="s">
        <v>642</v>
      </c>
    </row>
    <row r="37" spans="3:7" x14ac:dyDescent="0.2">
      <c r="C37" s="32" t="s">
        <v>42</v>
      </c>
      <c r="D37" s="31" t="s">
        <v>649</v>
      </c>
      <c r="E37" t="str">
        <f t="shared" si="1"/>
        <v>** Split interest agreement obligations - Noncurrent</v>
      </c>
      <c r="F37" t="s">
        <v>643</v>
      </c>
    </row>
    <row r="38" spans="3:7" x14ac:dyDescent="0.2">
      <c r="C38" s="32" t="s">
        <v>42</v>
      </c>
      <c r="D38" s="31" t="s">
        <v>650</v>
      </c>
      <c r="E38" t="str">
        <f t="shared" si="1"/>
        <v>** Annuities payable - Due in 1 year</v>
      </c>
      <c r="F38" t="s">
        <v>676</v>
      </c>
    </row>
    <row r="39" spans="3:7" x14ac:dyDescent="0.2">
      <c r="C39" s="32" t="s">
        <v>42</v>
      </c>
      <c r="D39" s="31" t="s">
        <v>651</v>
      </c>
      <c r="E39" t="str">
        <f t="shared" si="1"/>
        <v>** Annuities payable - Noncurrent</v>
      </c>
      <c r="F39" t="s">
        <v>677</v>
      </c>
    </row>
    <row r="40" spans="3:7" x14ac:dyDescent="0.2">
      <c r="C40" s="32" t="s">
        <v>42</v>
      </c>
      <c r="D40" s="31" t="s">
        <v>652</v>
      </c>
      <c r="E40" t="str">
        <f t="shared" si="1"/>
        <v>** Capital leases payable - Due in 1 year</v>
      </c>
      <c r="F40" t="s">
        <v>678</v>
      </c>
    </row>
    <row r="41" spans="3:7" x14ac:dyDescent="0.2">
      <c r="C41" s="32" t="s">
        <v>42</v>
      </c>
      <c r="D41" s="31" t="s">
        <v>653</v>
      </c>
      <c r="E41" t="str">
        <f t="shared" si="1"/>
        <v>** Capital leases payable - Noncurrent</v>
      </c>
      <c r="F41" t="s">
        <v>679</v>
      </c>
    </row>
    <row r="42" spans="3:7" x14ac:dyDescent="0.2">
      <c r="C42" s="32" t="s">
        <v>42</v>
      </c>
      <c r="D42" s="31" t="s">
        <v>654</v>
      </c>
      <c r="E42" t="str">
        <f t="shared" si="1"/>
        <v>** SBITA liability - Due in 1 year</v>
      </c>
      <c r="F42" t="s">
        <v>680</v>
      </c>
    </row>
    <row r="43" spans="3:7" x14ac:dyDescent="0.2">
      <c r="C43" s="32" t="s">
        <v>42</v>
      </c>
      <c r="D43" s="31" t="s">
        <v>655</v>
      </c>
      <c r="E43" t="str">
        <f t="shared" si="1"/>
        <v>** SBITA liability - Noncurrent</v>
      </c>
      <c r="F43" t="s">
        <v>681</v>
      </c>
    </row>
    <row r="44" spans="3:7" x14ac:dyDescent="0.2">
      <c r="C44" s="32" t="s">
        <v>42</v>
      </c>
      <c r="D44" s="31" t="s">
        <v>656</v>
      </c>
      <c r="E44" t="str">
        <f t="shared" si="1"/>
        <v>** Notes payable - Due in 1 year</v>
      </c>
      <c r="F44" t="s">
        <v>675</v>
      </c>
    </row>
    <row r="45" spans="3:7" x14ac:dyDescent="0.2">
      <c r="C45" s="32" t="s">
        <v>42</v>
      </c>
      <c r="D45" s="31" t="s">
        <v>657</v>
      </c>
      <c r="E45" t="str">
        <f t="shared" si="1"/>
        <v>** Notes payable - Noncurrent</v>
      </c>
      <c r="F45" t="s">
        <v>682</v>
      </c>
    </row>
    <row r="46" spans="3:7" x14ac:dyDescent="0.2">
      <c r="C46" s="32" t="s">
        <v>42</v>
      </c>
      <c r="D46" s="31" t="s">
        <v>658</v>
      </c>
      <c r="E46" t="str">
        <f t="shared" si="1"/>
        <v>** Bonds payable - Due in 1 year</v>
      </c>
      <c r="F46" t="s">
        <v>644</v>
      </c>
    </row>
    <row r="47" spans="3:7" x14ac:dyDescent="0.2">
      <c r="C47" s="32" t="s">
        <v>42</v>
      </c>
      <c r="D47" s="31" t="s">
        <v>659</v>
      </c>
      <c r="E47" t="str">
        <f t="shared" si="1"/>
        <v>** Bonds payable - Noncurrent</v>
      </c>
      <c r="F47" t="s">
        <v>683</v>
      </c>
    </row>
    <row r="50" spans="3:7" x14ac:dyDescent="0.2">
      <c r="D50" s="133" t="s">
        <v>260</v>
      </c>
      <c r="E50" t="s">
        <v>579</v>
      </c>
      <c r="F50" s="173" t="s">
        <v>584</v>
      </c>
    </row>
    <row r="51" spans="3:7" x14ac:dyDescent="0.2">
      <c r="C51" s="32">
        <v>500</v>
      </c>
      <c r="D51" t="s">
        <v>139</v>
      </c>
      <c r="E51" t="str">
        <f t="shared" ref="E51:E61" si="2">+C51&amp;" "&amp;D51</f>
        <v>500 Noncapital gifts</v>
      </c>
      <c r="F51" s="173" t="s">
        <v>660</v>
      </c>
      <c r="G51" s="164">
        <v>46200000</v>
      </c>
    </row>
    <row r="52" spans="3:7" x14ac:dyDescent="0.2">
      <c r="C52" s="32">
        <v>500</v>
      </c>
      <c r="D52" t="s">
        <v>99</v>
      </c>
      <c r="E52" t="str">
        <f t="shared" si="2"/>
        <v>500 Contributed services and facilities</v>
      </c>
      <c r="F52" s="173" t="s">
        <v>660</v>
      </c>
      <c r="G52" s="164">
        <v>46200000</v>
      </c>
    </row>
    <row r="53" spans="3:7" x14ac:dyDescent="0.2">
      <c r="C53" s="32">
        <v>500</v>
      </c>
      <c r="D53" t="s">
        <v>100</v>
      </c>
      <c r="E53" t="str">
        <f t="shared" si="2"/>
        <v>500 Change in value of split interest agreements</v>
      </c>
      <c r="F53" s="173" t="s">
        <v>660</v>
      </c>
      <c r="G53" s="164">
        <v>46200000</v>
      </c>
    </row>
    <row r="54" spans="3:7" x14ac:dyDescent="0.2">
      <c r="C54" s="32">
        <v>510</v>
      </c>
      <c r="D54" t="s">
        <v>140</v>
      </c>
      <c r="E54" t="str">
        <f t="shared" si="2"/>
        <v>510 Capital gifts</v>
      </c>
      <c r="F54" s="173" t="s">
        <v>661</v>
      </c>
      <c r="G54" s="164">
        <v>46203000</v>
      </c>
    </row>
    <row r="55" spans="3:7" x14ac:dyDescent="0.2">
      <c r="C55" s="32">
        <v>520</v>
      </c>
      <c r="D55" t="s">
        <v>141</v>
      </c>
      <c r="E55" t="str">
        <f t="shared" si="2"/>
        <v>520 Additions to endowments</v>
      </c>
      <c r="F55" t="s">
        <v>662</v>
      </c>
      <c r="G55" s="164">
        <v>46205000</v>
      </c>
    </row>
    <row r="56" spans="3:7" x14ac:dyDescent="0.2">
      <c r="C56" s="32">
        <v>530</v>
      </c>
      <c r="D56" t="s">
        <v>101</v>
      </c>
      <c r="E56" t="str">
        <f t="shared" si="2"/>
        <v>530 Investment income</v>
      </c>
      <c r="F56" s="173" t="s">
        <v>663</v>
      </c>
      <c r="G56" s="164">
        <v>43111000</v>
      </c>
    </row>
    <row r="57" spans="3:7" x14ac:dyDescent="0.2">
      <c r="C57" s="32">
        <v>530</v>
      </c>
      <c r="D57" t="s">
        <v>102</v>
      </c>
      <c r="E57" t="str">
        <f t="shared" si="2"/>
        <v>530 Net realized/unrealized gains (losses) on investments</v>
      </c>
      <c r="F57" s="173" t="s">
        <v>663</v>
      </c>
      <c r="G57" s="164">
        <v>43111000</v>
      </c>
    </row>
    <row r="58" spans="3:7" x14ac:dyDescent="0.2">
      <c r="C58" s="32">
        <v>540</v>
      </c>
      <c r="D58" t="s">
        <v>103</v>
      </c>
      <c r="E58" t="str">
        <f t="shared" si="2"/>
        <v>540 Sales and services</v>
      </c>
      <c r="F58" s="173" t="s">
        <v>664</v>
      </c>
      <c r="G58" s="164">
        <v>44101000</v>
      </c>
    </row>
    <row r="59" spans="3:7" x14ac:dyDescent="0.2">
      <c r="C59" s="32">
        <v>550</v>
      </c>
      <c r="D59" t="s">
        <v>104</v>
      </c>
      <c r="E59" t="str">
        <f t="shared" si="2"/>
        <v>550 Rental and lease income</v>
      </c>
      <c r="F59" s="173" t="s">
        <v>664</v>
      </c>
      <c r="G59" s="164">
        <v>44410000</v>
      </c>
    </row>
    <row r="60" spans="3:7" x14ac:dyDescent="0.2">
      <c r="C60" s="32">
        <v>555</v>
      </c>
      <c r="D60" t="s">
        <v>105</v>
      </c>
      <c r="E60" t="str">
        <f t="shared" si="2"/>
        <v>555 Gain on sale of capital assets</v>
      </c>
      <c r="F60" s="173" t="s">
        <v>665</v>
      </c>
      <c r="G60" s="164">
        <v>44330000</v>
      </c>
    </row>
    <row r="61" spans="3:7" x14ac:dyDescent="0.2">
      <c r="C61" s="32">
        <v>560</v>
      </c>
      <c r="D61" t="s">
        <v>106</v>
      </c>
      <c r="E61" t="str">
        <f t="shared" si="2"/>
        <v>560 Miscellaneous income</v>
      </c>
      <c r="F61" s="173" t="s">
        <v>666</v>
      </c>
      <c r="G61" s="164">
        <v>47991000</v>
      </c>
    </row>
    <row r="62" spans="3:7" x14ac:dyDescent="0.2">
      <c r="F62" s="173" t="s">
        <v>27</v>
      </c>
      <c r="G62" s="164" t="s">
        <v>27</v>
      </c>
    </row>
    <row r="64" spans="3:7" x14ac:dyDescent="0.2">
      <c r="D64" s="133" t="s">
        <v>260</v>
      </c>
      <c r="E64" t="s">
        <v>579</v>
      </c>
      <c r="F64" s="173" t="s">
        <v>584</v>
      </c>
    </row>
    <row r="65" spans="3:7" x14ac:dyDescent="0.2">
      <c r="C65" s="32">
        <v>600</v>
      </c>
      <c r="D65" s="3" t="s">
        <v>146</v>
      </c>
      <c r="E65" t="str">
        <f t="shared" ref="E65:E68" si="3">+C65&amp;" "&amp;D65</f>
        <v>600 Noncapital gift revenues recognized by College</v>
      </c>
      <c r="F65" s="173" t="s">
        <v>668</v>
      </c>
    </row>
    <row r="66" spans="3:7" x14ac:dyDescent="0.2">
      <c r="C66" s="32">
        <v>602</v>
      </c>
      <c r="D66" s="3" t="s">
        <v>147</v>
      </c>
      <c r="E66" t="str">
        <f t="shared" si="3"/>
        <v>602 Capital gift revenues recognized by College</v>
      </c>
      <c r="F66" s="173" t="s">
        <v>668</v>
      </c>
    </row>
    <row r="67" spans="3:7" x14ac:dyDescent="0.2">
      <c r="C67" s="32">
        <v>604</v>
      </c>
      <c r="D67" s="3" t="s">
        <v>145</v>
      </c>
      <c r="E67" t="str">
        <f t="shared" si="3"/>
        <v>604 Student tuition and fees recognized by College</v>
      </c>
      <c r="F67" s="173" t="s">
        <v>668</v>
      </c>
    </row>
    <row r="68" spans="3:7" x14ac:dyDescent="0.2">
      <c r="C68" s="32">
        <v>610</v>
      </c>
      <c r="D68" t="s">
        <v>110</v>
      </c>
      <c r="E68" t="str">
        <f t="shared" si="3"/>
        <v>610 Other expenses (include losses on sale of capital assets)</v>
      </c>
      <c r="F68" t="s">
        <v>667</v>
      </c>
      <c r="G68" s="164">
        <v>55900000</v>
      </c>
    </row>
    <row r="70" spans="3:7" x14ac:dyDescent="0.2">
      <c r="D70" s="234" t="s">
        <v>604</v>
      </c>
    </row>
    <row r="71" spans="3:7" ht="15.75" x14ac:dyDescent="0.25">
      <c r="D71" s="232" t="s">
        <v>588</v>
      </c>
    </row>
    <row r="72" spans="3:7" x14ac:dyDescent="0.2">
      <c r="D72" t="s">
        <v>605</v>
      </c>
    </row>
    <row r="73" spans="3:7" x14ac:dyDescent="0.2">
      <c r="D73" t="s">
        <v>606</v>
      </c>
    </row>
    <row r="75" spans="3:7" ht="15.75" x14ac:dyDescent="0.25">
      <c r="D75" s="233" t="s">
        <v>589</v>
      </c>
    </row>
    <row r="76" spans="3:7" ht="15.75" x14ac:dyDescent="0.25">
      <c r="D76" s="232" t="s">
        <v>588</v>
      </c>
    </row>
    <row r="77" spans="3:7" ht="15.75" x14ac:dyDescent="0.25">
      <c r="D77" s="232" t="s">
        <v>590</v>
      </c>
    </row>
    <row r="78" spans="3:7" ht="15.75" x14ac:dyDescent="0.25">
      <c r="D78" s="232" t="s">
        <v>591</v>
      </c>
    </row>
    <row r="79" spans="3:7" ht="15.75" x14ac:dyDescent="0.25">
      <c r="D79" s="232" t="s">
        <v>592</v>
      </c>
    </row>
    <row r="80" spans="3:7" ht="15.75" x14ac:dyDescent="0.25">
      <c r="D80" s="232" t="s">
        <v>593</v>
      </c>
    </row>
    <row r="81" spans="4:5" ht="15.75" x14ac:dyDescent="0.25">
      <c r="D81" s="232" t="s">
        <v>594</v>
      </c>
    </row>
    <row r="82" spans="4:5" ht="15.75" x14ac:dyDescent="0.25">
      <c r="D82" s="232" t="s">
        <v>595</v>
      </c>
    </row>
    <row r="83" spans="4:5" ht="15.75" x14ac:dyDescent="0.25">
      <c r="D83" s="232" t="s">
        <v>596</v>
      </c>
    </row>
    <row r="84" spans="4:5" ht="15.75" x14ac:dyDescent="0.25">
      <c r="D84" s="232" t="s">
        <v>597</v>
      </c>
    </row>
    <row r="85" spans="4:5" ht="15.75" x14ac:dyDescent="0.25">
      <c r="D85" s="232" t="s">
        <v>598</v>
      </c>
    </row>
    <row r="86" spans="4:5" ht="15.75" x14ac:dyDescent="0.25">
      <c r="D86" s="232" t="s">
        <v>599</v>
      </c>
    </row>
    <row r="87" spans="4:5" ht="15.75" x14ac:dyDescent="0.25">
      <c r="D87" s="232" t="s">
        <v>684</v>
      </c>
      <c r="E87" s="233" t="s">
        <v>600</v>
      </c>
    </row>
    <row r="88" spans="4:5" ht="15.75" x14ac:dyDescent="0.25">
      <c r="D88" s="232" t="s">
        <v>601</v>
      </c>
    </row>
    <row r="90" spans="4:5" ht="15.75" x14ac:dyDescent="0.25">
      <c r="D90" s="232" t="s">
        <v>602</v>
      </c>
    </row>
    <row r="91" spans="4:5" ht="15.75" x14ac:dyDescent="0.25">
      <c r="D91" s="232" t="s">
        <v>603</v>
      </c>
    </row>
  </sheetData>
  <sheetProtection algorithmName="SHA-512" hashValue="UwQINC7yJhN/Fw+JFhm9tv1S6x2bPSFMUn/Y2VECBdrFB8Gqz4JKp6zUwCQ8VtntnHIR1lxs9KFJry6HXb/n4g==" saltValue="wbdzLVK+wHLBro8oBwCeZA==" spinCount="100000" sheet="1" objects="1" scenario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showGridLines="0" workbookViewId="0">
      <selection activeCell="H28" sqref="H28"/>
    </sheetView>
  </sheetViews>
  <sheetFormatPr defaultColWidth="9.140625" defaultRowHeight="12.75" x14ac:dyDescent="0.2"/>
  <cols>
    <col min="1" max="1" width="12.7109375" customWidth="1"/>
    <col min="2" max="2" width="2.7109375" customWidth="1"/>
    <col min="3" max="3" width="28.7109375" customWidth="1"/>
    <col min="4" max="4" width="36.5703125" customWidth="1"/>
    <col min="5" max="5" width="12.7109375" customWidth="1"/>
  </cols>
  <sheetData>
    <row r="1" spans="1:5" ht="6" customHeight="1" x14ac:dyDescent="0.2"/>
    <row r="2" spans="1:5" ht="12.75" customHeight="1" x14ac:dyDescent="0.25">
      <c r="A2" s="307" t="s">
        <v>14</v>
      </c>
      <c r="B2" s="307"/>
      <c r="C2" s="307"/>
      <c r="D2" s="307"/>
      <c r="E2" s="307"/>
    </row>
    <row r="3" spans="1:5" ht="12.75" customHeight="1" x14ac:dyDescent="0.25">
      <c r="A3" s="307" t="s">
        <v>15</v>
      </c>
      <c r="B3" s="307"/>
      <c r="C3" s="307"/>
      <c r="D3" s="307"/>
      <c r="E3" s="307"/>
    </row>
    <row r="4" spans="1:5" ht="9" customHeight="1" x14ac:dyDescent="0.25">
      <c r="A4" s="176"/>
      <c r="B4" s="176"/>
      <c r="C4" s="176"/>
      <c r="D4" s="176"/>
      <c r="E4" s="176"/>
    </row>
    <row r="5" spans="1:5" x14ac:dyDescent="0.2">
      <c r="B5" s="24" t="s">
        <v>16</v>
      </c>
    </row>
    <row r="6" spans="1:5" x14ac:dyDescent="0.2">
      <c r="C6" s="25" t="s">
        <v>17</v>
      </c>
      <c r="D6" s="178" t="s">
        <v>508</v>
      </c>
    </row>
    <row r="7" spans="1:5" x14ac:dyDescent="0.2">
      <c r="C7" s="25" t="s">
        <v>18</v>
      </c>
      <c r="D7" t="str">
        <f>VLOOKUP(D6,'Net Assets'!A5:C62,2,FALSE)</f>
        <v>Alamance Community College</v>
      </c>
    </row>
    <row r="8" spans="1:5" ht="6.95" customHeight="1" x14ac:dyDescent="0.2">
      <c r="B8" s="24"/>
    </row>
    <row r="9" spans="1:5" x14ac:dyDescent="0.2">
      <c r="B9" s="24" t="s">
        <v>19</v>
      </c>
    </row>
    <row r="10" spans="1:5" x14ac:dyDescent="0.2">
      <c r="C10" s="25" t="s">
        <v>20</v>
      </c>
      <c r="D10" s="55"/>
    </row>
    <row r="11" spans="1:5" ht="5.0999999999999996" customHeight="1" x14ac:dyDescent="0.2">
      <c r="C11" s="25"/>
      <c r="D11" s="25"/>
    </row>
    <row r="12" spans="1:5" x14ac:dyDescent="0.2">
      <c r="C12" s="25" t="s">
        <v>21</v>
      </c>
      <c r="D12" s="47"/>
    </row>
    <row r="13" spans="1:5" ht="5.0999999999999996" customHeight="1" x14ac:dyDescent="0.2">
      <c r="C13" s="25"/>
      <c r="D13" s="25"/>
    </row>
    <row r="14" spans="1:5" x14ac:dyDescent="0.2">
      <c r="C14" s="25" t="s">
        <v>22</v>
      </c>
      <c r="D14" s="47"/>
    </row>
    <row r="15" spans="1:5" ht="6.95" customHeight="1" x14ac:dyDescent="0.2"/>
    <row r="16" spans="1:5" x14ac:dyDescent="0.2">
      <c r="B16" s="24" t="s">
        <v>23</v>
      </c>
    </row>
    <row r="17" spans="3:4" x14ac:dyDescent="0.2">
      <c r="C17" t="s">
        <v>24</v>
      </c>
      <c r="D17" s="178"/>
    </row>
    <row r="18" spans="3:4" ht="5.0999999999999996" customHeight="1" x14ac:dyDescent="0.2"/>
    <row r="19" spans="3:4" x14ac:dyDescent="0.2">
      <c r="C19" t="s">
        <v>25</v>
      </c>
      <c r="D19" s="47"/>
    </row>
    <row r="20" spans="3:4" ht="5.0999999999999996" customHeight="1" x14ac:dyDescent="0.2"/>
    <row r="21" spans="3:4" x14ac:dyDescent="0.2">
      <c r="C21" t="s">
        <v>26</v>
      </c>
      <c r="D21" s="47"/>
    </row>
    <row r="22" spans="3:4" ht="5.0999999999999996" customHeight="1" x14ac:dyDescent="0.2"/>
    <row r="23" spans="3:4" x14ac:dyDescent="0.2">
      <c r="C23" t="s">
        <v>28</v>
      </c>
      <c r="D23" s="201"/>
    </row>
    <row r="24" spans="3:4" ht="5.0999999999999996" customHeight="1" x14ac:dyDescent="0.2"/>
    <row r="25" spans="3:4" x14ac:dyDescent="0.2">
      <c r="C25" t="s">
        <v>29</v>
      </c>
      <c r="D25" s="47"/>
    </row>
    <row r="26" spans="3:4" ht="5.0999999999999996" customHeight="1" x14ac:dyDescent="0.2"/>
    <row r="27" spans="3:4" ht="12" customHeight="1" x14ac:dyDescent="0.2">
      <c r="C27" s="306" t="s">
        <v>30</v>
      </c>
      <c r="D27" s="306"/>
    </row>
    <row r="28" spans="3:4" ht="6.95" customHeight="1" x14ac:dyDescent="0.2">
      <c r="C28" s="174"/>
      <c r="D28" s="174"/>
    </row>
    <row r="29" spans="3:4" x14ac:dyDescent="0.2">
      <c r="C29" s="56" t="s">
        <v>31</v>
      </c>
      <c r="D29" s="174"/>
    </row>
    <row r="30" spans="3:4" x14ac:dyDescent="0.2">
      <c r="C30" s="179" t="s">
        <v>32</v>
      </c>
      <c r="D30" s="174"/>
    </row>
    <row r="31" spans="3:4" x14ac:dyDescent="0.2">
      <c r="C31" t="s">
        <v>33</v>
      </c>
    </row>
    <row r="32" spans="3:4" x14ac:dyDescent="0.2">
      <c r="C32" t="s">
        <v>34</v>
      </c>
    </row>
    <row r="33" spans="3:5" ht="13.5" thickBot="1" x14ac:dyDescent="0.25">
      <c r="C33" t="s">
        <v>35</v>
      </c>
    </row>
    <row r="34" spans="3:5" ht="13.5" thickBot="1" x14ac:dyDescent="0.25">
      <c r="C34" s="108" t="s">
        <v>707</v>
      </c>
      <c r="D34" s="109"/>
      <c r="E34" s="110"/>
    </row>
    <row r="35" spans="3:5" x14ac:dyDescent="0.2">
      <c r="C35" s="1" t="s">
        <v>495</v>
      </c>
    </row>
    <row r="36" spans="3:5" x14ac:dyDescent="0.2">
      <c r="C36" s="1" t="s">
        <v>36</v>
      </c>
    </row>
    <row r="37" spans="3:5" x14ac:dyDescent="0.2">
      <c r="C37" s="1"/>
    </row>
  </sheetData>
  <sheetProtection algorithmName="SHA-512" hashValue="FlWIl0ytVSAdumqcWnZcAq3Uiusf99ZIQ7JzzwHBnggPCrL7eSh5xkWQdAu4GgHbfqksaNKUOHMuKcKBTsuu3g==" saltValue="BPmGQnOGMeFZGpCXFFhutw==" spinCount="100000" sheet="1" autoFilter="0"/>
  <mergeCells count="3">
    <mergeCell ref="C27:D27"/>
    <mergeCell ref="A2:E2"/>
    <mergeCell ref="A3:E3"/>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orientation="portrait"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A05E-2F26-496C-9ABE-11F1D68D963F}">
  <sheetPr>
    <pageSetUpPr fitToPage="1"/>
  </sheetPr>
  <dimension ref="A1:E22"/>
  <sheetViews>
    <sheetView workbookViewId="0">
      <selection activeCell="C12" sqref="C12"/>
    </sheetView>
  </sheetViews>
  <sheetFormatPr defaultRowHeight="12.75" x14ac:dyDescent="0.2"/>
  <cols>
    <col min="1" max="1" width="13.7109375" customWidth="1"/>
    <col min="2" max="2" width="2.7109375" customWidth="1"/>
    <col min="3" max="3" width="44.7109375" customWidth="1"/>
    <col min="4" max="4" width="2.7109375" customWidth="1"/>
    <col min="5" max="5" width="70.7109375" customWidth="1"/>
  </cols>
  <sheetData>
    <row r="1" spans="1:5" ht="17.45" customHeight="1" x14ac:dyDescent="0.3">
      <c r="A1" s="308" t="s">
        <v>11</v>
      </c>
      <c r="B1" s="308"/>
      <c r="C1" s="308"/>
      <c r="D1" s="308"/>
      <c r="E1" s="308"/>
    </row>
    <row r="2" spans="1:5" ht="15.6" customHeight="1" x14ac:dyDescent="0.25">
      <c r="A2" s="309" t="s">
        <v>585</v>
      </c>
      <c r="B2" s="309"/>
      <c r="C2" s="309"/>
      <c r="D2" s="309"/>
      <c r="E2" s="309"/>
    </row>
    <row r="3" spans="1:5" ht="15.75" customHeight="1" x14ac:dyDescent="0.2">
      <c r="A3" s="205"/>
      <c r="B3" s="206"/>
      <c r="C3" s="205"/>
      <c r="D3" s="206"/>
      <c r="E3" s="207"/>
    </row>
    <row r="4" spans="1:5" ht="15.75" customHeight="1" x14ac:dyDescent="0.2"/>
    <row r="5" spans="1:5" ht="94.9" customHeight="1" thickBot="1" x14ac:dyDescent="0.3">
      <c r="A5" s="208" t="s">
        <v>565</v>
      </c>
      <c r="C5" s="208" t="s">
        <v>566</v>
      </c>
      <c r="E5" s="209" t="s">
        <v>567</v>
      </c>
    </row>
    <row r="6" spans="1:5" ht="15" customHeight="1" x14ac:dyDescent="0.2">
      <c r="A6" s="210"/>
      <c r="B6" s="206"/>
      <c r="C6" s="212"/>
      <c r="D6" s="206"/>
      <c r="E6" s="211"/>
    </row>
    <row r="7" spans="1:5" ht="133.15" customHeight="1" x14ac:dyDescent="0.2">
      <c r="A7" s="252">
        <v>45469</v>
      </c>
      <c r="B7" s="253"/>
      <c r="C7" s="254" t="s">
        <v>273</v>
      </c>
      <c r="D7" s="253"/>
      <c r="E7" s="255" t="s">
        <v>686</v>
      </c>
    </row>
    <row r="8" spans="1:5" ht="15" customHeight="1" x14ac:dyDescent="0.2">
      <c r="A8" s="210"/>
      <c r="B8" s="206"/>
      <c r="C8" s="212"/>
      <c r="D8" s="206"/>
      <c r="E8" s="211"/>
    </row>
    <row r="9" spans="1:5" ht="15" customHeight="1" x14ac:dyDescent="0.2">
      <c r="A9" s="210"/>
      <c r="B9" s="206"/>
      <c r="C9" s="212"/>
      <c r="D9" s="206"/>
      <c r="E9" s="211"/>
    </row>
    <row r="10" spans="1:5" ht="15" customHeight="1" x14ac:dyDescent="0.2">
      <c r="A10" s="210"/>
      <c r="B10" s="206"/>
      <c r="C10" s="212"/>
      <c r="D10" s="206"/>
      <c r="E10" s="211"/>
    </row>
    <row r="11" spans="1:5" ht="15" customHeight="1" x14ac:dyDescent="0.2">
      <c r="A11" s="210"/>
      <c r="B11" s="206"/>
      <c r="C11" s="212"/>
      <c r="D11" s="206"/>
      <c r="E11" s="211"/>
    </row>
    <row r="12" spans="1:5" ht="15" customHeight="1" x14ac:dyDescent="0.2">
      <c r="A12" s="210"/>
      <c r="B12" s="206"/>
      <c r="C12" s="212"/>
      <c r="D12" s="206"/>
      <c r="E12" s="211"/>
    </row>
    <row r="13" spans="1:5" ht="15" customHeight="1" x14ac:dyDescent="0.2">
      <c r="A13" s="210"/>
      <c r="B13" s="206"/>
      <c r="C13" s="212"/>
      <c r="D13" s="206"/>
      <c r="E13" s="211"/>
    </row>
    <row r="14" spans="1:5" ht="14.25" x14ac:dyDescent="0.2">
      <c r="A14" s="210"/>
      <c r="B14" s="206"/>
      <c r="C14" s="212"/>
      <c r="D14" s="206"/>
      <c r="E14" s="211"/>
    </row>
    <row r="15" spans="1:5" ht="14.25" x14ac:dyDescent="0.2">
      <c r="A15" s="210"/>
      <c r="B15" s="206"/>
      <c r="C15" s="212"/>
      <c r="D15" s="206"/>
      <c r="E15" s="211"/>
    </row>
    <row r="16" spans="1:5" ht="14.25" x14ac:dyDescent="0.2">
      <c r="A16" s="210"/>
      <c r="B16" s="206"/>
      <c r="C16" s="212"/>
      <c r="D16" s="206"/>
      <c r="E16" s="211"/>
    </row>
    <row r="17" spans="1:5" ht="14.25" x14ac:dyDescent="0.2">
      <c r="A17" s="205"/>
      <c r="B17" s="206"/>
      <c r="C17" s="205"/>
      <c r="D17" s="206"/>
      <c r="E17" s="213"/>
    </row>
    <row r="18" spans="1:5" ht="14.25" x14ac:dyDescent="0.2">
      <c r="A18" s="205"/>
      <c r="B18" s="206"/>
      <c r="C18" s="205"/>
      <c r="D18" s="206"/>
      <c r="E18" s="213"/>
    </row>
    <row r="19" spans="1:5" ht="14.25" x14ac:dyDescent="0.2">
      <c r="A19" s="205"/>
      <c r="B19" s="206"/>
      <c r="C19" s="205"/>
      <c r="D19" s="206"/>
      <c r="E19" s="213"/>
    </row>
    <row r="20" spans="1:5" ht="14.25" x14ac:dyDescent="0.2">
      <c r="A20" s="205"/>
      <c r="B20" s="206"/>
      <c r="C20" s="205"/>
      <c r="D20" s="206"/>
      <c r="E20" s="213"/>
    </row>
    <row r="21" spans="1:5" ht="14.25" x14ac:dyDescent="0.2">
      <c r="A21" s="205"/>
      <c r="B21" s="206"/>
      <c r="C21" s="205"/>
      <c r="D21" s="206"/>
      <c r="E21" s="213"/>
    </row>
    <row r="22" spans="1:5" ht="14.25" x14ac:dyDescent="0.2">
      <c r="A22" s="205"/>
      <c r="B22" s="206"/>
      <c r="C22" s="205"/>
      <c r="D22" s="206"/>
      <c r="E22" s="213"/>
    </row>
  </sheetData>
  <sheetProtection algorithmName="SHA-512" hashValue="yhB93BLBS2wHeALyrUw0vdSYH3xXsTesjixHdxPWlMssDGtMjbnTztoz2jCsg7IfJCtfis8Cvqyh1QxIHKu+9g==" saltValue="uh3qQKmsTkAFy6c/HDKSbQ==" spinCount="100000" sheet="1" objects="1" scenarios="1"/>
  <mergeCells count="2">
    <mergeCell ref="A1:E1"/>
    <mergeCell ref="A2:E2"/>
  </mergeCells>
  <pageMargins left="0.7" right="0.7" top="0.75" bottom="0.75" header="0.3" footer="0.3"/>
  <pageSetup scale="93" orientation="landscape" r:id="rId1"/>
  <rowBreaks count="1" manualBreakCount="1">
    <brk id="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5"/>
  <sheetViews>
    <sheetView workbookViewId="0">
      <selection activeCell="D5" sqref="D5:D7"/>
    </sheetView>
  </sheetViews>
  <sheetFormatPr defaultRowHeight="12.75" x14ac:dyDescent="0.2"/>
  <cols>
    <col min="1" max="1" width="6.28515625" customWidth="1"/>
    <col min="2" max="2" width="40.85546875" customWidth="1"/>
    <col min="3" max="3" width="1.28515625" customWidth="1"/>
    <col min="4" max="4" width="13.7109375" customWidth="1"/>
    <col min="5" max="5" width="1.28515625" customWidth="1"/>
    <col min="6" max="6" width="13.7109375" customWidth="1"/>
    <col min="7" max="7" width="1.28515625" customWidth="1"/>
    <col min="8" max="8" width="12.7109375" customWidth="1"/>
    <col min="9" max="9" width="1.28515625" customWidth="1"/>
    <col min="10" max="10" width="12.7109375" customWidth="1"/>
    <col min="11" max="11" width="1.28515625" customWidth="1"/>
    <col min="12" max="12" width="12.7109375" customWidth="1"/>
    <col min="13" max="13" width="1.28515625" customWidth="1"/>
    <col min="14" max="14" width="13.7109375" customWidth="1"/>
    <col min="16" max="16" width="14.42578125" customWidth="1"/>
  </cols>
  <sheetData>
    <row r="1" spans="1:14" ht="12.75" customHeight="1" x14ac:dyDescent="0.2">
      <c r="A1" s="1" t="str">
        <f>CONCATENATE(Info!D7," Foundations")</f>
        <v>Alamance Community College Foundations</v>
      </c>
      <c r="N1" s="30" t="s">
        <v>37</v>
      </c>
    </row>
    <row r="2" spans="1:14" ht="12.75" customHeight="1" x14ac:dyDescent="0.2">
      <c r="A2" s="1" t="s">
        <v>38</v>
      </c>
    </row>
    <row r="3" spans="1:14" ht="12.75" customHeight="1" x14ac:dyDescent="0.2">
      <c r="A3" s="214" t="str">
        <f>' Use Stmt'!A4</f>
        <v>For the Year Ended June 30, 2024</v>
      </c>
    </row>
    <row r="4" spans="1:14" ht="6" customHeight="1" x14ac:dyDescent="0.2">
      <c r="B4" s="173"/>
    </row>
    <row r="5" spans="1:14" ht="11.85" customHeight="1" x14ac:dyDescent="0.2">
      <c r="B5" s="173"/>
      <c r="D5" s="310">
        <f>Info!D17</f>
        <v>0</v>
      </c>
      <c r="F5" s="310">
        <f>Info!D19</f>
        <v>0</v>
      </c>
      <c r="H5" s="310">
        <f>Info!D21</f>
        <v>0</v>
      </c>
      <c r="J5" s="310">
        <f>Info!D23</f>
        <v>0</v>
      </c>
      <c r="L5" s="310">
        <f>Info!D25</f>
        <v>0</v>
      </c>
    </row>
    <row r="6" spans="1:14" ht="11.85" customHeight="1" x14ac:dyDescent="0.2">
      <c r="D6" s="310"/>
      <c r="E6" s="31"/>
      <c r="F6" s="310"/>
      <c r="G6" s="32"/>
      <c r="H6" s="310"/>
      <c r="I6" s="32"/>
      <c r="J6" s="310"/>
      <c r="K6" s="32"/>
      <c r="L6" s="310"/>
      <c r="M6" s="32"/>
      <c r="N6" s="32"/>
    </row>
    <row r="7" spans="1:14" ht="11.85" customHeight="1" x14ac:dyDescent="0.2">
      <c r="D7" s="311"/>
      <c r="E7" s="31"/>
      <c r="F7" s="311"/>
      <c r="G7" s="32"/>
      <c r="H7" s="311"/>
      <c r="I7" s="32"/>
      <c r="J7" s="311"/>
      <c r="K7" s="32"/>
      <c r="L7" s="311"/>
      <c r="M7" s="32"/>
      <c r="N7" s="40" t="s">
        <v>39</v>
      </c>
    </row>
    <row r="8" spans="1:14" ht="12" customHeight="1" x14ac:dyDescent="0.2">
      <c r="A8" s="31"/>
      <c r="B8" s="133" t="s">
        <v>40</v>
      </c>
      <c r="D8" s="31"/>
      <c r="E8" s="31"/>
      <c r="F8" s="31"/>
      <c r="G8" s="31"/>
      <c r="H8" s="31"/>
      <c r="I8" s="31"/>
      <c r="J8" s="31"/>
      <c r="K8" s="31"/>
      <c r="L8" s="31"/>
      <c r="M8" s="31"/>
      <c r="N8" s="31"/>
    </row>
    <row r="9" spans="1:14" ht="11.85" customHeight="1" x14ac:dyDescent="0.2">
      <c r="A9" s="32">
        <v>100</v>
      </c>
      <c r="B9" s="31" t="s">
        <v>41</v>
      </c>
      <c r="D9" s="180">
        <v>0</v>
      </c>
      <c r="E9" s="31"/>
      <c r="F9" s="180">
        <v>0</v>
      </c>
      <c r="G9" s="181"/>
      <c r="H9" s="180">
        <v>0</v>
      </c>
      <c r="I9" s="181"/>
      <c r="J9" s="180">
        <v>0</v>
      </c>
      <c r="K9" s="181"/>
      <c r="L9" s="180">
        <v>0</v>
      </c>
      <c r="M9" s="181"/>
      <c r="N9" s="181">
        <f>D9+F9+H9+J9+L9</f>
        <v>0</v>
      </c>
    </row>
    <row r="10" spans="1:14" ht="11.85" customHeight="1" x14ac:dyDescent="0.2">
      <c r="A10" s="32" t="s">
        <v>42</v>
      </c>
      <c r="B10" s="31" t="s">
        <v>43</v>
      </c>
      <c r="D10" s="182">
        <v>0</v>
      </c>
      <c r="E10" s="31"/>
      <c r="F10" s="182">
        <v>0</v>
      </c>
      <c r="G10" s="183"/>
      <c r="H10" s="182">
        <v>0</v>
      </c>
      <c r="I10" s="183"/>
      <c r="J10" s="182">
        <v>0</v>
      </c>
      <c r="K10" s="183"/>
      <c r="L10" s="182">
        <v>0</v>
      </c>
      <c r="M10" s="183"/>
      <c r="N10" s="183">
        <f>D10+F10+H10+J10+L10</f>
        <v>0</v>
      </c>
    </row>
    <row r="11" spans="1:14" ht="11.85" customHeight="1" x14ac:dyDescent="0.2">
      <c r="A11" s="32">
        <v>105</v>
      </c>
      <c r="B11" s="31" t="s">
        <v>44</v>
      </c>
      <c r="D11" s="182">
        <v>0</v>
      </c>
      <c r="E11" s="31"/>
      <c r="F11" s="182">
        <v>0</v>
      </c>
      <c r="G11" s="183"/>
      <c r="H11" s="182">
        <v>0</v>
      </c>
      <c r="I11" s="183"/>
      <c r="J11" s="182">
        <v>0</v>
      </c>
      <c r="K11" s="183"/>
      <c r="L11" s="182">
        <v>0</v>
      </c>
      <c r="M11" s="183"/>
      <c r="N11" s="183">
        <f>D11+F11+H11+J11+L11</f>
        <v>0</v>
      </c>
    </row>
    <row r="12" spans="1:14" ht="11.85" customHeight="1" x14ac:dyDescent="0.2">
      <c r="A12" s="32">
        <v>105</v>
      </c>
      <c r="B12" s="31" t="s">
        <v>45</v>
      </c>
      <c r="D12" s="182">
        <v>0</v>
      </c>
      <c r="E12" s="31"/>
      <c r="F12" s="182">
        <v>0</v>
      </c>
      <c r="G12" s="183"/>
      <c r="H12" s="182">
        <v>0</v>
      </c>
      <c r="I12" s="183"/>
      <c r="J12" s="182">
        <v>0</v>
      </c>
      <c r="K12" s="183"/>
      <c r="L12" s="182">
        <v>0</v>
      </c>
      <c r="M12" s="183"/>
      <c r="N12" s="183">
        <f>D12+F12+H12+J12+L12</f>
        <v>0</v>
      </c>
    </row>
    <row r="13" spans="1:14" ht="11.85" customHeight="1" x14ac:dyDescent="0.2">
      <c r="A13" s="32">
        <v>105</v>
      </c>
      <c r="B13" s="31" t="s">
        <v>46</v>
      </c>
      <c r="D13" s="182">
        <v>0</v>
      </c>
      <c r="E13" s="31"/>
      <c r="F13" s="182">
        <v>0</v>
      </c>
      <c r="G13" s="183"/>
      <c r="H13" s="182">
        <v>0</v>
      </c>
      <c r="I13" s="183"/>
      <c r="J13" s="182">
        <v>0</v>
      </c>
      <c r="K13" s="183"/>
      <c r="L13" s="182">
        <v>0</v>
      </c>
      <c r="M13" s="183"/>
      <c r="N13" s="183">
        <f t="shared" ref="N13:N26" si="0">D13+F13+H13+J13+L13</f>
        <v>0</v>
      </c>
    </row>
    <row r="14" spans="1:14" ht="11.85" customHeight="1" x14ac:dyDescent="0.2">
      <c r="A14" s="32">
        <v>105</v>
      </c>
      <c r="B14" s="31" t="s">
        <v>47</v>
      </c>
      <c r="D14" s="182">
        <v>0</v>
      </c>
      <c r="E14" s="31"/>
      <c r="F14" s="182">
        <v>0</v>
      </c>
      <c r="G14" s="183"/>
      <c r="H14" s="182">
        <v>0</v>
      </c>
      <c r="I14" s="183"/>
      <c r="J14" s="182">
        <v>0</v>
      </c>
      <c r="K14" s="183"/>
      <c r="L14" s="182">
        <v>0</v>
      </c>
      <c r="M14" s="183"/>
      <c r="N14" s="183">
        <f t="shared" si="0"/>
        <v>0</v>
      </c>
    </row>
    <row r="15" spans="1:14" ht="11.85" customHeight="1" x14ac:dyDescent="0.2">
      <c r="A15" s="32">
        <v>105</v>
      </c>
      <c r="B15" s="31" t="s">
        <v>48</v>
      </c>
      <c r="D15" s="182">
        <v>0</v>
      </c>
      <c r="E15" s="31"/>
      <c r="F15" s="182">
        <v>0</v>
      </c>
      <c r="G15" s="183"/>
      <c r="H15" s="182">
        <v>0</v>
      </c>
      <c r="I15" s="183"/>
      <c r="J15" s="182">
        <v>0</v>
      </c>
      <c r="K15" s="183"/>
      <c r="L15" s="182">
        <v>0</v>
      </c>
      <c r="M15" s="183"/>
      <c r="N15" s="183">
        <f t="shared" si="0"/>
        <v>0</v>
      </c>
    </row>
    <row r="16" spans="1:14" ht="11.85" customHeight="1" x14ac:dyDescent="0.2">
      <c r="A16" s="32">
        <v>105</v>
      </c>
      <c r="B16" s="31" t="s">
        <v>49</v>
      </c>
      <c r="D16" s="182">
        <v>0</v>
      </c>
      <c r="E16" s="31"/>
      <c r="F16" s="182">
        <v>0</v>
      </c>
      <c r="G16" s="183"/>
      <c r="H16" s="182">
        <v>0</v>
      </c>
      <c r="I16" s="183"/>
      <c r="J16" s="182">
        <v>0</v>
      </c>
      <c r="K16" s="183"/>
      <c r="L16" s="182">
        <v>0</v>
      </c>
      <c r="M16" s="183"/>
      <c r="N16" s="183">
        <f t="shared" si="0"/>
        <v>0</v>
      </c>
    </row>
    <row r="17" spans="1:14" ht="11.85" customHeight="1" x14ac:dyDescent="0.2">
      <c r="A17" s="32">
        <v>110</v>
      </c>
      <c r="B17" s="31" t="s">
        <v>50</v>
      </c>
      <c r="D17" s="182">
        <v>0</v>
      </c>
      <c r="E17" s="31"/>
      <c r="F17" s="182">
        <v>0</v>
      </c>
      <c r="G17" s="183"/>
      <c r="H17" s="182">
        <v>0</v>
      </c>
      <c r="I17" s="183"/>
      <c r="J17" s="182">
        <v>0</v>
      </c>
      <c r="K17" s="183"/>
      <c r="L17" s="182">
        <v>0</v>
      </c>
      <c r="M17" s="183"/>
      <c r="N17" s="183">
        <f t="shared" si="0"/>
        <v>0</v>
      </c>
    </row>
    <row r="18" spans="1:14" ht="11.85" customHeight="1" x14ac:dyDescent="0.2">
      <c r="A18" s="32">
        <v>110</v>
      </c>
      <c r="B18" s="31" t="s">
        <v>51</v>
      </c>
      <c r="D18" s="182">
        <v>0</v>
      </c>
      <c r="E18" s="31"/>
      <c r="F18" s="182">
        <v>0</v>
      </c>
      <c r="G18" s="183"/>
      <c r="H18" s="182">
        <v>0</v>
      </c>
      <c r="I18" s="183"/>
      <c r="J18" s="182">
        <v>0</v>
      </c>
      <c r="K18" s="183"/>
      <c r="L18" s="182">
        <v>0</v>
      </c>
      <c r="M18" s="183"/>
      <c r="N18" s="183">
        <f t="shared" si="0"/>
        <v>0</v>
      </c>
    </row>
    <row r="19" spans="1:14" ht="11.85" customHeight="1" x14ac:dyDescent="0.2">
      <c r="A19" s="32">
        <v>115</v>
      </c>
      <c r="B19" s="31" t="s">
        <v>52</v>
      </c>
      <c r="D19" s="182">
        <v>0</v>
      </c>
      <c r="E19" s="31"/>
      <c r="F19" s="182">
        <v>0</v>
      </c>
      <c r="G19" s="183"/>
      <c r="H19" s="182">
        <v>0</v>
      </c>
      <c r="I19" s="183"/>
      <c r="J19" s="182">
        <v>0</v>
      </c>
      <c r="K19" s="183"/>
      <c r="L19" s="182">
        <v>0</v>
      </c>
      <c r="M19" s="183"/>
      <c r="N19" s="183">
        <f t="shared" si="0"/>
        <v>0</v>
      </c>
    </row>
    <row r="20" spans="1:14" ht="11.85" customHeight="1" x14ac:dyDescent="0.2">
      <c r="A20" s="32">
        <v>120</v>
      </c>
      <c r="B20" s="31" t="s">
        <v>53</v>
      </c>
      <c r="D20" s="182">
        <v>0</v>
      </c>
      <c r="E20" s="31"/>
      <c r="F20" s="182">
        <v>0</v>
      </c>
      <c r="G20" s="183"/>
      <c r="H20" s="182">
        <v>0</v>
      </c>
      <c r="I20" s="183"/>
      <c r="J20" s="182">
        <v>0</v>
      </c>
      <c r="K20" s="183"/>
      <c r="L20" s="182">
        <v>0</v>
      </c>
      <c r="M20" s="183"/>
      <c r="N20" s="183">
        <f t="shared" si="0"/>
        <v>0</v>
      </c>
    </row>
    <row r="21" spans="1:14" ht="11.85" customHeight="1" x14ac:dyDescent="0.2">
      <c r="A21" s="32">
        <v>125</v>
      </c>
      <c r="B21" s="31" t="s">
        <v>54</v>
      </c>
      <c r="D21" s="182">
        <v>0</v>
      </c>
      <c r="E21" s="31"/>
      <c r="F21" s="182">
        <v>0</v>
      </c>
      <c r="G21" s="183"/>
      <c r="H21" s="182">
        <v>0</v>
      </c>
      <c r="I21" s="183"/>
      <c r="J21" s="182">
        <v>0</v>
      </c>
      <c r="K21" s="183"/>
      <c r="L21" s="182">
        <v>0</v>
      </c>
      <c r="M21" s="183"/>
      <c r="N21" s="183">
        <f t="shared" si="0"/>
        <v>0</v>
      </c>
    </row>
    <row r="22" spans="1:14" ht="11.85" customHeight="1" x14ac:dyDescent="0.2">
      <c r="A22" s="32">
        <v>126</v>
      </c>
      <c r="B22" s="31" t="s">
        <v>55</v>
      </c>
      <c r="D22" s="182">
        <v>0</v>
      </c>
      <c r="E22" s="31">
        <v>20</v>
      </c>
      <c r="F22" s="182">
        <v>0</v>
      </c>
      <c r="G22" s="183"/>
      <c r="H22" s="182">
        <v>0</v>
      </c>
      <c r="I22" s="183">
        <v>0</v>
      </c>
      <c r="J22" s="182">
        <v>0</v>
      </c>
      <c r="K22" s="183"/>
      <c r="L22" s="182">
        <v>0</v>
      </c>
      <c r="M22" s="183"/>
      <c r="N22" s="183">
        <f t="shared" si="0"/>
        <v>0</v>
      </c>
    </row>
    <row r="23" spans="1:14" ht="11.85" customHeight="1" x14ac:dyDescent="0.2">
      <c r="A23" s="32">
        <v>120</v>
      </c>
      <c r="B23" s="31" t="s">
        <v>56</v>
      </c>
      <c r="D23" s="182">
        <v>0</v>
      </c>
      <c r="E23" s="31"/>
      <c r="F23" s="182">
        <v>0</v>
      </c>
      <c r="G23" s="183"/>
      <c r="H23" s="182">
        <v>0</v>
      </c>
      <c r="I23" s="183"/>
      <c r="J23" s="182">
        <v>0</v>
      </c>
      <c r="K23" s="183"/>
      <c r="L23" s="182">
        <v>0</v>
      </c>
      <c r="M23" s="183"/>
      <c r="N23" s="183">
        <f t="shared" si="0"/>
        <v>0</v>
      </c>
    </row>
    <row r="24" spans="1:14" ht="11.85" customHeight="1" x14ac:dyDescent="0.2">
      <c r="A24" s="32">
        <v>105</v>
      </c>
      <c r="B24" s="31" t="s">
        <v>57</v>
      </c>
      <c r="D24" s="182">
        <v>0</v>
      </c>
      <c r="E24" s="31"/>
      <c r="F24" s="182">
        <v>0</v>
      </c>
      <c r="G24" s="183"/>
      <c r="H24" s="182">
        <v>0</v>
      </c>
      <c r="I24" s="183"/>
      <c r="J24" s="182">
        <v>0</v>
      </c>
      <c r="K24" s="183"/>
      <c r="L24" s="182">
        <v>0</v>
      </c>
      <c r="M24" s="183"/>
      <c r="N24" s="183">
        <f t="shared" si="0"/>
        <v>0</v>
      </c>
    </row>
    <row r="25" spans="1:14" ht="11.85" customHeight="1" x14ac:dyDescent="0.2">
      <c r="A25" s="33" t="s">
        <v>42</v>
      </c>
      <c r="B25" s="31" t="s">
        <v>58</v>
      </c>
      <c r="D25" s="184">
        <v>0</v>
      </c>
      <c r="E25" s="31"/>
      <c r="F25" s="184">
        <v>0</v>
      </c>
      <c r="G25" s="183"/>
      <c r="H25" s="184">
        <v>0</v>
      </c>
      <c r="I25" s="183"/>
      <c r="J25" s="184">
        <v>0</v>
      </c>
      <c r="K25" s="183"/>
      <c r="L25" s="184">
        <v>0</v>
      </c>
      <c r="M25" s="183"/>
      <c r="N25" s="185">
        <f t="shared" si="0"/>
        <v>0</v>
      </c>
    </row>
    <row r="26" spans="1:14" ht="12.95" customHeight="1" x14ac:dyDescent="0.2">
      <c r="A26" s="31"/>
      <c r="B26" s="132" t="s">
        <v>59</v>
      </c>
      <c r="D26" s="186">
        <f>SUM(D9:D25)</f>
        <v>0</v>
      </c>
      <c r="E26" s="31"/>
      <c r="F26" s="186">
        <f>SUM(F9:F25)</f>
        <v>0</v>
      </c>
      <c r="G26" s="183"/>
      <c r="H26" s="186">
        <f>SUM(H9:H25)</f>
        <v>0</v>
      </c>
      <c r="I26" s="183"/>
      <c r="J26" s="186">
        <f>SUM(J9:J25)</f>
        <v>0</v>
      </c>
      <c r="K26" s="183"/>
      <c r="L26" s="186">
        <f>SUM(L9:L25)</f>
        <v>0</v>
      </c>
      <c r="M26" s="183"/>
      <c r="N26" s="186">
        <f t="shared" si="0"/>
        <v>0</v>
      </c>
    </row>
    <row r="27" spans="1:14" ht="3.95" customHeight="1" x14ac:dyDescent="0.2">
      <c r="A27" s="31"/>
      <c r="B27" s="132"/>
      <c r="D27" s="183"/>
      <c r="E27" s="31"/>
      <c r="F27" s="183"/>
      <c r="G27" s="183"/>
      <c r="H27" s="183"/>
      <c r="I27" s="183"/>
      <c r="J27" s="183"/>
      <c r="K27" s="183"/>
      <c r="L27" s="183"/>
      <c r="M27" s="183"/>
      <c r="N27" s="183"/>
    </row>
    <row r="28" spans="1:14" x14ac:dyDescent="0.2">
      <c r="A28" s="31"/>
      <c r="B28" s="133" t="s">
        <v>60</v>
      </c>
      <c r="D28" s="31"/>
      <c r="E28" s="31"/>
      <c r="F28" s="31"/>
      <c r="G28" s="31"/>
      <c r="H28" s="31"/>
      <c r="I28" s="31"/>
      <c r="J28" s="31"/>
      <c r="K28" s="31"/>
      <c r="L28" s="31"/>
      <c r="M28" s="31"/>
      <c r="N28" s="31"/>
    </row>
    <row r="29" spans="1:14" ht="11.85" customHeight="1" x14ac:dyDescent="0.2">
      <c r="A29" s="32">
        <v>200</v>
      </c>
      <c r="B29" s="31" t="s">
        <v>61</v>
      </c>
      <c r="D29" s="182">
        <v>0</v>
      </c>
      <c r="E29" s="31"/>
      <c r="F29" s="182">
        <v>0</v>
      </c>
      <c r="G29" s="183"/>
      <c r="H29" s="182">
        <v>0</v>
      </c>
      <c r="I29" s="183"/>
      <c r="J29" s="182">
        <v>0</v>
      </c>
      <c r="K29" s="183"/>
      <c r="L29" s="182">
        <v>0</v>
      </c>
      <c r="M29" s="183"/>
      <c r="N29" s="183">
        <f t="shared" ref="N29:N43" si="1">D29+F29+H29+J29+L29</f>
        <v>0</v>
      </c>
    </row>
    <row r="30" spans="1:14" ht="11.85" customHeight="1" x14ac:dyDescent="0.2">
      <c r="A30" s="32">
        <v>202</v>
      </c>
      <c r="B30" s="31" t="s">
        <v>62</v>
      </c>
      <c r="D30" s="182">
        <v>0</v>
      </c>
      <c r="E30" s="31"/>
      <c r="F30" s="182">
        <v>0</v>
      </c>
      <c r="G30" s="183"/>
      <c r="H30" s="182">
        <v>0</v>
      </c>
      <c r="I30" s="183"/>
      <c r="J30" s="182">
        <v>0</v>
      </c>
      <c r="K30" s="183"/>
      <c r="L30" s="182">
        <v>0</v>
      </c>
      <c r="M30" s="183"/>
      <c r="N30" s="183">
        <f t="shared" si="1"/>
        <v>0</v>
      </c>
    </row>
    <row r="31" spans="1:14" ht="11.85" customHeight="1" x14ac:dyDescent="0.2">
      <c r="A31" s="32">
        <v>203</v>
      </c>
      <c r="B31" s="31" t="s">
        <v>63</v>
      </c>
      <c r="D31" s="182">
        <v>0</v>
      </c>
      <c r="E31" s="31"/>
      <c r="F31" s="182">
        <v>0</v>
      </c>
      <c r="G31" s="183"/>
      <c r="H31" s="182">
        <v>0</v>
      </c>
      <c r="I31" s="183"/>
      <c r="J31" s="182">
        <v>0</v>
      </c>
      <c r="K31" s="183"/>
      <c r="L31" s="182">
        <v>0</v>
      </c>
      <c r="M31" s="183"/>
      <c r="N31" s="183">
        <f t="shared" si="1"/>
        <v>0</v>
      </c>
    </row>
    <row r="32" spans="1:14" ht="11.85" customHeight="1" x14ac:dyDescent="0.2">
      <c r="A32" s="32">
        <v>205</v>
      </c>
      <c r="B32" s="31" t="s">
        <v>64</v>
      </c>
      <c r="D32" s="182">
        <v>0</v>
      </c>
      <c r="E32" s="31"/>
      <c r="F32" s="182">
        <v>0</v>
      </c>
      <c r="G32" s="183"/>
      <c r="H32" s="182">
        <v>0</v>
      </c>
      <c r="I32" s="183"/>
      <c r="J32" s="182">
        <v>0</v>
      </c>
      <c r="K32" s="183"/>
      <c r="L32" s="182">
        <v>0</v>
      </c>
      <c r="M32" s="183"/>
      <c r="N32" s="183">
        <f>D32+F32+H32+J32+L32</f>
        <v>0</v>
      </c>
    </row>
    <row r="33" spans="1:15" ht="11.85" customHeight="1" x14ac:dyDescent="0.2">
      <c r="A33" s="32">
        <v>210</v>
      </c>
      <c r="B33" s="31" t="s">
        <v>65</v>
      </c>
      <c r="D33" s="182">
        <v>0</v>
      </c>
      <c r="E33" s="31"/>
      <c r="F33" s="182">
        <v>0</v>
      </c>
      <c r="G33" s="183"/>
      <c r="H33" s="182">
        <v>0</v>
      </c>
      <c r="I33" s="183"/>
      <c r="J33" s="182">
        <v>0</v>
      </c>
      <c r="K33" s="183"/>
      <c r="L33" s="182">
        <v>0</v>
      </c>
      <c r="M33" s="183"/>
      <c r="N33" s="183">
        <f t="shared" si="1"/>
        <v>0</v>
      </c>
    </row>
    <row r="34" spans="1:15" ht="11.85" customHeight="1" x14ac:dyDescent="0.2">
      <c r="A34" s="32">
        <v>215</v>
      </c>
      <c r="B34" s="31" t="s">
        <v>66</v>
      </c>
      <c r="D34" s="182">
        <v>0</v>
      </c>
      <c r="E34" s="31"/>
      <c r="F34" s="182">
        <v>0</v>
      </c>
      <c r="G34" s="183"/>
      <c r="H34" s="182">
        <v>0</v>
      </c>
      <c r="I34" s="183"/>
      <c r="J34" s="182">
        <v>0</v>
      </c>
      <c r="K34" s="183"/>
      <c r="L34" s="182">
        <v>0</v>
      </c>
      <c r="M34" s="183"/>
      <c r="N34" s="183">
        <f t="shared" si="1"/>
        <v>0</v>
      </c>
    </row>
    <row r="35" spans="1:15" ht="11.85" customHeight="1" x14ac:dyDescent="0.2">
      <c r="A35" s="32">
        <v>220</v>
      </c>
      <c r="B35" s="31" t="s">
        <v>67</v>
      </c>
      <c r="D35" s="182">
        <v>0</v>
      </c>
      <c r="E35" s="31"/>
      <c r="F35" s="182">
        <v>0</v>
      </c>
      <c r="G35" s="183"/>
      <c r="H35" s="182">
        <v>0</v>
      </c>
      <c r="I35" s="183"/>
      <c r="J35" s="182">
        <v>0</v>
      </c>
      <c r="K35" s="183"/>
      <c r="L35" s="182">
        <v>0</v>
      </c>
      <c r="M35" s="183"/>
      <c r="N35" s="183">
        <f t="shared" si="1"/>
        <v>0</v>
      </c>
    </row>
    <row r="36" spans="1:15" ht="11.85" customHeight="1" x14ac:dyDescent="0.2">
      <c r="A36" s="32">
        <v>200</v>
      </c>
      <c r="B36" s="31" t="s">
        <v>68</v>
      </c>
      <c r="D36" s="182">
        <v>0</v>
      </c>
      <c r="E36" s="31"/>
      <c r="F36" s="182">
        <v>0</v>
      </c>
      <c r="G36" s="183"/>
      <c r="H36" s="182">
        <v>0</v>
      </c>
      <c r="I36" s="183"/>
      <c r="J36" s="182">
        <v>0</v>
      </c>
      <c r="K36" s="183"/>
      <c r="L36" s="182">
        <v>0</v>
      </c>
      <c r="M36" s="183"/>
      <c r="N36" s="183">
        <f t="shared" si="1"/>
        <v>0</v>
      </c>
    </row>
    <row r="37" spans="1:15" ht="11.85" customHeight="1" x14ac:dyDescent="0.2">
      <c r="A37" s="33" t="s">
        <v>42</v>
      </c>
      <c r="B37" s="31" t="s">
        <v>69</v>
      </c>
      <c r="D37" s="182">
        <v>0</v>
      </c>
      <c r="E37" s="31"/>
      <c r="F37" s="182">
        <v>0</v>
      </c>
      <c r="G37" s="183"/>
      <c r="H37" s="182">
        <v>0</v>
      </c>
      <c r="I37" s="183"/>
      <c r="J37" s="182">
        <v>0</v>
      </c>
      <c r="K37" s="183"/>
      <c r="L37" s="182">
        <v>0</v>
      </c>
      <c r="M37" s="183"/>
      <c r="N37" s="183">
        <f t="shared" si="1"/>
        <v>0</v>
      </c>
    </row>
    <row r="38" spans="1:15" ht="11.85" customHeight="1" x14ac:dyDescent="0.2">
      <c r="A38" s="33" t="s">
        <v>42</v>
      </c>
      <c r="B38" s="31" t="s">
        <v>70</v>
      </c>
      <c r="D38" s="182">
        <v>0</v>
      </c>
      <c r="E38" s="31"/>
      <c r="F38" s="182">
        <v>0</v>
      </c>
      <c r="G38" s="183"/>
      <c r="H38" s="182">
        <v>0</v>
      </c>
      <c r="I38" s="183"/>
      <c r="J38" s="182">
        <v>0</v>
      </c>
      <c r="K38" s="183"/>
      <c r="L38" s="182">
        <v>0</v>
      </c>
      <c r="M38" s="183"/>
      <c r="N38" s="183">
        <f t="shared" si="1"/>
        <v>0</v>
      </c>
    </row>
    <row r="39" spans="1:15" ht="11.85" customHeight="1" x14ac:dyDescent="0.2">
      <c r="A39" s="33" t="s">
        <v>42</v>
      </c>
      <c r="B39" s="31" t="s">
        <v>71</v>
      </c>
      <c r="D39" s="182">
        <v>0</v>
      </c>
      <c r="E39" s="31"/>
      <c r="F39" s="182">
        <v>0</v>
      </c>
      <c r="G39" s="183"/>
      <c r="H39" s="182">
        <v>0</v>
      </c>
      <c r="I39" s="183"/>
      <c r="J39" s="182">
        <v>0</v>
      </c>
      <c r="K39" s="183"/>
      <c r="L39" s="182">
        <v>0</v>
      </c>
      <c r="M39" s="183"/>
      <c r="N39" s="183">
        <f t="shared" si="1"/>
        <v>0</v>
      </c>
    </row>
    <row r="40" spans="1:15" ht="11.85" customHeight="1" x14ac:dyDescent="0.2">
      <c r="A40" s="33" t="s">
        <v>42</v>
      </c>
      <c r="B40" s="202" t="s">
        <v>497</v>
      </c>
      <c r="D40" s="182">
        <v>0</v>
      </c>
      <c r="E40" s="31"/>
      <c r="F40" s="182">
        <v>0</v>
      </c>
      <c r="G40" s="183"/>
      <c r="H40" s="182">
        <v>0</v>
      </c>
      <c r="I40" s="183"/>
      <c r="J40" s="182">
        <v>0</v>
      </c>
      <c r="K40" s="183"/>
      <c r="L40" s="182">
        <v>0</v>
      </c>
      <c r="M40" s="183"/>
      <c r="N40" s="183">
        <f t="shared" ref="N40" si="2">D40+F40+H40+J40+L40</f>
        <v>0</v>
      </c>
    </row>
    <row r="41" spans="1:15" ht="11.85" customHeight="1" x14ac:dyDescent="0.2">
      <c r="A41" s="33" t="s">
        <v>42</v>
      </c>
      <c r="B41" s="31" t="s">
        <v>72</v>
      </c>
      <c r="D41" s="182">
        <v>0</v>
      </c>
      <c r="E41" s="31"/>
      <c r="F41" s="182">
        <v>0</v>
      </c>
      <c r="G41" s="183"/>
      <c r="H41" s="182">
        <v>0</v>
      </c>
      <c r="I41" s="183"/>
      <c r="J41" s="182">
        <v>0</v>
      </c>
      <c r="K41" s="183"/>
      <c r="L41" s="182">
        <v>0</v>
      </c>
      <c r="M41" s="183"/>
      <c r="N41" s="183">
        <f t="shared" si="1"/>
        <v>0</v>
      </c>
    </row>
    <row r="42" spans="1:15" ht="11.85" customHeight="1" x14ac:dyDescent="0.2">
      <c r="A42" s="33" t="s">
        <v>42</v>
      </c>
      <c r="B42" s="31" t="s">
        <v>73</v>
      </c>
      <c r="D42" s="184">
        <v>0</v>
      </c>
      <c r="E42" s="31"/>
      <c r="F42" s="184">
        <v>0</v>
      </c>
      <c r="G42" s="183"/>
      <c r="H42" s="184">
        <v>0</v>
      </c>
      <c r="I42" s="183"/>
      <c r="J42" s="184">
        <v>0</v>
      </c>
      <c r="K42" s="183"/>
      <c r="L42" s="184">
        <v>0</v>
      </c>
      <c r="M42" s="183"/>
      <c r="N42" s="185">
        <f t="shared" si="1"/>
        <v>0</v>
      </c>
    </row>
    <row r="43" spans="1:15" ht="12.95" customHeight="1" x14ac:dyDescent="0.2">
      <c r="A43" s="31"/>
      <c r="B43" s="132" t="s">
        <v>74</v>
      </c>
      <c r="D43" s="186">
        <f>SUM(D29:D42)</f>
        <v>0</v>
      </c>
      <c r="E43" s="31"/>
      <c r="F43" s="186">
        <f>SUM(F29:F42)</f>
        <v>0</v>
      </c>
      <c r="G43" s="183"/>
      <c r="H43" s="186">
        <f>SUM(H29:H42)</f>
        <v>0</v>
      </c>
      <c r="I43" s="183"/>
      <c r="J43" s="186">
        <f>SUM(J29:J42)</f>
        <v>0</v>
      </c>
      <c r="K43" s="183"/>
      <c r="L43" s="186">
        <f>SUM(L29:L42)</f>
        <v>0</v>
      </c>
      <c r="M43" s="183"/>
      <c r="N43" s="186">
        <f t="shared" si="1"/>
        <v>0</v>
      </c>
    </row>
    <row r="44" spans="1:15" ht="3.95" customHeight="1" x14ac:dyDescent="0.2">
      <c r="A44" s="31"/>
      <c r="B44" s="132"/>
      <c r="D44" s="183"/>
      <c r="E44" s="31"/>
      <c r="F44" s="183"/>
      <c r="G44" s="183"/>
      <c r="H44" s="183"/>
      <c r="I44" s="183"/>
      <c r="J44" s="183"/>
      <c r="K44" s="183"/>
      <c r="L44" s="183"/>
      <c r="M44" s="183"/>
      <c r="N44" s="183"/>
    </row>
    <row r="45" spans="1:15" x14ac:dyDescent="0.2">
      <c r="A45" s="31"/>
      <c r="B45" s="133" t="s">
        <v>75</v>
      </c>
      <c r="D45" s="31"/>
      <c r="E45" s="31"/>
      <c r="F45" s="31"/>
      <c r="G45" s="31"/>
      <c r="H45" s="31"/>
      <c r="I45" s="31"/>
      <c r="J45" s="31"/>
      <c r="K45" s="31"/>
      <c r="L45" s="31"/>
      <c r="M45" s="31"/>
      <c r="N45" s="31"/>
    </row>
    <row r="46" spans="1:15" ht="2.25" customHeight="1" x14ac:dyDescent="0.2">
      <c r="A46" s="31"/>
      <c r="B46" s="31"/>
      <c r="D46" s="182">
        <v>0</v>
      </c>
      <c r="E46" s="31"/>
      <c r="F46" s="182">
        <v>0</v>
      </c>
      <c r="G46" s="183"/>
      <c r="H46" s="182">
        <v>0</v>
      </c>
      <c r="I46" s="183"/>
      <c r="J46" s="182">
        <v>0</v>
      </c>
      <c r="K46" s="183"/>
      <c r="L46" s="182">
        <v>0</v>
      </c>
      <c r="M46" s="183"/>
      <c r="N46" s="183">
        <f>D46+F46+H46+J46+L46</f>
        <v>0</v>
      </c>
    </row>
    <row r="47" spans="1:15" ht="11.85" customHeight="1" x14ac:dyDescent="0.2">
      <c r="A47" s="31"/>
      <c r="B47" s="31" t="s">
        <v>76</v>
      </c>
      <c r="D47" s="182">
        <v>0</v>
      </c>
      <c r="E47" s="31"/>
      <c r="F47" s="182">
        <v>0</v>
      </c>
      <c r="G47" s="183"/>
      <c r="H47" s="182">
        <v>0</v>
      </c>
      <c r="I47" s="183"/>
      <c r="J47" s="182">
        <v>0</v>
      </c>
      <c r="K47" s="183"/>
      <c r="L47" s="182">
        <v>0</v>
      </c>
      <c r="M47" s="183"/>
      <c r="N47" s="183">
        <f>D47+F47+H47+J47+L47</f>
        <v>0</v>
      </c>
      <c r="O47" s="1"/>
    </row>
    <row r="48" spans="1:15" ht="11.85" customHeight="1" x14ac:dyDescent="0.2">
      <c r="A48" s="31"/>
      <c r="B48" s="31" t="s">
        <v>77</v>
      </c>
      <c r="D48" s="184">
        <v>0</v>
      </c>
      <c r="E48" s="31"/>
      <c r="F48" s="184">
        <v>0</v>
      </c>
      <c r="G48" s="183"/>
      <c r="H48" s="184">
        <v>0</v>
      </c>
      <c r="I48" s="183"/>
      <c r="J48" s="184">
        <v>0</v>
      </c>
      <c r="K48" s="183"/>
      <c r="L48" s="184">
        <v>0</v>
      </c>
      <c r="M48" s="183"/>
      <c r="N48" s="183">
        <f>D48+F48+H48+J48+L48</f>
        <v>0</v>
      </c>
      <c r="O48" s="1"/>
    </row>
    <row r="49" spans="1:14" ht="13.7" customHeight="1" thickBot="1" x14ac:dyDescent="0.25">
      <c r="A49" s="31"/>
      <c r="B49" s="132" t="s">
        <v>78</v>
      </c>
      <c r="D49" s="187">
        <f>SUM(D46:D48)</f>
        <v>0</v>
      </c>
      <c r="E49" s="31"/>
      <c r="F49" s="187">
        <f>SUM(F46:F48)</f>
        <v>0</v>
      </c>
      <c r="G49" s="181"/>
      <c r="H49" s="187">
        <f>SUM(H46:H48)</f>
        <v>0</v>
      </c>
      <c r="I49" s="181"/>
      <c r="J49" s="187">
        <f>SUM(J46:J48)</f>
        <v>0</v>
      </c>
      <c r="K49" s="181"/>
      <c r="L49" s="187">
        <f>SUM(L46:L48)</f>
        <v>0</v>
      </c>
      <c r="M49" s="181"/>
      <c r="N49" s="187">
        <f>D49+F49+H49+J49+L49</f>
        <v>0</v>
      </c>
    </row>
    <row r="50" spans="1:14" ht="6" customHeight="1" thickTop="1" x14ac:dyDescent="0.2">
      <c r="A50" s="31"/>
      <c r="B50" s="132"/>
      <c r="D50" s="181"/>
      <c r="E50" s="31"/>
      <c r="F50" s="181"/>
      <c r="G50" s="181"/>
      <c r="H50" s="181"/>
      <c r="I50" s="181"/>
      <c r="J50" s="181"/>
      <c r="K50" s="181"/>
      <c r="L50" s="181"/>
      <c r="M50" s="181"/>
      <c r="N50" s="181"/>
    </row>
    <row r="51" spans="1:14" x14ac:dyDescent="0.2">
      <c r="A51" s="31"/>
      <c r="B51" s="57" t="s">
        <v>79</v>
      </c>
      <c r="D51" s="72" t="str">
        <f>IF(D26-D43=D49,"OK","ERROR")</f>
        <v>OK</v>
      </c>
      <c r="E51" s="31"/>
      <c r="F51" s="72" t="str">
        <f>IF(F26-F43=F49,"OK","ERROR")</f>
        <v>OK</v>
      </c>
      <c r="G51" s="31"/>
      <c r="H51" s="72" t="str">
        <f>IF(H26-H43=H49,"OK","ERROR")</f>
        <v>OK</v>
      </c>
      <c r="I51" s="31"/>
      <c r="J51" s="72" t="str">
        <f>IF(J26-J43=J49,"OK","ERROR")</f>
        <v>OK</v>
      </c>
      <c r="K51" s="31"/>
      <c r="L51" s="72" t="str">
        <f>IF(L26-L43=L49,"OK","ERROR")</f>
        <v>OK</v>
      </c>
      <c r="M51" s="31"/>
      <c r="N51" s="72"/>
    </row>
    <row r="53" spans="1:14" x14ac:dyDescent="0.2">
      <c r="A53" s="24" t="s">
        <v>80</v>
      </c>
    </row>
    <row r="55" spans="1:14" x14ac:dyDescent="0.2">
      <c r="A55" s="36" t="s">
        <v>81</v>
      </c>
      <c r="B55" s="173" t="s">
        <v>82</v>
      </c>
    </row>
    <row r="56" spans="1:14" x14ac:dyDescent="0.2">
      <c r="A56" s="26"/>
      <c r="B56" s="173" t="s">
        <v>83</v>
      </c>
    </row>
    <row r="57" spans="1:14" x14ac:dyDescent="0.2">
      <c r="A57" s="26"/>
      <c r="B57" s="173"/>
    </row>
    <row r="58" spans="1:14" x14ac:dyDescent="0.2">
      <c r="A58" s="36" t="s">
        <v>84</v>
      </c>
      <c r="B58" s="173" t="s">
        <v>85</v>
      </c>
    </row>
    <row r="59" spans="1:14" x14ac:dyDescent="0.2">
      <c r="A59" s="26"/>
      <c r="B59" t="s">
        <v>86</v>
      </c>
    </row>
    <row r="60" spans="1:14" x14ac:dyDescent="0.2">
      <c r="A60" s="26"/>
      <c r="B60" t="s">
        <v>87</v>
      </c>
    </row>
    <row r="61" spans="1:14" x14ac:dyDescent="0.2">
      <c r="A61" s="26"/>
      <c r="B61" s="173"/>
    </row>
    <row r="62" spans="1:14" x14ac:dyDescent="0.2">
      <c r="A62" s="36" t="s">
        <v>88</v>
      </c>
      <c r="B62" s="173" t="s">
        <v>89</v>
      </c>
    </row>
    <row r="63" spans="1:14" x14ac:dyDescent="0.2">
      <c r="A63" s="26"/>
      <c r="B63" s="173" t="s">
        <v>90</v>
      </c>
    </row>
    <row r="64" spans="1:14" x14ac:dyDescent="0.2">
      <c r="A64" s="26"/>
      <c r="B64" s="173" t="s">
        <v>91</v>
      </c>
    </row>
    <row r="65" spans="1:2" x14ac:dyDescent="0.2">
      <c r="A65" s="26"/>
      <c r="B65" s="173" t="s">
        <v>92</v>
      </c>
    </row>
    <row r="66" spans="1:2" x14ac:dyDescent="0.2">
      <c r="A66" s="26"/>
      <c r="B66" s="173" t="s">
        <v>93</v>
      </c>
    </row>
    <row r="67" spans="1:2" x14ac:dyDescent="0.2">
      <c r="A67" s="26"/>
      <c r="B67" s="173"/>
    </row>
    <row r="68" spans="1:2" x14ac:dyDescent="0.2">
      <c r="A68" s="26"/>
      <c r="B68" s="173"/>
    </row>
    <row r="69" spans="1:2" x14ac:dyDescent="0.2">
      <c r="A69" s="36" t="s">
        <v>42</v>
      </c>
      <c r="B69" s="173" t="s">
        <v>94</v>
      </c>
    </row>
    <row r="72" spans="1:2" x14ac:dyDescent="0.2">
      <c r="B72" s="173"/>
    </row>
    <row r="73" spans="1:2" x14ac:dyDescent="0.2">
      <c r="B73" s="173"/>
    </row>
    <row r="74" spans="1:2" x14ac:dyDescent="0.2">
      <c r="B74" s="173"/>
    </row>
    <row r="75" spans="1:2" x14ac:dyDescent="0.2">
      <c r="B75" s="173"/>
    </row>
  </sheetData>
  <sheetProtection algorithmName="SHA-512" hashValue="a+CV+Gtkn8TsGtl3IVZCJLkWFO+BnsdkeIaP5LzPV56MI3Kwdjy7GWaMo21XpaMywk8InLxEQUoRaGOxlvV8wQ==" saltValue="buvyZanmfqrtGu5a80Rm9Q==" spinCount="100000" sheet="1" autoFilter="0"/>
  <mergeCells count="5">
    <mergeCell ref="H5:H7"/>
    <mergeCell ref="J5:J7"/>
    <mergeCell ref="L5:L7"/>
    <mergeCell ref="D5:D7"/>
    <mergeCell ref="F5:F7"/>
  </mergeCells>
  <phoneticPr fontId="0" type="noConversion"/>
  <conditionalFormatting sqref="D51 F51 H51 J51 L51 N51">
    <cfRule type="cellIs" dxfId="17" priority="1" stopIfTrue="1" operator="equal">
      <formula>"ERROR"</formula>
    </cfRule>
  </conditionalFormatting>
  <pageMargins left="0.3" right="0.3" top="0.3" bottom="0.3" header="0.5" footer="0.2"/>
  <pageSetup orientation="landscape" r:id="rId1"/>
  <headerFooter alignWithMargins="0">
    <oddFooter>&amp;L&amp;F &amp;A&amp;C&amp;P of &amp;N&amp;R&amp;D</oddFooter>
  </headerFooter>
  <rowBreaks count="1" manualBreakCount="1">
    <brk id="5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6"/>
  <sheetViews>
    <sheetView workbookViewId="0">
      <selection activeCell="D28" sqref="D28"/>
    </sheetView>
  </sheetViews>
  <sheetFormatPr defaultRowHeight="12.75" x14ac:dyDescent="0.2"/>
  <cols>
    <col min="1" max="1" width="3.7109375" customWidth="1"/>
    <col min="2" max="2" width="44.7109375" customWidth="1"/>
    <col min="3" max="3" width="0.42578125" customWidth="1"/>
    <col min="4" max="4" width="13.7109375" customWidth="1"/>
    <col min="5" max="5" width="0.85546875" customWidth="1"/>
    <col min="6" max="6" width="13.7109375" customWidth="1"/>
    <col min="7" max="7" width="0.85546875" customWidth="1"/>
    <col min="8" max="8" width="12.7109375" customWidth="1"/>
    <col min="9" max="9" width="0.85546875" customWidth="1"/>
    <col min="10" max="10" width="12.7109375" customWidth="1"/>
    <col min="11" max="11" width="0.85546875" customWidth="1"/>
    <col min="12" max="12" width="12.7109375" customWidth="1"/>
    <col min="13" max="13" width="0.85546875" customWidth="1"/>
    <col min="14" max="14" width="13.7109375" customWidth="1"/>
  </cols>
  <sheetData>
    <row r="1" spans="1:14" ht="12.75" customHeight="1" x14ac:dyDescent="0.2">
      <c r="A1" s="1" t="str">
        <f>CONCATENATE(Info!D7," Foundations")</f>
        <v>Alamance Community College Foundations</v>
      </c>
      <c r="N1" s="30" t="s">
        <v>95</v>
      </c>
    </row>
    <row r="2" spans="1:14" ht="12.75" customHeight="1" x14ac:dyDescent="0.2">
      <c r="A2" s="1" t="s">
        <v>96</v>
      </c>
    </row>
    <row r="3" spans="1:14" ht="12.75" customHeight="1" x14ac:dyDescent="0.2">
      <c r="A3" s="215" t="str">
        <f>' Use Stmt'!A4</f>
        <v>For the Year Ended June 30, 2024</v>
      </c>
    </row>
    <row r="4" spans="1:14" ht="12.75" customHeight="1" x14ac:dyDescent="0.2">
      <c r="B4" s="5"/>
    </row>
    <row r="5" spans="1:14" ht="12.75" customHeight="1" x14ac:dyDescent="0.2">
      <c r="D5" s="310">
        <f>Info!$D$17</f>
        <v>0</v>
      </c>
      <c r="F5" s="310">
        <f>Info!$D$19</f>
        <v>0</v>
      </c>
      <c r="H5" s="310">
        <f>Info!$D$21</f>
        <v>0</v>
      </c>
      <c r="J5" s="310">
        <f>Info!$D$23</f>
        <v>0</v>
      </c>
      <c r="L5" s="310">
        <f>Info!$D$25</f>
        <v>0</v>
      </c>
    </row>
    <row r="6" spans="1:14" x14ac:dyDescent="0.2">
      <c r="D6" s="310"/>
      <c r="F6" s="310"/>
      <c r="G6" s="26"/>
      <c r="H6" s="310"/>
      <c r="I6" s="26"/>
      <c r="J6" s="310"/>
      <c r="K6" s="26"/>
      <c r="L6" s="310"/>
      <c r="M6" s="26"/>
      <c r="N6" s="26"/>
    </row>
    <row r="7" spans="1:14" x14ac:dyDescent="0.2">
      <c r="D7" s="311"/>
      <c r="F7" s="311"/>
      <c r="G7" s="174"/>
      <c r="H7" s="311"/>
      <c r="I7" s="174"/>
      <c r="J7" s="311"/>
      <c r="K7" s="26"/>
      <c r="L7" s="311"/>
      <c r="M7" s="174"/>
      <c r="N7" s="4" t="s">
        <v>39</v>
      </c>
    </row>
    <row r="8" spans="1:14" ht="14.25" x14ac:dyDescent="0.2">
      <c r="B8" s="1" t="s">
        <v>97</v>
      </c>
    </row>
    <row r="9" spans="1:14" x14ac:dyDescent="0.2">
      <c r="A9" s="33" t="s">
        <v>42</v>
      </c>
      <c r="B9" t="s">
        <v>98</v>
      </c>
      <c r="D9" s="48">
        <v>0</v>
      </c>
      <c r="F9" s="48">
        <v>0</v>
      </c>
      <c r="G9" s="9"/>
      <c r="H9" s="48">
        <v>0</v>
      </c>
      <c r="I9" s="9"/>
      <c r="J9" s="48">
        <v>0</v>
      </c>
      <c r="K9" s="9"/>
      <c r="L9" s="48">
        <v>0</v>
      </c>
      <c r="M9" s="9"/>
      <c r="N9" s="9">
        <f>D9+F9+H9+J9+L9</f>
        <v>0</v>
      </c>
    </row>
    <row r="10" spans="1:14" x14ac:dyDescent="0.2">
      <c r="A10" s="32">
        <v>500</v>
      </c>
      <c r="B10" t="s">
        <v>99</v>
      </c>
      <c r="D10" s="49">
        <v>0</v>
      </c>
      <c r="F10" s="49">
        <v>0</v>
      </c>
      <c r="G10" s="9"/>
      <c r="H10" s="49">
        <v>0</v>
      </c>
      <c r="I10" s="9"/>
      <c r="J10" s="49">
        <v>0</v>
      </c>
      <c r="K10" s="9"/>
      <c r="L10" s="49">
        <v>0</v>
      </c>
      <c r="M10" s="9"/>
      <c r="N10" s="6">
        <f>D10+F10+H10+J10+L10</f>
        <v>0</v>
      </c>
    </row>
    <row r="11" spans="1:14" x14ac:dyDescent="0.2">
      <c r="A11" s="32">
        <v>500</v>
      </c>
      <c r="B11" t="s">
        <v>100</v>
      </c>
      <c r="D11" s="49">
        <v>0</v>
      </c>
      <c r="F11" s="49">
        <v>0</v>
      </c>
      <c r="G11" s="9"/>
      <c r="H11" s="49">
        <v>0</v>
      </c>
      <c r="I11" s="9"/>
      <c r="J11" s="49">
        <v>0</v>
      </c>
      <c r="K11" s="9"/>
      <c r="L11" s="49">
        <v>0</v>
      </c>
      <c r="M11" s="9"/>
      <c r="N11" s="6">
        <f>D11+F11+H11+J11+L11</f>
        <v>0</v>
      </c>
    </row>
    <row r="12" spans="1:14" x14ac:dyDescent="0.2">
      <c r="A12" s="32">
        <v>530</v>
      </c>
      <c r="B12" t="s">
        <v>101</v>
      </c>
      <c r="D12" s="49">
        <v>0</v>
      </c>
      <c r="F12" s="49">
        <v>0</v>
      </c>
      <c r="G12" s="6"/>
      <c r="H12" s="49">
        <v>0</v>
      </c>
      <c r="I12" s="6"/>
      <c r="J12" s="49">
        <v>0</v>
      </c>
      <c r="K12" s="6"/>
      <c r="L12" s="49">
        <v>0</v>
      </c>
      <c r="M12" s="6"/>
      <c r="N12" s="6">
        <f>D12+F12+H12+J12+L12</f>
        <v>0</v>
      </c>
    </row>
    <row r="13" spans="1:14" x14ac:dyDescent="0.2">
      <c r="A13" s="32">
        <v>530</v>
      </c>
      <c r="B13" t="s">
        <v>102</v>
      </c>
      <c r="D13" s="49">
        <v>0</v>
      </c>
      <c r="F13" s="49">
        <v>0</v>
      </c>
      <c r="G13" s="6"/>
      <c r="H13" s="49">
        <v>0</v>
      </c>
      <c r="I13" s="6"/>
      <c r="J13" s="49">
        <v>0</v>
      </c>
      <c r="K13" s="6"/>
      <c r="L13" s="49">
        <v>0</v>
      </c>
      <c r="M13" s="6"/>
      <c r="N13" s="6">
        <f t="shared" ref="N13:N18" si="0">D13+F13+H13+J13+L13</f>
        <v>0</v>
      </c>
    </row>
    <row r="14" spans="1:14" x14ac:dyDescent="0.2">
      <c r="A14" s="32">
        <v>540</v>
      </c>
      <c r="B14" t="s">
        <v>103</v>
      </c>
      <c r="D14" s="49">
        <v>0</v>
      </c>
      <c r="F14" s="49">
        <v>0</v>
      </c>
      <c r="G14" s="6"/>
      <c r="H14" s="49">
        <v>0</v>
      </c>
      <c r="I14" s="6"/>
      <c r="J14" s="49">
        <v>0</v>
      </c>
      <c r="K14" s="6"/>
      <c r="L14" s="49">
        <v>0</v>
      </c>
      <c r="M14" s="6"/>
      <c r="N14" s="6">
        <f t="shared" si="0"/>
        <v>0</v>
      </c>
    </row>
    <row r="15" spans="1:14" x14ac:dyDescent="0.2">
      <c r="A15" s="32">
        <v>550</v>
      </c>
      <c r="B15" t="s">
        <v>104</v>
      </c>
      <c r="D15" s="49">
        <v>0</v>
      </c>
      <c r="F15" s="49">
        <v>0</v>
      </c>
      <c r="G15" s="6"/>
      <c r="H15" s="49">
        <v>0</v>
      </c>
      <c r="I15" s="6"/>
      <c r="J15" s="49">
        <v>0</v>
      </c>
      <c r="K15" s="6"/>
      <c r="L15" s="49">
        <v>0</v>
      </c>
      <c r="M15" s="6"/>
      <c r="N15" s="6">
        <f t="shared" si="0"/>
        <v>0</v>
      </c>
    </row>
    <row r="16" spans="1:14" x14ac:dyDescent="0.2">
      <c r="A16" s="32">
        <v>555</v>
      </c>
      <c r="B16" t="s">
        <v>105</v>
      </c>
      <c r="D16" s="49">
        <v>0</v>
      </c>
      <c r="F16" s="49">
        <v>0</v>
      </c>
      <c r="G16" s="6"/>
      <c r="H16" s="49">
        <v>0</v>
      </c>
      <c r="I16" s="6"/>
      <c r="J16" s="49">
        <v>0</v>
      </c>
      <c r="K16" s="6"/>
      <c r="L16" s="49">
        <v>0</v>
      </c>
      <c r="M16" s="6"/>
      <c r="N16" s="6">
        <f t="shared" si="0"/>
        <v>0</v>
      </c>
    </row>
    <row r="17" spans="1:15" x14ac:dyDescent="0.2">
      <c r="A17" s="32">
        <v>560</v>
      </c>
      <c r="B17" t="s">
        <v>106</v>
      </c>
      <c r="D17" s="50">
        <v>0</v>
      </c>
      <c r="F17" s="50">
        <v>0</v>
      </c>
      <c r="G17" s="6"/>
      <c r="H17" s="50">
        <v>0</v>
      </c>
      <c r="I17" s="6"/>
      <c r="J17" s="50">
        <v>0</v>
      </c>
      <c r="K17" s="6"/>
      <c r="L17" s="50">
        <v>0</v>
      </c>
      <c r="M17" s="6"/>
      <c r="N17" s="7">
        <f t="shared" si="0"/>
        <v>0</v>
      </c>
    </row>
    <row r="18" spans="1:15" x14ac:dyDescent="0.2">
      <c r="A18" s="26"/>
      <c r="B18" s="2" t="s">
        <v>107</v>
      </c>
      <c r="D18" s="8">
        <f>SUM(D9:D17)</f>
        <v>0</v>
      </c>
      <c r="F18" s="8">
        <f>SUM(F9:F17)</f>
        <v>0</v>
      </c>
      <c r="G18" s="6"/>
      <c r="H18" s="8">
        <f>SUM(H9:H17)</f>
        <v>0</v>
      </c>
      <c r="I18" s="6"/>
      <c r="J18" s="8">
        <f>SUM(J9:J17)</f>
        <v>0</v>
      </c>
      <c r="K18" s="6"/>
      <c r="L18" s="8">
        <f>SUM(L9:L17)</f>
        <v>0</v>
      </c>
      <c r="M18" s="6"/>
      <c r="N18" s="8">
        <f t="shared" si="0"/>
        <v>0</v>
      </c>
    </row>
    <row r="19" spans="1:15" x14ac:dyDescent="0.2">
      <c r="A19" s="26"/>
    </row>
    <row r="20" spans="1:15" ht="14.25" x14ac:dyDescent="0.2">
      <c r="A20" s="26"/>
      <c r="B20" s="1" t="s">
        <v>108</v>
      </c>
    </row>
    <row r="21" spans="1:15" x14ac:dyDescent="0.2">
      <c r="A21" s="32" t="s">
        <v>42</v>
      </c>
      <c r="B21" s="173" t="s">
        <v>109</v>
      </c>
      <c r="D21" s="51">
        <v>0</v>
      </c>
      <c r="F21" s="51">
        <v>0</v>
      </c>
      <c r="G21" s="12"/>
      <c r="H21" s="51">
        <v>0</v>
      </c>
      <c r="I21" s="12"/>
      <c r="J21" s="51">
        <v>0</v>
      </c>
      <c r="K21" s="12"/>
      <c r="L21" s="51">
        <v>0</v>
      </c>
      <c r="M21" s="12"/>
      <c r="N21" s="6">
        <f>D21+F21+H21+J21+L21</f>
        <v>0</v>
      </c>
    </row>
    <row r="22" spans="1:15" x14ac:dyDescent="0.2">
      <c r="A22" s="32">
        <v>610</v>
      </c>
      <c r="B22" t="s">
        <v>110</v>
      </c>
      <c r="D22" s="52">
        <v>0</v>
      </c>
      <c r="E22" s="6"/>
      <c r="F22" s="52">
        <v>0</v>
      </c>
      <c r="G22" s="12"/>
      <c r="H22" s="52">
        <v>0</v>
      </c>
      <c r="I22" s="12"/>
      <c r="J22" s="52">
        <v>0</v>
      </c>
      <c r="K22" s="12"/>
      <c r="L22" s="52">
        <v>0</v>
      </c>
      <c r="M22" s="12"/>
      <c r="N22" s="7">
        <f>D22+F22+H22+J22+L22</f>
        <v>0</v>
      </c>
    </row>
    <row r="23" spans="1:15" x14ac:dyDescent="0.2">
      <c r="B23" s="2" t="s">
        <v>111</v>
      </c>
      <c r="D23" s="20">
        <f>SUM(D21:D22)</f>
        <v>0</v>
      </c>
      <c r="E23" s="6"/>
      <c r="F23" s="20">
        <f>SUM(F21:F22)</f>
        <v>0</v>
      </c>
      <c r="G23" s="12"/>
      <c r="H23" s="20">
        <f>SUM(H21:H22)</f>
        <v>0</v>
      </c>
      <c r="I23" s="12"/>
      <c r="J23" s="20">
        <f>SUM(J21:J22)</f>
        <v>0</v>
      </c>
      <c r="K23" s="12"/>
      <c r="L23" s="20">
        <f>SUM(L21:L22)</f>
        <v>0</v>
      </c>
      <c r="M23" s="12"/>
      <c r="N23" s="8">
        <f>D23+F23+H23+J23+L23</f>
        <v>0</v>
      </c>
    </row>
    <row r="24" spans="1:15" ht="9.9499999999999993" customHeight="1" x14ac:dyDescent="0.2"/>
    <row r="25" spans="1:15" x14ac:dyDescent="0.2">
      <c r="B25" t="s">
        <v>112</v>
      </c>
      <c r="D25" s="12">
        <f>D18-D23</f>
        <v>0</v>
      </c>
      <c r="F25" s="12">
        <f>F18-F23</f>
        <v>0</v>
      </c>
      <c r="G25" s="12"/>
      <c r="H25" s="12">
        <f>H18-H23</f>
        <v>0</v>
      </c>
      <c r="I25" s="12"/>
      <c r="J25" s="12">
        <f>J18-J23</f>
        <v>0</v>
      </c>
      <c r="K25" s="12"/>
      <c r="L25" s="12">
        <f>L18-L23</f>
        <v>0</v>
      </c>
      <c r="M25" s="12"/>
      <c r="N25" s="6">
        <f>D25+F25+H25+J25+L25</f>
        <v>0</v>
      </c>
    </row>
    <row r="26" spans="1:15" ht="9.9499999999999993" customHeight="1" x14ac:dyDescent="0.2"/>
    <row r="27" spans="1:15" x14ac:dyDescent="0.2">
      <c r="B27" t="s">
        <v>113</v>
      </c>
      <c r="D27" s="51">
        <v>0</v>
      </c>
      <c r="F27" s="51">
        <v>0</v>
      </c>
      <c r="G27" s="12"/>
      <c r="H27" s="51">
        <v>0</v>
      </c>
      <c r="I27" s="12"/>
      <c r="J27" s="51">
        <v>0</v>
      </c>
      <c r="K27" s="12"/>
      <c r="L27" s="51">
        <v>0</v>
      </c>
      <c r="M27" s="12"/>
      <c r="N27" s="62">
        <f>VLOOKUP(Info!D6,'Net Assets'!A1:C96,3,FALSE)</f>
        <v>17458406</v>
      </c>
      <c r="O27" s="188" t="str">
        <f>IF((D27+F27+H27+J27+L27=N27),"OK","Problem - Must equal the total prior year ending per Foundation template")</f>
        <v>Problem - Must equal the total prior year ending per Foundation template</v>
      </c>
    </row>
    <row r="28" spans="1:15" x14ac:dyDescent="0.2">
      <c r="B28" t="s">
        <v>114</v>
      </c>
      <c r="D28" s="52"/>
      <c r="F28" s="52"/>
      <c r="G28" s="12"/>
      <c r="H28" s="52"/>
      <c r="I28" s="12"/>
      <c r="J28" s="52"/>
      <c r="K28" s="12"/>
      <c r="L28" s="52"/>
      <c r="M28" s="12"/>
      <c r="N28" s="7">
        <f>D28+F28+H28+J28+L28</f>
        <v>0</v>
      </c>
    </row>
    <row r="29" spans="1:15" ht="14.85" customHeight="1" thickBot="1" x14ac:dyDescent="0.25">
      <c r="B29" t="s">
        <v>115</v>
      </c>
      <c r="D29" s="11">
        <f>D25+D27+D28</f>
        <v>0</v>
      </c>
      <c r="F29" s="11">
        <f>F25+F27+F28</f>
        <v>0</v>
      </c>
      <c r="G29" s="27"/>
      <c r="H29" s="11">
        <f>H25+H27+H28</f>
        <v>0</v>
      </c>
      <c r="I29" s="27"/>
      <c r="J29" s="11">
        <f>J25+J27+J28</f>
        <v>0</v>
      </c>
      <c r="K29" s="27"/>
      <c r="L29" s="11">
        <f>L25+L27+L28</f>
        <v>0</v>
      </c>
      <c r="M29" s="27"/>
      <c r="N29" s="11">
        <f>D29+F29+H29+J29+L29</f>
        <v>0</v>
      </c>
    </row>
    <row r="30" spans="1:15" ht="6" customHeight="1" thickTop="1" x14ac:dyDescent="0.2"/>
    <row r="31" spans="1:15" ht="12.75" customHeight="1" x14ac:dyDescent="0.2">
      <c r="B31" s="22" t="s">
        <v>116</v>
      </c>
      <c r="D31" s="34" t="str">
        <f>IF(D29='Exh A'!D49,"OK","ERROR")</f>
        <v>OK</v>
      </c>
      <c r="F31" s="34" t="str">
        <f>IF(F29='Exh A'!F49,"OK","ERROR")</f>
        <v>OK</v>
      </c>
      <c r="H31" s="34" t="str">
        <f>IF(H29='Exh A'!H49,"OK","ERROR")</f>
        <v>OK</v>
      </c>
      <c r="J31" s="34" t="str">
        <f>IF(J29='Exh A'!J49,"OK","ERROR")</f>
        <v>OK</v>
      </c>
      <c r="L31" s="34" t="str">
        <f>IF(L29='Exh A'!L49,"OK","ERROR")</f>
        <v>OK</v>
      </c>
    </row>
    <row r="32" spans="1:15" ht="9.9499999999999993" customHeight="1" x14ac:dyDescent="0.2"/>
    <row r="33" spans="1:8" x14ac:dyDescent="0.2">
      <c r="A33" s="24" t="s">
        <v>117</v>
      </c>
    </row>
    <row r="34" spans="1:8" ht="6.95" customHeight="1" x14ac:dyDescent="0.2"/>
    <row r="35" spans="1:8" x14ac:dyDescent="0.2">
      <c r="A35" s="36" t="s">
        <v>81</v>
      </c>
      <c r="B35" s="173" t="s">
        <v>118</v>
      </c>
      <c r="C35" s="22"/>
      <c r="D35" s="22"/>
      <c r="E35" s="22"/>
      <c r="F35" s="22"/>
      <c r="G35" s="22"/>
      <c r="H35" s="22"/>
    </row>
    <row r="36" spans="1:8" x14ac:dyDescent="0.2">
      <c r="A36" s="26"/>
      <c r="B36" s="173" t="s">
        <v>119</v>
      </c>
      <c r="C36" s="22"/>
      <c r="D36" s="22"/>
      <c r="E36" s="22"/>
      <c r="F36" s="22"/>
      <c r="G36" s="22"/>
      <c r="H36" s="22"/>
    </row>
    <row r="37" spans="1:8" x14ac:dyDescent="0.2">
      <c r="A37" s="26"/>
      <c r="B37" s="173" t="s">
        <v>120</v>
      </c>
      <c r="C37" s="22"/>
      <c r="D37" s="22"/>
      <c r="E37" s="22"/>
      <c r="F37" s="22"/>
      <c r="G37" s="22"/>
      <c r="H37" s="22"/>
    </row>
    <row r="38" spans="1:8" ht="6.95" customHeight="1" x14ac:dyDescent="0.2">
      <c r="A38" s="26"/>
      <c r="B38" s="173"/>
      <c r="C38" s="22"/>
      <c r="D38" s="22"/>
      <c r="E38" s="22"/>
      <c r="F38" s="22"/>
      <c r="G38" s="22"/>
      <c r="H38" s="22"/>
    </row>
    <row r="39" spans="1:8" x14ac:dyDescent="0.2">
      <c r="A39" s="36" t="s">
        <v>84</v>
      </c>
      <c r="B39" s="173" t="s">
        <v>121</v>
      </c>
    </row>
    <row r="40" spans="1:8" x14ac:dyDescent="0.2">
      <c r="A40" s="26"/>
      <c r="B40" s="173" t="s">
        <v>122</v>
      </c>
    </row>
    <row r="41" spans="1:8" ht="7.5" customHeight="1" x14ac:dyDescent="0.2">
      <c r="A41" s="26"/>
      <c r="B41" s="173"/>
    </row>
    <row r="42" spans="1:8" x14ac:dyDescent="0.2">
      <c r="A42" s="36" t="s">
        <v>88</v>
      </c>
      <c r="B42" t="s">
        <v>123</v>
      </c>
    </row>
    <row r="43" spans="1:8" x14ac:dyDescent="0.2">
      <c r="A43" s="26"/>
      <c r="B43" t="s">
        <v>124</v>
      </c>
    </row>
    <row r="44" spans="1:8" x14ac:dyDescent="0.2">
      <c r="A44" s="26"/>
      <c r="B44" t="s">
        <v>125</v>
      </c>
    </row>
    <row r="45" spans="1:8" ht="6.95" customHeight="1" x14ac:dyDescent="0.2">
      <c r="A45" s="26"/>
      <c r="B45" s="173"/>
    </row>
    <row r="46" spans="1:8" x14ac:dyDescent="0.2">
      <c r="A46" s="36" t="s">
        <v>42</v>
      </c>
      <c r="B46" s="173" t="s">
        <v>94</v>
      </c>
    </row>
  </sheetData>
  <sheetProtection algorithmName="SHA-512" hashValue="lOsnk9sJwrr7OvHnoKIh1/HcmmHH4MUC04DFri8Prwj99zONstgUGHtS19qzgjdUOi1B5277t5WyvVD6ySn1lw==" saltValue="zLqILrm84VkgajUMZ/8xoQ==" spinCount="100000" sheet="1" autoFilter="0"/>
  <mergeCells count="5">
    <mergeCell ref="L5:L7"/>
    <mergeCell ref="D5:D7"/>
    <mergeCell ref="F5:F7"/>
    <mergeCell ref="H5:H7"/>
    <mergeCell ref="J5:J7"/>
  </mergeCells>
  <phoneticPr fontId="0" type="noConversion"/>
  <conditionalFormatting sqref="D31 F31 H31 J31 L31">
    <cfRule type="cellIs" dxfId="16" priority="1" stopIfTrue="1" operator="equal">
      <formula>"ERROR"</formula>
    </cfRule>
  </conditionalFormatting>
  <pageMargins left="0.25" right="0.25" top="0.45" bottom="0.45" header="0.5" footer="0.2"/>
  <pageSetup orientation="landscape" r:id="rId1"/>
  <headerFooter alignWithMargins="0">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54"/>
  <sheetViews>
    <sheetView workbookViewId="0">
      <selection activeCell="D104" sqref="D104"/>
    </sheetView>
  </sheetViews>
  <sheetFormatPr defaultRowHeight="12.75" x14ac:dyDescent="0.2"/>
  <cols>
    <col min="1" max="1" width="3.7109375" customWidth="1"/>
    <col min="2" max="2" width="46.7109375" customWidth="1"/>
    <col min="3" max="3" width="0.7109375" customWidth="1"/>
    <col min="4" max="4" width="13.42578125" customWidth="1"/>
    <col min="5" max="5" width="0.7109375" customWidth="1"/>
    <col min="6" max="6" width="13.42578125" customWidth="1"/>
    <col min="7" max="7" width="0.7109375" customWidth="1"/>
    <col min="8" max="8" width="12.7109375" customWidth="1"/>
    <col min="9" max="9" width="0.7109375" customWidth="1"/>
    <col min="10" max="10" width="12.7109375" customWidth="1"/>
    <col min="11" max="11" width="0.7109375" customWidth="1"/>
    <col min="12" max="12" width="12.7109375" customWidth="1"/>
    <col min="13" max="13" width="0.7109375" customWidth="1"/>
    <col min="14" max="14" width="13.42578125" customWidth="1"/>
    <col min="16" max="16" width="14" customWidth="1"/>
  </cols>
  <sheetData>
    <row r="1" spans="1:14" x14ac:dyDescent="0.2">
      <c r="A1" s="1" t="str">
        <f>CONCATENATE(Info!D7," Foundations")</f>
        <v>Alamance Community College Foundations</v>
      </c>
      <c r="N1" s="30" t="s">
        <v>126</v>
      </c>
    </row>
    <row r="2" spans="1:14" x14ac:dyDescent="0.2">
      <c r="A2" s="1" t="s">
        <v>127</v>
      </c>
    </row>
    <row r="3" spans="1:14" x14ac:dyDescent="0.2">
      <c r="A3" s="214" t="str">
        <f>' Use Stmt'!A4</f>
        <v>For the Year Ended June 30, 2024</v>
      </c>
    </row>
    <row r="4" spans="1:14" x14ac:dyDescent="0.2">
      <c r="D4" s="310">
        <f>Info!$D$17</f>
        <v>0</v>
      </c>
      <c r="F4" s="310">
        <f>Info!$D$19</f>
        <v>0</v>
      </c>
      <c r="H4" s="310">
        <f>Info!$D$21</f>
        <v>0</v>
      </c>
      <c r="J4" s="310">
        <f>Info!$D$23</f>
        <v>0</v>
      </c>
      <c r="L4" s="310">
        <f>Info!$D$25</f>
        <v>0</v>
      </c>
    </row>
    <row r="5" spans="1:14" x14ac:dyDescent="0.2">
      <c r="D5" s="310"/>
      <c r="F5" s="310"/>
      <c r="G5" s="26"/>
      <c r="H5" s="310"/>
      <c r="I5" s="26"/>
      <c r="J5" s="310"/>
      <c r="K5" s="26"/>
      <c r="L5" s="310"/>
      <c r="M5" s="26"/>
      <c r="N5" s="26"/>
    </row>
    <row r="6" spans="1:14" ht="19.5" customHeight="1" x14ac:dyDescent="0.2">
      <c r="D6" s="311"/>
      <c r="F6" s="311"/>
      <c r="G6" s="174"/>
      <c r="H6" s="311"/>
      <c r="I6" s="174"/>
      <c r="J6" s="311"/>
      <c r="K6" s="26"/>
      <c r="L6" s="311"/>
      <c r="M6" s="174"/>
      <c r="N6" s="4" t="s">
        <v>39</v>
      </c>
    </row>
    <row r="7" spans="1:14" ht="14.25" x14ac:dyDescent="0.2">
      <c r="A7" s="314" t="s">
        <v>128</v>
      </c>
      <c r="B7" s="314"/>
      <c r="D7" s="26"/>
      <c r="F7" s="26"/>
      <c r="G7" s="174"/>
      <c r="H7" s="26"/>
      <c r="I7" s="174"/>
      <c r="J7" s="26"/>
      <c r="K7" s="26"/>
      <c r="L7" s="26"/>
      <c r="M7" s="174"/>
      <c r="N7" s="26"/>
    </row>
    <row r="8" spans="1:14" x14ac:dyDescent="0.2">
      <c r="D8" s="26"/>
      <c r="F8" s="26"/>
      <c r="G8" s="174"/>
      <c r="H8" s="26"/>
      <c r="I8" s="174"/>
      <c r="J8" s="26"/>
      <c r="K8" s="26"/>
      <c r="L8" s="26"/>
      <c r="M8" s="174"/>
      <c r="N8" s="26"/>
    </row>
    <row r="9" spans="1:14" x14ac:dyDescent="0.2">
      <c r="B9" s="1" t="s">
        <v>43</v>
      </c>
      <c r="D9" s="26"/>
      <c r="F9" s="26"/>
      <c r="G9" s="174"/>
      <c r="H9" s="26"/>
      <c r="I9" s="174"/>
      <c r="J9" s="26"/>
      <c r="K9" s="26"/>
      <c r="L9" s="26"/>
      <c r="M9" s="174"/>
      <c r="N9" s="26"/>
    </row>
    <row r="10" spans="1:14" x14ac:dyDescent="0.2">
      <c r="A10" s="32">
        <v>130</v>
      </c>
      <c r="B10" s="3" t="s">
        <v>129</v>
      </c>
      <c r="D10" s="49">
        <v>0</v>
      </c>
      <c r="F10" s="49">
        <v>0</v>
      </c>
      <c r="G10" s="174"/>
      <c r="H10" s="49">
        <v>0</v>
      </c>
      <c r="I10" s="174"/>
      <c r="J10" s="49">
        <v>0</v>
      </c>
      <c r="K10" s="26"/>
      <c r="L10" s="49">
        <v>0</v>
      </c>
      <c r="M10" s="174"/>
      <c r="N10" s="6">
        <f>D10+F10+H10+J10+L10</f>
        <v>0</v>
      </c>
    </row>
    <row r="11" spans="1:14" x14ac:dyDescent="0.2">
      <c r="A11" s="32">
        <v>105</v>
      </c>
      <c r="B11" s="3" t="s">
        <v>130</v>
      </c>
      <c r="D11" s="49">
        <v>0</v>
      </c>
      <c r="F11" s="49">
        <v>0</v>
      </c>
      <c r="G11" s="174"/>
      <c r="H11" s="49">
        <v>0</v>
      </c>
      <c r="I11" s="174"/>
      <c r="J11" s="49">
        <v>0</v>
      </c>
      <c r="K11" s="26"/>
      <c r="L11" s="49">
        <v>0</v>
      </c>
      <c r="M11" s="174"/>
      <c r="N11" s="7">
        <f>D11+F11+H11+J11+L11</f>
        <v>0</v>
      </c>
    </row>
    <row r="12" spans="1:14" x14ac:dyDescent="0.2">
      <c r="B12" s="23" t="s">
        <v>39</v>
      </c>
      <c r="D12" s="35">
        <f>SUM(D10:D11)</f>
        <v>0</v>
      </c>
      <c r="F12" s="35">
        <f>SUM(F10:F11)</f>
        <v>0</v>
      </c>
      <c r="G12" s="174"/>
      <c r="H12" s="35">
        <f>SUM(H10:H11)</f>
        <v>0</v>
      </c>
      <c r="I12" s="174"/>
      <c r="J12" s="35">
        <f>SUM(J10:J11)</f>
        <v>0</v>
      </c>
      <c r="K12" s="26"/>
      <c r="L12" s="35">
        <f>SUM(L10:L11)</f>
        <v>0</v>
      </c>
      <c r="M12" s="174"/>
      <c r="N12" s="8">
        <f>D12+F12+H12+J12+L12</f>
        <v>0</v>
      </c>
    </row>
    <row r="13" spans="1:14" x14ac:dyDescent="0.2">
      <c r="B13" s="22" t="s">
        <v>131</v>
      </c>
      <c r="D13" s="42" t="str">
        <f>IF(D12='Exh A'!D10,"OK","ERROR")</f>
        <v>OK</v>
      </c>
      <c r="F13" s="42" t="str">
        <f>IF(F12='Exh A'!F10,"OK","ERROR")</f>
        <v>OK</v>
      </c>
      <c r="G13" s="174"/>
      <c r="H13" s="42" t="str">
        <f>IF(H12='Exh A'!H10,"OK","ERROR")</f>
        <v>OK</v>
      </c>
      <c r="I13" s="174"/>
      <c r="J13" s="42" t="str">
        <f>IF(J12='Exh A'!J10,"OK","ERROR")</f>
        <v>OK</v>
      </c>
      <c r="K13" s="26"/>
      <c r="L13" s="42" t="str">
        <f>IF(L12='Exh A'!L10,"OK","ERROR")</f>
        <v>OK</v>
      </c>
      <c r="M13" s="174"/>
      <c r="N13" s="26"/>
    </row>
    <row r="14" spans="1:14" x14ac:dyDescent="0.2">
      <c r="D14" s="26"/>
      <c r="F14" s="26"/>
      <c r="G14" s="174"/>
      <c r="H14" s="26"/>
      <c r="I14" s="174"/>
      <c r="J14" s="26"/>
      <c r="K14" s="26"/>
      <c r="L14" s="26"/>
      <c r="M14" s="174"/>
      <c r="N14" s="26"/>
    </row>
    <row r="15" spans="1:14" ht="14.25" x14ac:dyDescent="0.2">
      <c r="B15" s="1" t="s">
        <v>132</v>
      </c>
      <c r="D15" s="26"/>
      <c r="F15" s="26"/>
      <c r="G15" s="174"/>
      <c r="H15" s="26"/>
      <c r="I15" s="174"/>
      <c r="J15" s="26"/>
      <c r="K15" s="26"/>
      <c r="L15" s="26"/>
      <c r="M15" s="174"/>
      <c r="N15" s="26"/>
    </row>
    <row r="16" spans="1:14" x14ac:dyDescent="0.2">
      <c r="A16" s="32">
        <v>140</v>
      </c>
      <c r="B16" s="3" t="s">
        <v>133</v>
      </c>
      <c r="D16" s="49">
        <v>0</v>
      </c>
      <c r="F16" s="49">
        <v>0</v>
      </c>
      <c r="G16" s="174"/>
      <c r="H16" s="49">
        <v>0</v>
      </c>
      <c r="I16" s="174"/>
      <c r="J16" s="49">
        <v>0</v>
      </c>
      <c r="K16" s="26"/>
      <c r="L16" s="49">
        <v>0</v>
      </c>
      <c r="M16" s="174"/>
      <c r="N16" s="6">
        <f>D16+F16+H16+J16+L16</f>
        <v>0</v>
      </c>
    </row>
    <row r="17" spans="1:14" x14ac:dyDescent="0.2">
      <c r="A17" s="32">
        <v>145</v>
      </c>
      <c r="B17" s="3" t="s">
        <v>134</v>
      </c>
      <c r="D17" s="49">
        <v>0</v>
      </c>
      <c r="F17" s="49">
        <v>0</v>
      </c>
      <c r="G17" s="174"/>
      <c r="H17" s="49">
        <v>0</v>
      </c>
      <c r="I17" s="174"/>
      <c r="J17" s="49">
        <v>0</v>
      </c>
      <c r="K17" s="26"/>
      <c r="L17" s="49">
        <v>0</v>
      </c>
      <c r="M17" s="174"/>
      <c r="N17" s="6">
        <f>D17+F17+H17+J17+L17</f>
        <v>0</v>
      </c>
    </row>
    <row r="18" spans="1:14" x14ac:dyDescent="0.2">
      <c r="A18" s="32">
        <v>140</v>
      </c>
      <c r="B18" s="3" t="s">
        <v>135</v>
      </c>
      <c r="D18" s="49">
        <v>0</v>
      </c>
      <c r="F18" s="49">
        <v>0</v>
      </c>
      <c r="G18" s="174"/>
      <c r="H18" s="49">
        <v>0</v>
      </c>
      <c r="I18" s="174"/>
      <c r="J18" s="49">
        <v>0</v>
      </c>
      <c r="K18" s="26"/>
      <c r="L18" s="49">
        <v>0</v>
      </c>
      <c r="M18" s="174"/>
      <c r="N18" s="6">
        <f>D18+F18+H18+J18+L18</f>
        <v>0</v>
      </c>
    </row>
    <row r="19" spans="1:14" x14ac:dyDescent="0.2">
      <c r="A19" s="32">
        <v>145</v>
      </c>
      <c r="B19" s="3" t="s">
        <v>136</v>
      </c>
      <c r="D19" s="50">
        <v>0</v>
      </c>
      <c r="F19" s="50">
        <v>0</v>
      </c>
      <c r="G19" s="174"/>
      <c r="H19" s="50">
        <v>0</v>
      </c>
      <c r="I19" s="174"/>
      <c r="J19" s="50">
        <v>0</v>
      </c>
      <c r="K19" s="26"/>
      <c r="L19" s="50">
        <v>0</v>
      </c>
      <c r="M19" s="174"/>
      <c r="N19" s="7">
        <f>D19+F19+H19+J19+L19</f>
        <v>0</v>
      </c>
    </row>
    <row r="20" spans="1:14" x14ac:dyDescent="0.2">
      <c r="A20" s="32"/>
      <c r="B20" s="23" t="s">
        <v>39</v>
      </c>
      <c r="D20" s="35">
        <f>SUM(D16:D19)</f>
        <v>0</v>
      </c>
      <c r="F20" s="35">
        <f>SUM(F16:F19)</f>
        <v>0</v>
      </c>
      <c r="G20" s="174"/>
      <c r="H20" s="35">
        <f>SUM(H16:H19)</f>
        <v>0</v>
      </c>
      <c r="I20" s="174"/>
      <c r="J20" s="35">
        <f>SUM(J16:J19)</f>
        <v>0</v>
      </c>
      <c r="K20" s="26"/>
      <c r="L20" s="35">
        <f>SUM(L16:L19)</f>
        <v>0</v>
      </c>
      <c r="M20" s="174"/>
      <c r="N20" s="8">
        <f>D20+F20+H20+J20+L20</f>
        <v>0</v>
      </c>
    </row>
    <row r="21" spans="1:14" x14ac:dyDescent="0.2">
      <c r="A21" s="32"/>
      <c r="B21" s="22" t="s">
        <v>131</v>
      </c>
      <c r="D21" s="42" t="str">
        <f>IF(D20='Exh A'!D25,"OK","ERROR")</f>
        <v>OK</v>
      </c>
      <c r="E21" s="43"/>
      <c r="F21" s="42" t="str">
        <f>IF(F20='Exh A'!F25,"OK","ERROR")</f>
        <v>OK</v>
      </c>
      <c r="G21" s="44"/>
      <c r="H21" s="42" t="str">
        <f>IF(H20='Exh A'!H25,"OK","ERROR")</f>
        <v>OK</v>
      </c>
      <c r="I21" s="44"/>
      <c r="J21" s="42" t="str">
        <f>IF(J20='Exh A'!J25,"OK","ERROR")</f>
        <v>OK</v>
      </c>
      <c r="K21" s="44"/>
      <c r="L21" s="42" t="str">
        <f>IF(L20='Exh A'!L25,"OK","ERROR")</f>
        <v>OK</v>
      </c>
      <c r="M21" s="174"/>
      <c r="N21" s="26"/>
    </row>
    <row r="22" spans="1:14" x14ac:dyDescent="0.2">
      <c r="A22" s="32"/>
      <c r="B22" s="22"/>
      <c r="D22" s="26"/>
      <c r="F22" s="26"/>
      <c r="G22" s="174"/>
      <c r="H22" s="26"/>
      <c r="I22" s="174"/>
      <c r="J22" s="26"/>
      <c r="K22" s="26"/>
      <c r="L22" s="26"/>
      <c r="M22" s="174"/>
      <c r="N22" s="26"/>
    </row>
    <row r="23" spans="1:14" x14ac:dyDescent="0.2">
      <c r="A23" s="32"/>
      <c r="B23" s="1" t="s">
        <v>69</v>
      </c>
    </row>
    <row r="24" spans="1:14" x14ac:dyDescent="0.2">
      <c r="A24" s="32">
        <v>260</v>
      </c>
      <c r="B24" s="3" t="s">
        <v>137</v>
      </c>
      <c r="D24" s="51">
        <v>0</v>
      </c>
      <c r="F24" s="51">
        <v>0</v>
      </c>
      <c r="G24" s="12"/>
      <c r="H24" s="51">
        <v>0</v>
      </c>
      <c r="I24" s="12"/>
      <c r="J24" s="51">
        <v>0</v>
      </c>
      <c r="K24" s="12"/>
      <c r="L24" s="51">
        <v>0</v>
      </c>
      <c r="N24" s="6">
        <f>D24+F24+H24+J24+L24</f>
        <v>0</v>
      </c>
    </row>
    <row r="25" spans="1:14" x14ac:dyDescent="0.2">
      <c r="A25" s="32">
        <v>261</v>
      </c>
      <c r="B25" s="3" t="s">
        <v>138</v>
      </c>
      <c r="D25" s="52">
        <v>0</v>
      </c>
      <c r="F25" s="52">
        <v>0</v>
      </c>
      <c r="G25" s="12"/>
      <c r="H25" s="52">
        <v>0</v>
      </c>
      <c r="I25" s="12"/>
      <c r="J25" s="52">
        <v>0</v>
      </c>
      <c r="K25" s="12"/>
      <c r="L25" s="52">
        <v>0</v>
      </c>
      <c r="N25" s="7">
        <f>D25+F25+H25+J25+L25</f>
        <v>0</v>
      </c>
    </row>
    <row r="26" spans="1:14" x14ac:dyDescent="0.2">
      <c r="A26" s="32"/>
      <c r="B26" s="23" t="s">
        <v>39</v>
      </c>
      <c r="D26" s="10">
        <f>SUM(D24:D25)</f>
        <v>0</v>
      </c>
      <c r="F26" s="10">
        <f>SUM(F24:F25)</f>
        <v>0</v>
      </c>
      <c r="G26" s="12"/>
      <c r="H26" s="10">
        <f>SUM(H24:H25)</f>
        <v>0</v>
      </c>
      <c r="I26" s="12"/>
      <c r="J26" s="10">
        <f>SUM(J24:J25)</f>
        <v>0</v>
      </c>
      <c r="K26" s="12"/>
      <c r="L26" s="10">
        <f>SUM(L24:L25)</f>
        <v>0</v>
      </c>
      <c r="N26" s="8">
        <f>D26+F26+H26+J26+L26</f>
        <v>0</v>
      </c>
    </row>
    <row r="27" spans="1:14" x14ac:dyDescent="0.2">
      <c r="A27" s="32"/>
      <c r="B27" s="22" t="s">
        <v>131</v>
      </c>
      <c r="D27" s="42" t="str">
        <f>IF(D26='Exh A'!D37,"OK","ERROR")</f>
        <v>OK</v>
      </c>
      <c r="F27" s="42" t="str">
        <f>IF(F26='Exh A'!F37,"OK","ERROR")</f>
        <v>OK</v>
      </c>
      <c r="H27" s="42" t="str">
        <f>IF(H26='Exh A'!H37,"OK","ERROR")</f>
        <v>OK</v>
      </c>
      <c r="J27" s="42" t="str">
        <f>IF(J26='Exh A'!J37,"OK","ERROR")</f>
        <v>OK</v>
      </c>
      <c r="L27" s="42" t="str">
        <f>IF(L26='Exh A'!L37,"OK","ERROR")</f>
        <v>OK</v>
      </c>
    </row>
    <row r="28" spans="1:14" x14ac:dyDescent="0.2">
      <c r="A28" s="32"/>
      <c r="B28" s="22"/>
      <c r="D28" s="26"/>
      <c r="F28" s="26"/>
      <c r="G28" s="174"/>
      <c r="H28" s="26"/>
      <c r="I28" s="174"/>
      <c r="J28" s="26"/>
      <c r="K28" s="26"/>
      <c r="L28" s="26"/>
      <c r="M28" s="174"/>
      <c r="N28" s="26"/>
    </row>
    <row r="29" spans="1:14" x14ac:dyDescent="0.2">
      <c r="A29" s="32"/>
      <c r="B29" s="1" t="s">
        <v>70</v>
      </c>
    </row>
    <row r="30" spans="1:14" x14ac:dyDescent="0.2">
      <c r="A30" s="32">
        <v>260</v>
      </c>
      <c r="B30" s="3" t="s">
        <v>137</v>
      </c>
      <c r="D30" s="51">
        <v>0</v>
      </c>
      <c r="F30" s="51">
        <v>0</v>
      </c>
      <c r="G30" s="12"/>
      <c r="H30" s="51">
        <v>0</v>
      </c>
      <c r="I30" s="12"/>
      <c r="J30" s="51">
        <v>0</v>
      </c>
      <c r="K30" s="12"/>
      <c r="L30" s="51">
        <v>0</v>
      </c>
      <c r="N30" s="6">
        <f>D30+F30+H30+J30+L30</f>
        <v>0</v>
      </c>
    </row>
    <row r="31" spans="1:14" x14ac:dyDescent="0.2">
      <c r="A31" s="32">
        <v>261</v>
      </c>
      <c r="B31" s="3" t="s">
        <v>138</v>
      </c>
      <c r="D31" s="52">
        <v>0</v>
      </c>
      <c r="F31" s="52">
        <v>0</v>
      </c>
      <c r="G31" s="12"/>
      <c r="H31" s="52">
        <v>0</v>
      </c>
      <c r="I31" s="12"/>
      <c r="J31" s="52">
        <v>0</v>
      </c>
      <c r="K31" s="12"/>
      <c r="L31" s="52">
        <v>0</v>
      </c>
      <c r="N31" s="7">
        <f>D31+F31+H31+J31+L31</f>
        <v>0</v>
      </c>
    </row>
    <row r="32" spans="1:14" x14ac:dyDescent="0.2">
      <c r="A32" s="32"/>
      <c r="B32" s="23" t="s">
        <v>39</v>
      </c>
      <c r="D32" s="10">
        <f>SUM(D30:D31)</f>
        <v>0</v>
      </c>
      <c r="F32" s="10">
        <f>SUM(F30:F31)</f>
        <v>0</v>
      </c>
      <c r="G32" s="12"/>
      <c r="H32" s="10">
        <f>SUM(H30:H31)</f>
        <v>0</v>
      </c>
      <c r="I32" s="12"/>
      <c r="J32" s="10">
        <f>SUM(J30:J31)</f>
        <v>0</v>
      </c>
      <c r="K32" s="12"/>
      <c r="L32" s="10">
        <f>SUM(L30:L31)</f>
        <v>0</v>
      </c>
      <c r="N32" s="8">
        <f>D32+F32+H32+J32+L32</f>
        <v>0</v>
      </c>
    </row>
    <row r="33" spans="1:14" x14ac:dyDescent="0.2">
      <c r="A33" s="32"/>
      <c r="B33" s="22" t="s">
        <v>131</v>
      </c>
      <c r="D33" s="42" t="str">
        <f>IF(D32='Exh A'!D38,"OK","ERROR")</f>
        <v>OK</v>
      </c>
      <c r="F33" s="42" t="str">
        <f>IF(F32='Exh A'!F38,"OK","ERROR")</f>
        <v>OK</v>
      </c>
      <c r="H33" s="42" t="str">
        <f>IF(H32='Exh A'!H38,"OK","ERROR")</f>
        <v>OK</v>
      </c>
      <c r="J33" s="42" t="str">
        <f>IF(J32='Exh A'!J38,"OK","ERROR")</f>
        <v>OK</v>
      </c>
      <c r="L33" s="42" t="str">
        <f>IF(L32='Exh A'!L38,"OK","ERROR")</f>
        <v>OK</v>
      </c>
    </row>
    <row r="34" spans="1:14" x14ac:dyDescent="0.2">
      <c r="A34" s="32"/>
      <c r="B34" s="22"/>
    </row>
    <row r="35" spans="1:14" x14ac:dyDescent="0.2">
      <c r="A35" s="32"/>
      <c r="B35" s="1" t="s">
        <v>71</v>
      </c>
    </row>
    <row r="36" spans="1:14" x14ac:dyDescent="0.2">
      <c r="A36" s="32">
        <v>260</v>
      </c>
      <c r="B36" s="3" t="s">
        <v>137</v>
      </c>
      <c r="D36" s="51">
        <v>0</v>
      </c>
      <c r="F36" s="51">
        <v>0</v>
      </c>
      <c r="G36" s="6"/>
      <c r="H36" s="51">
        <v>0</v>
      </c>
      <c r="I36" s="6"/>
      <c r="J36" s="51">
        <v>0</v>
      </c>
      <c r="K36" s="6"/>
      <c r="L36" s="51">
        <v>0</v>
      </c>
      <c r="N36" s="12">
        <f>D36+F36+H36+J36+L36</f>
        <v>0</v>
      </c>
    </row>
    <row r="37" spans="1:14" x14ac:dyDescent="0.2">
      <c r="A37" s="32">
        <v>261</v>
      </c>
      <c r="B37" s="3" t="s">
        <v>138</v>
      </c>
      <c r="D37" s="50">
        <v>0</v>
      </c>
      <c r="F37" s="50">
        <v>0</v>
      </c>
      <c r="G37" s="6"/>
      <c r="H37" s="50">
        <v>0</v>
      </c>
      <c r="I37" s="6"/>
      <c r="J37" s="50">
        <v>0</v>
      </c>
      <c r="K37" s="6"/>
      <c r="L37" s="50">
        <v>0</v>
      </c>
      <c r="N37" s="7">
        <f>D37+F37+H37+J37+L37</f>
        <v>0</v>
      </c>
    </row>
    <row r="38" spans="1:14" x14ac:dyDescent="0.2">
      <c r="A38" s="32"/>
      <c r="B38" s="23" t="s">
        <v>39</v>
      </c>
      <c r="D38" s="20">
        <f>SUM(D36:D37)</f>
        <v>0</v>
      </c>
      <c r="F38" s="20">
        <f>SUM(F36:F37)</f>
        <v>0</v>
      </c>
      <c r="G38" s="12"/>
      <c r="H38" s="20">
        <f>SUM(H36:H37)</f>
        <v>0</v>
      </c>
      <c r="I38" s="12"/>
      <c r="J38" s="20">
        <f>SUM(J36:J37)</f>
        <v>0</v>
      </c>
      <c r="K38" s="12"/>
      <c r="L38" s="20">
        <f>SUM(L36:L37)</f>
        <v>0</v>
      </c>
      <c r="N38" s="8">
        <f>D38+F38+H38+J38+L38</f>
        <v>0</v>
      </c>
    </row>
    <row r="39" spans="1:14" x14ac:dyDescent="0.2">
      <c r="A39" s="32"/>
      <c r="B39" s="22" t="s">
        <v>131</v>
      </c>
      <c r="D39" s="42" t="str">
        <f>IF(D38='Exh A'!D39,"OK","ERROR")</f>
        <v>OK</v>
      </c>
      <c r="F39" s="42" t="str">
        <f>IF(F38='Exh A'!F39,"OK","ERROR")</f>
        <v>OK</v>
      </c>
      <c r="H39" s="42" t="str">
        <f>IF(H38='Exh A'!H39,"OK","ERROR")</f>
        <v>OK</v>
      </c>
      <c r="J39" s="42" t="str">
        <f>IF(J38='Exh A'!J39,"OK","ERROR")</f>
        <v>OK</v>
      </c>
      <c r="L39" s="42" t="str">
        <f>IF(L38='Exh A'!L39,"OK","ERROR")</f>
        <v>OK</v>
      </c>
    </row>
    <row r="40" spans="1:14" x14ac:dyDescent="0.2">
      <c r="A40" s="32"/>
      <c r="B40" s="22"/>
      <c r="D40" s="42"/>
      <c r="F40" s="42"/>
      <c r="H40" s="42"/>
      <c r="J40" s="42"/>
      <c r="L40" s="42"/>
    </row>
    <row r="41" spans="1:14" x14ac:dyDescent="0.2">
      <c r="A41" s="32"/>
      <c r="B41" s="203" t="s">
        <v>497</v>
      </c>
    </row>
    <row r="42" spans="1:14" x14ac:dyDescent="0.2">
      <c r="A42" s="32">
        <v>260</v>
      </c>
      <c r="B42" s="204" t="s">
        <v>137</v>
      </c>
      <c r="D42" s="51">
        <v>0</v>
      </c>
      <c r="F42" s="51">
        <v>0</v>
      </c>
      <c r="G42" s="6"/>
      <c r="H42" s="51">
        <v>0</v>
      </c>
      <c r="I42" s="6"/>
      <c r="J42" s="51">
        <v>0</v>
      </c>
      <c r="K42" s="6"/>
      <c r="L42" s="51">
        <v>0</v>
      </c>
      <c r="N42" s="12">
        <f>D42+F42+H42+J42+L42</f>
        <v>0</v>
      </c>
    </row>
    <row r="43" spans="1:14" x14ac:dyDescent="0.2">
      <c r="A43" s="32">
        <v>261</v>
      </c>
      <c r="B43" s="204" t="s">
        <v>138</v>
      </c>
      <c r="D43" s="50">
        <v>0</v>
      </c>
      <c r="F43" s="50">
        <v>0</v>
      </c>
      <c r="G43" s="6"/>
      <c r="H43" s="50">
        <v>0</v>
      </c>
      <c r="I43" s="6"/>
      <c r="J43" s="50">
        <v>0</v>
      </c>
      <c r="K43" s="6"/>
      <c r="L43" s="50">
        <v>0</v>
      </c>
      <c r="N43" s="7">
        <f>D43+F43+H43+J43+L43</f>
        <v>0</v>
      </c>
    </row>
    <row r="44" spans="1:14" x14ac:dyDescent="0.2">
      <c r="A44" s="32"/>
      <c r="B44" s="23" t="s">
        <v>39</v>
      </c>
      <c r="D44" s="20">
        <f>SUM(D42:D43)</f>
        <v>0</v>
      </c>
      <c r="F44" s="20">
        <f>SUM(F42:F43)</f>
        <v>0</v>
      </c>
      <c r="G44" s="12"/>
      <c r="H44" s="20">
        <f>SUM(H42:H43)</f>
        <v>0</v>
      </c>
      <c r="I44" s="12"/>
      <c r="J44" s="20">
        <f>SUM(J42:J43)</f>
        <v>0</v>
      </c>
      <c r="K44" s="12"/>
      <c r="L44" s="20">
        <f>SUM(L42:L43)</f>
        <v>0</v>
      </c>
      <c r="N44" s="8">
        <f>D44+F44+H44+J44+L44</f>
        <v>0</v>
      </c>
    </row>
    <row r="45" spans="1:14" x14ac:dyDescent="0.2">
      <c r="A45" s="32"/>
      <c r="B45" s="22" t="s">
        <v>131</v>
      </c>
      <c r="D45" s="42" t="str">
        <f>IF(D44='Exh A'!D40,"OK","ERROR")</f>
        <v>OK</v>
      </c>
      <c r="F45" s="42" t="str">
        <f>IF(F44='Exh A'!F40,"OK","ERROR")</f>
        <v>OK</v>
      </c>
      <c r="H45" s="42" t="str">
        <f>IF(H44='Exh A'!H40,"OK","ERROR")</f>
        <v>OK</v>
      </c>
      <c r="J45" s="42" t="str">
        <f>IF(J44='Exh A'!J40,"OK","ERROR")</f>
        <v>OK</v>
      </c>
      <c r="L45" s="42" t="str">
        <f>IF(L44='Exh A'!L40,"OK","ERROR")</f>
        <v>OK</v>
      </c>
    </row>
    <row r="46" spans="1:14" x14ac:dyDescent="0.2">
      <c r="A46" s="32"/>
      <c r="B46" s="22"/>
    </row>
    <row r="47" spans="1:14" x14ac:dyDescent="0.2">
      <c r="A47" s="32"/>
      <c r="B47" s="1" t="s">
        <v>72</v>
      </c>
    </row>
    <row r="48" spans="1:14" x14ac:dyDescent="0.2">
      <c r="A48" s="32">
        <v>260</v>
      </c>
      <c r="B48" s="3" t="s">
        <v>137</v>
      </c>
      <c r="D48" s="51">
        <v>0</v>
      </c>
      <c r="F48" s="51">
        <v>0</v>
      </c>
      <c r="G48" s="6"/>
      <c r="H48" s="51">
        <v>0</v>
      </c>
      <c r="I48" s="6"/>
      <c r="J48" s="51">
        <v>0</v>
      </c>
      <c r="K48" s="6"/>
      <c r="L48" s="51">
        <v>0</v>
      </c>
      <c r="N48" s="12">
        <f>D48+F48+H48+J48+L48</f>
        <v>0</v>
      </c>
    </row>
    <row r="49" spans="1:14" x14ac:dyDescent="0.2">
      <c r="A49" s="32">
        <v>261</v>
      </c>
      <c r="B49" s="3" t="s">
        <v>138</v>
      </c>
      <c r="D49" s="50">
        <v>0</v>
      </c>
      <c r="F49" s="50">
        <v>0</v>
      </c>
      <c r="G49" s="6"/>
      <c r="H49" s="50">
        <v>0</v>
      </c>
      <c r="I49" s="6"/>
      <c r="J49" s="50">
        <v>0</v>
      </c>
      <c r="K49" s="6"/>
      <c r="L49" s="50">
        <v>0</v>
      </c>
      <c r="N49" s="7">
        <f>D49+F49+H49+J49+L49</f>
        <v>0</v>
      </c>
    </row>
    <row r="50" spans="1:14" x14ac:dyDescent="0.2">
      <c r="A50" s="32"/>
      <c r="B50" s="23" t="s">
        <v>39</v>
      </c>
      <c r="D50" s="20">
        <f>SUM(D48:D49)</f>
        <v>0</v>
      </c>
      <c r="F50" s="20">
        <f>SUM(F48:F49)</f>
        <v>0</v>
      </c>
      <c r="G50" s="12"/>
      <c r="H50" s="20">
        <f>SUM(H48:H49)</f>
        <v>0</v>
      </c>
      <c r="I50" s="12"/>
      <c r="J50" s="20">
        <f>SUM(J48:J49)</f>
        <v>0</v>
      </c>
      <c r="K50" s="12"/>
      <c r="L50" s="20">
        <f>SUM(L48:L49)</f>
        <v>0</v>
      </c>
      <c r="N50" s="8">
        <f>D50+F50+H50+J50+L50</f>
        <v>0</v>
      </c>
    </row>
    <row r="51" spans="1:14" x14ac:dyDescent="0.2">
      <c r="A51" s="32"/>
      <c r="B51" s="22" t="s">
        <v>131</v>
      </c>
      <c r="D51" s="42" t="str">
        <f>IF(D50='Exh A'!D41,"OK","ERROR")</f>
        <v>OK</v>
      </c>
      <c r="F51" s="42" t="str">
        <f>IF(F50='Exh A'!F41,"OK","ERROR")</f>
        <v>OK</v>
      </c>
      <c r="H51" s="42" t="str">
        <f>IF(H50='Exh A'!H41,"OK","ERROR")</f>
        <v>OK</v>
      </c>
      <c r="J51" s="42" t="str">
        <f>IF(J50='Exh A'!J41,"OK","ERROR")</f>
        <v>OK</v>
      </c>
      <c r="L51" s="42" t="str">
        <f>IF(L50='Exh A'!L41,"OK","ERROR")</f>
        <v>OK</v>
      </c>
    </row>
    <row r="52" spans="1:14" x14ac:dyDescent="0.2">
      <c r="A52" s="32"/>
      <c r="B52" s="22"/>
    </row>
    <row r="53" spans="1:14" x14ac:dyDescent="0.2">
      <c r="A53" s="32"/>
      <c r="B53" s="1" t="s">
        <v>73</v>
      </c>
    </row>
    <row r="54" spans="1:14" x14ac:dyDescent="0.2">
      <c r="A54" s="32">
        <v>260</v>
      </c>
      <c r="B54" s="3" t="s">
        <v>137</v>
      </c>
      <c r="D54" s="51">
        <v>0</v>
      </c>
      <c r="F54" s="51">
        <v>0</v>
      </c>
      <c r="G54" s="12"/>
      <c r="H54" s="51">
        <v>0</v>
      </c>
      <c r="I54" s="12"/>
      <c r="J54" s="51">
        <v>0</v>
      </c>
      <c r="K54" s="12"/>
      <c r="L54" s="51">
        <v>0</v>
      </c>
      <c r="N54" s="6">
        <f>D54+F54+H54+J54+L54</f>
        <v>0</v>
      </c>
    </row>
    <row r="55" spans="1:14" x14ac:dyDescent="0.2">
      <c r="A55" s="32">
        <v>261</v>
      </c>
      <c r="B55" s="3" t="s">
        <v>138</v>
      </c>
      <c r="D55" s="52">
        <v>0</v>
      </c>
      <c r="F55" s="52">
        <v>0</v>
      </c>
      <c r="G55" s="12"/>
      <c r="H55" s="52">
        <v>0</v>
      </c>
      <c r="I55" s="12"/>
      <c r="J55" s="52">
        <v>0</v>
      </c>
      <c r="K55" s="12"/>
      <c r="L55" s="52">
        <v>0</v>
      </c>
      <c r="N55" s="7">
        <f>D55+F55+H55+J55+L55</f>
        <v>0</v>
      </c>
    </row>
    <row r="56" spans="1:14" x14ac:dyDescent="0.2">
      <c r="A56" s="32"/>
      <c r="B56" s="23" t="s">
        <v>39</v>
      </c>
      <c r="D56" s="10">
        <f>SUM(D54:D55)</f>
        <v>0</v>
      </c>
      <c r="F56" s="10">
        <f>SUM(F54:F55)</f>
        <v>0</v>
      </c>
      <c r="G56" s="12"/>
      <c r="H56" s="10">
        <f>SUM(H54:H55)</f>
        <v>0</v>
      </c>
      <c r="I56" s="12"/>
      <c r="J56" s="10">
        <f>SUM(J54:J55)</f>
        <v>0</v>
      </c>
      <c r="K56" s="12"/>
      <c r="L56" s="10">
        <f>SUM(L54:L55)</f>
        <v>0</v>
      </c>
      <c r="N56" s="8">
        <f>D56+F56+H56+J56+L56</f>
        <v>0</v>
      </c>
    </row>
    <row r="57" spans="1:14" x14ac:dyDescent="0.2">
      <c r="A57" s="32"/>
      <c r="B57" s="22" t="s">
        <v>131</v>
      </c>
      <c r="D57" s="42" t="str">
        <f>IF(D56='Exh A'!D42,"OK","ERROR")</f>
        <v>OK</v>
      </c>
      <c r="F57" s="42" t="str">
        <f>IF(F56='Exh A'!F42,"OK","ERROR")</f>
        <v>OK</v>
      </c>
      <c r="H57" s="42" t="str">
        <f>IF(H56='Exh A'!H42,"OK","ERROR")</f>
        <v>OK</v>
      </c>
      <c r="J57" s="42" t="str">
        <f>IF(J56='Exh A'!J42,"OK","ERROR")</f>
        <v>OK</v>
      </c>
      <c r="L57" s="42" t="str">
        <f>IF(L56='Exh A'!L42,"OK","ERROR")</f>
        <v>OK</v>
      </c>
    </row>
    <row r="58" spans="1:14" x14ac:dyDescent="0.2">
      <c r="A58" s="32"/>
      <c r="B58" s="22"/>
    </row>
    <row r="59" spans="1:14" x14ac:dyDescent="0.2">
      <c r="A59" s="32"/>
      <c r="B59" s="1" t="s">
        <v>98</v>
      </c>
    </row>
    <row r="60" spans="1:14" x14ac:dyDescent="0.2">
      <c r="A60" s="32">
        <v>500</v>
      </c>
      <c r="B60" s="3" t="s">
        <v>139</v>
      </c>
      <c r="D60" s="51">
        <v>0</v>
      </c>
      <c r="F60" s="51">
        <v>0</v>
      </c>
      <c r="G60" s="12"/>
      <c r="H60" s="51">
        <v>0</v>
      </c>
      <c r="I60" s="12"/>
      <c r="J60" s="51">
        <v>0</v>
      </c>
      <c r="K60" s="12"/>
      <c r="L60" s="51">
        <v>0</v>
      </c>
      <c r="N60" s="6">
        <f>D60+F60+H60+J60+L60</f>
        <v>0</v>
      </c>
    </row>
    <row r="61" spans="1:14" x14ac:dyDescent="0.2">
      <c r="A61" s="32">
        <v>510</v>
      </c>
      <c r="B61" s="3" t="s">
        <v>140</v>
      </c>
      <c r="D61" s="51">
        <v>0</v>
      </c>
      <c r="F61" s="51">
        <v>0</v>
      </c>
      <c r="G61" s="12"/>
      <c r="H61" s="51">
        <v>0</v>
      </c>
      <c r="I61" s="12"/>
      <c r="J61" s="51">
        <v>0</v>
      </c>
      <c r="K61" s="12"/>
      <c r="L61" s="51">
        <v>0</v>
      </c>
      <c r="N61" s="6">
        <f>D61+F61+H61+J61+L61</f>
        <v>0</v>
      </c>
    </row>
    <row r="62" spans="1:14" x14ac:dyDescent="0.2">
      <c r="A62" s="32">
        <v>520</v>
      </c>
      <c r="B62" s="3" t="s">
        <v>141</v>
      </c>
      <c r="D62" s="52">
        <v>0</v>
      </c>
      <c r="F62" s="52">
        <v>0</v>
      </c>
      <c r="G62" s="12"/>
      <c r="H62" s="52">
        <v>0</v>
      </c>
      <c r="I62" s="12"/>
      <c r="J62" s="52">
        <v>0</v>
      </c>
      <c r="K62" s="12"/>
      <c r="L62" s="52">
        <v>0</v>
      </c>
      <c r="N62" s="7">
        <f>D62+F62+H62+J62+L62</f>
        <v>0</v>
      </c>
    </row>
    <row r="63" spans="1:14" x14ac:dyDescent="0.2">
      <c r="A63" s="32"/>
      <c r="B63" s="23" t="s">
        <v>39</v>
      </c>
      <c r="D63" s="20">
        <f>SUM(D60:D62)</f>
        <v>0</v>
      </c>
      <c r="F63" s="20">
        <f>SUM(F60:F62)</f>
        <v>0</v>
      </c>
      <c r="G63" s="12"/>
      <c r="H63" s="20">
        <f>SUM(H60:H62)</f>
        <v>0</v>
      </c>
      <c r="I63" s="12"/>
      <c r="J63" s="20">
        <f>SUM(J60:J62)</f>
        <v>0</v>
      </c>
      <c r="K63" s="12"/>
      <c r="L63" s="20">
        <f>SUM(L60:L62)</f>
        <v>0</v>
      </c>
      <c r="N63" s="8">
        <f>D63+F63+H63+J63+L63</f>
        <v>0</v>
      </c>
    </row>
    <row r="64" spans="1:14" x14ac:dyDescent="0.2">
      <c r="A64" s="32"/>
      <c r="B64" s="22" t="s">
        <v>142</v>
      </c>
      <c r="D64" s="42" t="str">
        <f>IF(D63='Exh B'!D9,"OK","ERROR")</f>
        <v>OK</v>
      </c>
      <c r="F64" s="42" t="str">
        <f>IF(F63='Exh B'!F9,"OK","ERROR")</f>
        <v>OK</v>
      </c>
      <c r="H64" s="42" t="str">
        <f>IF(H63='Exh B'!H9,"OK","ERROR")</f>
        <v>OK</v>
      </c>
      <c r="J64" s="42" t="str">
        <f>IF(J63='Exh B'!J9,"OK","ERROR")</f>
        <v>OK</v>
      </c>
      <c r="L64" s="42" t="str">
        <f>IF(L63='Exh B'!L9,"OK","ERROR")</f>
        <v>OK</v>
      </c>
    </row>
    <row r="65" spans="1:14" ht="18" customHeight="1" x14ac:dyDescent="0.2">
      <c r="A65" s="32"/>
      <c r="B65" s="22"/>
    </row>
    <row r="66" spans="1:14" x14ac:dyDescent="0.2">
      <c r="A66" s="314" t="s">
        <v>143</v>
      </c>
      <c r="B66" s="314"/>
    </row>
    <row r="67" spans="1:14" ht="12" customHeight="1" x14ac:dyDescent="0.2">
      <c r="A67" s="45"/>
      <c r="B67" s="45"/>
    </row>
    <row r="68" spans="1:14" ht="14.25" x14ac:dyDescent="0.2">
      <c r="A68" s="32"/>
      <c r="B68" s="1" t="s">
        <v>144</v>
      </c>
    </row>
    <row r="69" spans="1:14" x14ac:dyDescent="0.2">
      <c r="A69" s="32">
        <v>604</v>
      </c>
      <c r="B69" s="3" t="s">
        <v>145</v>
      </c>
      <c r="D69" s="51">
        <v>0</v>
      </c>
      <c r="F69" s="51">
        <v>0</v>
      </c>
      <c r="H69" s="51">
        <v>0</v>
      </c>
      <c r="J69" s="51">
        <v>0</v>
      </c>
      <c r="K69" s="12"/>
      <c r="L69" s="51">
        <v>0</v>
      </c>
      <c r="N69" s="6">
        <f>D69+F69+H69+J69+L69</f>
        <v>0</v>
      </c>
    </row>
    <row r="70" spans="1:14" x14ac:dyDescent="0.2">
      <c r="A70" s="32">
        <v>600</v>
      </c>
      <c r="B70" s="3" t="s">
        <v>146</v>
      </c>
      <c r="D70" s="51">
        <v>0</v>
      </c>
      <c r="F70" s="51">
        <v>0</v>
      </c>
      <c r="H70" s="51">
        <v>0</v>
      </c>
      <c r="J70" s="51">
        <v>0</v>
      </c>
      <c r="K70" s="12"/>
      <c r="L70" s="51">
        <v>0</v>
      </c>
      <c r="N70" s="6">
        <f>D70+F70+H70+J70+L70</f>
        <v>0</v>
      </c>
    </row>
    <row r="71" spans="1:14" x14ac:dyDescent="0.2">
      <c r="A71" s="32">
        <v>602</v>
      </c>
      <c r="B71" s="3" t="s">
        <v>147</v>
      </c>
      <c r="D71" s="52">
        <v>0</v>
      </c>
      <c r="F71" s="52">
        <v>0</v>
      </c>
      <c r="H71" s="52">
        <v>0</v>
      </c>
      <c r="J71" s="52">
        <v>0</v>
      </c>
      <c r="K71" s="12"/>
      <c r="L71" s="52">
        <v>0</v>
      </c>
      <c r="N71" s="7">
        <f>D71+F71+H71+J71+L71</f>
        <v>0</v>
      </c>
    </row>
    <row r="72" spans="1:14" x14ac:dyDescent="0.2">
      <c r="A72" s="32"/>
      <c r="B72" s="23" t="s">
        <v>39</v>
      </c>
      <c r="D72" s="20">
        <f>SUM(D69:D71)</f>
        <v>0</v>
      </c>
      <c r="F72" s="20">
        <f>SUM(F69:F71)</f>
        <v>0</v>
      </c>
      <c r="H72" s="20">
        <f>SUM(H69:H71)</f>
        <v>0</v>
      </c>
      <c r="J72" s="20">
        <f>SUM(J69:J71)</f>
        <v>0</v>
      </c>
      <c r="K72" s="12"/>
      <c r="L72" s="20">
        <f>SUM(L69:L71)</f>
        <v>0</v>
      </c>
      <c r="N72" s="8">
        <f>D72+F72+H72+J72+L72</f>
        <v>0</v>
      </c>
    </row>
    <row r="73" spans="1:14" x14ac:dyDescent="0.2">
      <c r="A73" s="32"/>
      <c r="B73" s="22" t="s">
        <v>142</v>
      </c>
      <c r="D73" s="42" t="str">
        <f>IF(D72='Exh B'!D21,"OK","ERROR")</f>
        <v>OK</v>
      </c>
      <c r="F73" s="42" t="str">
        <f>IF(F72='Exh B'!F21,"OK","ERROR")</f>
        <v>OK</v>
      </c>
      <c r="H73" s="42" t="str">
        <f>IF(H72='Exh B'!H21,"OK","ERROR")</f>
        <v>OK</v>
      </c>
      <c r="J73" s="42" t="str">
        <f>IF(J72='Exh B'!J21,"OK","ERROR")</f>
        <v>OK</v>
      </c>
      <c r="L73" s="42" t="str">
        <f>IF(L72='Exh B'!L21,"OK","ERROR")</f>
        <v>OK</v>
      </c>
    </row>
    <row r="74" spans="1:14" ht="18" customHeight="1" x14ac:dyDescent="0.2">
      <c r="A74" s="32"/>
      <c r="B74" s="22"/>
      <c r="D74" s="42"/>
      <c r="F74" s="42"/>
      <c r="H74" s="42"/>
      <c r="J74" s="42"/>
      <c r="L74" s="42"/>
    </row>
    <row r="75" spans="1:14" x14ac:dyDescent="0.2">
      <c r="A75" s="32"/>
      <c r="B75" s="177" t="s">
        <v>148</v>
      </c>
      <c r="D75" s="42"/>
      <c r="F75" s="42"/>
      <c r="H75" s="42"/>
      <c r="J75" s="42"/>
      <c r="L75" s="42"/>
    </row>
    <row r="76" spans="1:14" x14ac:dyDescent="0.2">
      <c r="A76" s="32"/>
      <c r="B76" s="177"/>
      <c r="D76" s="42"/>
      <c r="F76" s="42"/>
      <c r="H76" s="42"/>
      <c r="J76" s="42"/>
      <c r="L76" s="42"/>
    </row>
    <row r="77" spans="1:14" x14ac:dyDescent="0.2">
      <c r="A77" s="32"/>
      <c r="B77" s="1" t="s">
        <v>149</v>
      </c>
      <c r="D77" s="54" t="s">
        <v>150</v>
      </c>
      <c r="F77" s="54" t="s">
        <v>150</v>
      </c>
      <c r="H77" s="54" t="s">
        <v>150</v>
      </c>
      <c r="J77" s="54" t="s">
        <v>150</v>
      </c>
      <c r="L77" s="54" t="s">
        <v>150</v>
      </c>
    </row>
    <row r="78" spans="1:14" x14ac:dyDescent="0.2">
      <c r="A78" s="32"/>
    </row>
    <row r="79" spans="1:14" x14ac:dyDescent="0.2">
      <c r="A79" s="32"/>
      <c r="B79" s="58" t="s">
        <v>72</v>
      </c>
      <c r="D79" s="42"/>
      <c r="F79" s="42"/>
      <c r="H79" s="42"/>
      <c r="J79" s="42"/>
      <c r="L79" s="42"/>
    </row>
    <row r="80" spans="1:14" x14ac:dyDescent="0.2">
      <c r="A80" s="32"/>
      <c r="B80" s="3" t="s">
        <v>151</v>
      </c>
      <c r="D80" s="51">
        <v>0</v>
      </c>
      <c r="F80" s="51">
        <v>0</v>
      </c>
      <c r="G80" s="12"/>
      <c r="H80" s="51">
        <v>0</v>
      </c>
      <c r="I80" s="12"/>
      <c r="J80" s="51">
        <v>0</v>
      </c>
      <c r="K80" s="12"/>
      <c r="L80" s="51">
        <v>0</v>
      </c>
      <c r="N80" s="6">
        <f>D80+F80+H80+J80+L80</f>
        <v>0</v>
      </c>
    </row>
    <row r="81" spans="1:15" x14ac:dyDescent="0.2">
      <c r="A81" s="32"/>
      <c r="B81" s="3" t="s">
        <v>152</v>
      </c>
      <c r="D81" s="52">
        <v>0</v>
      </c>
      <c r="F81" s="52">
        <v>0</v>
      </c>
      <c r="G81" s="12"/>
      <c r="H81" s="52">
        <v>0</v>
      </c>
      <c r="I81" s="12"/>
      <c r="J81" s="52">
        <v>0</v>
      </c>
      <c r="K81" s="12"/>
      <c r="L81" s="52">
        <v>0</v>
      </c>
      <c r="N81" s="7">
        <f>D81+F81+H81+J81+L81</f>
        <v>0</v>
      </c>
    </row>
    <row r="82" spans="1:15" x14ac:dyDescent="0.2">
      <c r="A82" s="32"/>
      <c r="B82" s="23" t="s">
        <v>39</v>
      </c>
      <c r="D82" s="10">
        <f>SUM(D80:D81)</f>
        <v>0</v>
      </c>
      <c r="F82" s="10">
        <f>SUM(F80:F81)</f>
        <v>0</v>
      </c>
      <c r="G82" s="12"/>
      <c r="H82" s="10">
        <f>SUM(H80:H81)</f>
        <v>0</v>
      </c>
      <c r="I82" s="12"/>
      <c r="J82" s="10">
        <f>SUM(J80:J81)</f>
        <v>0</v>
      </c>
      <c r="K82" s="12"/>
      <c r="L82" s="10">
        <f>SUM(L80:L81)</f>
        <v>0</v>
      </c>
      <c r="N82" s="7">
        <f>D82+F82+H82+J82+L82</f>
        <v>0</v>
      </c>
    </row>
    <row r="83" spans="1:15" x14ac:dyDescent="0.2">
      <c r="A83" s="32"/>
      <c r="B83" s="22" t="s">
        <v>131</v>
      </c>
      <c r="D83" s="42" t="str">
        <f>IF(D82='Exh A'!D41,"OK","ERROR")</f>
        <v>OK</v>
      </c>
      <c r="F83" s="42" t="str">
        <f>IF(F82='Exh A'!F41,"OK","ERROR")</f>
        <v>OK</v>
      </c>
      <c r="H83" s="42" t="str">
        <f>IF(H82='Exh A'!H41,"OK","ERROR")</f>
        <v>OK</v>
      </c>
      <c r="J83" s="42" t="str">
        <f>IF(J82='Exh A'!J41,"OK","ERROR")</f>
        <v>OK</v>
      </c>
      <c r="L83" s="42" t="str">
        <f>IF(L82='Exh A'!L41,"OK","ERROR")</f>
        <v>OK</v>
      </c>
    </row>
    <row r="84" spans="1:15" x14ac:dyDescent="0.2">
      <c r="A84" s="32"/>
      <c r="B84" s="179"/>
      <c r="D84" s="42"/>
      <c r="F84" s="42"/>
      <c r="H84" s="42"/>
      <c r="J84" s="42"/>
      <c r="L84" s="42"/>
    </row>
    <row r="85" spans="1:15" x14ac:dyDescent="0.2">
      <c r="A85" s="32"/>
      <c r="B85" s="58" t="s">
        <v>73</v>
      </c>
      <c r="D85" s="42"/>
      <c r="F85" s="42"/>
      <c r="H85" s="42"/>
      <c r="J85" s="42"/>
      <c r="L85" s="42"/>
    </row>
    <row r="86" spans="1:15" x14ac:dyDescent="0.2">
      <c r="A86" s="32"/>
      <c r="B86" s="3" t="s">
        <v>153</v>
      </c>
      <c r="D86" s="51">
        <v>0</v>
      </c>
      <c r="F86" s="51">
        <v>0</v>
      </c>
      <c r="G86" s="12"/>
      <c r="H86" s="51">
        <v>0</v>
      </c>
      <c r="I86" s="12"/>
      <c r="J86" s="51">
        <v>0</v>
      </c>
      <c r="K86" s="12"/>
      <c r="L86" s="51">
        <v>0</v>
      </c>
      <c r="N86" s="6">
        <f>D86+F86+H86+J86+L86</f>
        <v>0</v>
      </c>
    </row>
    <row r="87" spans="1:15" x14ac:dyDescent="0.2">
      <c r="A87" s="32"/>
      <c r="B87" s="3" t="s">
        <v>154</v>
      </c>
      <c r="D87" s="52">
        <v>0</v>
      </c>
      <c r="F87" s="52">
        <v>0</v>
      </c>
      <c r="G87" s="12"/>
      <c r="H87" s="52">
        <v>0</v>
      </c>
      <c r="I87" s="12"/>
      <c r="J87" s="52">
        <v>0</v>
      </c>
      <c r="K87" s="12"/>
      <c r="L87" s="52">
        <v>0</v>
      </c>
      <c r="N87" s="7">
        <f>D87+F87+H87+J87+L87</f>
        <v>0</v>
      </c>
    </row>
    <row r="88" spans="1:15" x14ac:dyDescent="0.2">
      <c r="A88" s="32"/>
      <c r="B88" s="23" t="s">
        <v>39</v>
      </c>
      <c r="D88" s="10">
        <f>SUM(D86:D87)</f>
        <v>0</v>
      </c>
      <c r="F88" s="10">
        <f>SUM(F86:F87)</f>
        <v>0</v>
      </c>
      <c r="G88" s="12"/>
      <c r="H88" s="10">
        <f>SUM(H86:H87)</f>
        <v>0</v>
      </c>
      <c r="I88" s="12"/>
      <c r="J88" s="10">
        <f>SUM(J86:J87)</f>
        <v>0</v>
      </c>
      <c r="K88" s="12"/>
      <c r="L88" s="10">
        <f>SUM(L86:L87)</f>
        <v>0</v>
      </c>
      <c r="N88" s="7">
        <f>D88+F88+H88+J88+L88</f>
        <v>0</v>
      </c>
    </row>
    <row r="89" spans="1:15" x14ac:dyDescent="0.2">
      <c r="A89" s="32"/>
      <c r="B89" s="22" t="s">
        <v>131</v>
      </c>
      <c r="D89" s="42" t="str">
        <f>IF(D88='Exh A'!D42,"OK","ERROR")</f>
        <v>OK</v>
      </c>
      <c r="F89" s="42" t="str">
        <f>IF(F88='Exh A'!F42,"OK","ERROR")</f>
        <v>OK</v>
      </c>
      <c r="H89" s="42" t="str">
        <f>IF(H88='Exh A'!H42,"OK","ERROR")</f>
        <v>OK</v>
      </c>
      <c r="J89" s="42" t="str">
        <f>IF(J88='Exh A'!J42,"OK","ERROR")</f>
        <v>OK</v>
      </c>
      <c r="L89" s="42" t="str">
        <f>IF(L88='Exh A'!L42,"OK","ERROR")</f>
        <v>OK</v>
      </c>
    </row>
    <row r="90" spans="1:15" x14ac:dyDescent="0.2">
      <c r="A90" s="32"/>
      <c r="B90" s="179"/>
      <c r="D90" s="42"/>
      <c r="F90" s="42"/>
      <c r="H90" s="42"/>
      <c r="J90" s="42"/>
      <c r="L90" s="42"/>
    </row>
    <row r="91" spans="1:15" ht="14.25" x14ac:dyDescent="0.2">
      <c r="A91" s="32"/>
      <c r="B91" s="58" t="s">
        <v>155</v>
      </c>
      <c r="D91" s="51"/>
      <c r="F91" s="51"/>
      <c r="H91" s="51"/>
      <c r="J91" s="51"/>
      <c r="L91" s="51"/>
      <c r="N91" s="6"/>
    </row>
    <row r="92" spans="1:15" x14ac:dyDescent="0.2">
      <c r="A92" s="32"/>
      <c r="B92" s="3" t="s">
        <v>156</v>
      </c>
      <c r="D92" s="51">
        <v>0</v>
      </c>
      <c r="F92" s="51">
        <v>0</v>
      </c>
      <c r="H92" s="51">
        <v>0</v>
      </c>
      <c r="J92" s="51">
        <v>0</v>
      </c>
      <c r="L92" s="51">
        <v>0</v>
      </c>
      <c r="N92" s="6">
        <f>D92+F92+H92+J92+L92</f>
        <v>0</v>
      </c>
    </row>
    <row r="93" spans="1:15" x14ac:dyDescent="0.2">
      <c r="A93" s="32"/>
      <c r="B93" s="3" t="s">
        <v>157</v>
      </c>
      <c r="D93" s="52">
        <v>0</v>
      </c>
      <c r="F93" s="52">
        <v>0</v>
      </c>
      <c r="H93" s="52">
        <v>0</v>
      </c>
      <c r="J93" s="52">
        <v>0</v>
      </c>
      <c r="L93" s="52">
        <v>0</v>
      </c>
      <c r="N93" s="7">
        <f>D93+F93+H93+J93+L93</f>
        <v>0</v>
      </c>
    </row>
    <row r="94" spans="1:15" x14ac:dyDescent="0.2">
      <c r="A94" s="32"/>
      <c r="B94" s="23" t="s">
        <v>39</v>
      </c>
      <c r="D94" s="10">
        <f>SUM(D92:D93)</f>
        <v>0</v>
      </c>
      <c r="F94" s="10">
        <f>SUM(F92:F93)</f>
        <v>0</v>
      </c>
      <c r="H94" s="10">
        <f>SUM(H92:H93)</f>
        <v>0</v>
      </c>
      <c r="J94" s="10">
        <f>SUM(J92:J93)</f>
        <v>0</v>
      </c>
      <c r="L94" s="10">
        <f>SUM(L92:L93)</f>
        <v>0</v>
      </c>
      <c r="N94" s="8">
        <f>D94+F94+H94+J94+L94</f>
        <v>0</v>
      </c>
    </row>
    <row r="95" spans="1:15" x14ac:dyDescent="0.2">
      <c r="A95" s="32"/>
      <c r="B95" s="23"/>
      <c r="D95" s="12"/>
      <c r="F95" s="12"/>
      <c r="H95" s="12"/>
      <c r="J95" s="12"/>
      <c r="L95" s="12"/>
      <c r="N95" s="6"/>
    </row>
    <row r="96" spans="1:15" ht="14.25" x14ac:dyDescent="0.2">
      <c r="A96" s="32"/>
      <c r="B96" s="1" t="s">
        <v>158</v>
      </c>
      <c r="C96" s="153"/>
      <c r="D96" s="154"/>
      <c r="E96" s="153"/>
      <c r="F96" s="154"/>
      <c r="G96" s="153"/>
      <c r="H96" s="154"/>
      <c r="I96" s="153"/>
      <c r="J96" s="154"/>
      <c r="K96" s="153"/>
      <c r="L96" s="154"/>
      <c r="M96" s="153"/>
      <c r="N96" s="153"/>
      <c r="O96" s="152"/>
    </row>
    <row r="97" spans="1:15" x14ac:dyDescent="0.2">
      <c r="A97" s="32"/>
      <c r="B97" s="189" t="s">
        <v>159</v>
      </c>
      <c r="C97" s="153"/>
      <c r="D97" s="160">
        <v>0</v>
      </c>
      <c r="E97" s="190"/>
      <c r="F97" s="161">
        <v>0</v>
      </c>
      <c r="G97" s="190"/>
      <c r="H97" s="161">
        <v>0</v>
      </c>
      <c r="I97" s="190"/>
      <c r="J97" s="161">
        <v>0</v>
      </c>
      <c r="K97" s="190"/>
      <c r="L97" s="161">
        <v>0</v>
      </c>
      <c r="M97" s="173"/>
      <c r="N97" s="191">
        <f>D97+F97+H97+J97+L97</f>
        <v>0</v>
      </c>
      <c r="O97" s="152"/>
    </row>
    <row r="98" spans="1:15" x14ac:dyDescent="0.2">
      <c r="A98" s="32"/>
      <c r="B98" s="189" t="s">
        <v>160</v>
      </c>
      <c r="D98" s="162">
        <v>0</v>
      </c>
      <c r="E98" s="51"/>
      <c r="F98" s="163">
        <v>0</v>
      </c>
      <c r="G98" s="51"/>
      <c r="H98" s="163">
        <v>0</v>
      </c>
      <c r="I98" s="51"/>
      <c r="J98" s="163">
        <v>0</v>
      </c>
      <c r="K98" s="51"/>
      <c r="L98" s="163">
        <v>0</v>
      </c>
      <c r="M98" s="51"/>
      <c r="N98" s="192">
        <f>D98+F98+H98+J98+L98</f>
        <v>0</v>
      </c>
      <c r="O98" s="152"/>
    </row>
    <row r="99" spans="1:15" x14ac:dyDescent="0.2">
      <c r="A99" s="32"/>
      <c r="B99" s="189"/>
      <c r="D99" s="155">
        <f>SUM(D97:D98)</f>
        <v>0</v>
      </c>
      <c r="E99" s="51"/>
      <c r="F99" s="156">
        <f>SUM(F97:F98)</f>
        <v>0</v>
      </c>
      <c r="G99" s="51"/>
      <c r="H99" s="156">
        <f>SUM(H97:H98)</f>
        <v>0</v>
      </c>
      <c r="I99" s="51"/>
      <c r="J99" s="156">
        <f>SUM(J97:J98)</f>
        <v>0</v>
      </c>
      <c r="K99" s="51"/>
      <c r="L99" s="156">
        <f>SUM(L97:L98)</f>
        <v>0</v>
      </c>
      <c r="M99" s="51"/>
      <c r="N99" s="193">
        <f>SUM(N97:N98)</f>
        <v>0</v>
      </c>
      <c r="O99" s="152"/>
    </row>
    <row r="100" spans="1:15" x14ac:dyDescent="0.2">
      <c r="A100" s="32"/>
      <c r="B100" s="22"/>
      <c r="D100" s="42" t="str">
        <f>IF(D99='Exh A'!D48,"OK","Explain Further on 'Comments' tab")</f>
        <v>OK</v>
      </c>
      <c r="E100" s="42"/>
      <c r="F100" s="42" t="str">
        <f>IF(F99='Exh A'!F48,"OK","Explain Further on 'Comments' tab")</f>
        <v>OK</v>
      </c>
      <c r="G100" s="42"/>
      <c r="H100" s="42" t="str">
        <f>IF(H99='Exh A'!H48,"OK","Explain Further on 'Comments' tab")</f>
        <v>OK</v>
      </c>
      <c r="I100" s="42"/>
      <c r="J100" s="42" t="str">
        <f>IF(J99='Exh A'!J48,"OK","Explain Further on 'Comments' tab")</f>
        <v>OK</v>
      </c>
      <c r="K100" s="42"/>
      <c r="L100" s="42" t="str">
        <f>IF(L99='Exh A'!L48,"OK","Explain Further on 'Comments' tab")</f>
        <v>OK</v>
      </c>
      <c r="M100" s="42"/>
      <c r="N100" s="42" t="str">
        <f>IF(N99='Exh A'!N48,"OK","Explain Further on 'Comments' tab")</f>
        <v>OK</v>
      </c>
      <c r="O100" s="152"/>
    </row>
    <row r="101" spans="1:15" x14ac:dyDescent="0.2">
      <c r="A101" s="32"/>
      <c r="B101" s="22"/>
      <c r="D101" s="34"/>
      <c r="F101" s="34"/>
      <c r="H101" s="34"/>
      <c r="J101" s="34"/>
      <c r="L101" s="34"/>
    </row>
    <row r="102" spans="1:15" ht="14.25" x14ac:dyDescent="0.2">
      <c r="A102" s="32"/>
      <c r="B102" s="28" t="s">
        <v>161</v>
      </c>
      <c r="C102" s="14"/>
      <c r="D102" s="14"/>
      <c r="E102" s="14"/>
      <c r="F102" s="14"/>
      <c r="G102" s="14"/>
      <c r="H102" s="14"/>
      <c r="I102" s="14"/>
      <c r="J102" s="14"/>
      <c r="K102" s="14"/>
      <c r="L102" s="14"/>
      <c r="M102" s="14"/>
      <c r="N102" s="14"/>
    </row>
    <row r="103" spans="1:15" x14ac:dyDescent="0.2">
      <c r="A103" s="32"/>
      <c r="B103" s="15" t="s">
        <v>162</v>
      </c>
      <c r="C103" s="14"/>
      <c r="D103" s="14"/>
      <c r="E103" s="14"/>
      <c r="F103" s="14"/>
      <c r="G103" s="14"/>
      <c r="H103" s="14"/>
      <c r="I103" s="14"/>
      <c r="J103" s="14"/>
      <c r="K103" s="14"/>
      <c r="L103" s="14"/>
      <c r="M103" s="14"/>
      <c r="N103" s="14"/>
    </row>
    <row r="104" spans="1:15" x14ac:dyDescent="0.2">
      <c r="A104" s="32"/>
      <c r="B104" s="16" t="s">
        <v>163</v>
      </c>
      <c r="C104" s="14"/>
      <c r="D104" s="29">
        <f>'Exh A'!D25</f>
        <v>0</v>
      </c>
      <c r="E104" s="14"/>
      <c r="F104" s="29">
        <f>'Exh A'!F25</f>
        <v>0</v>
      </c>
      <c r="G104" s="18"/>
      <c r="H104" s="29">
        <f>'Exh A'!H25</f>
        <v>0</v>
      </c>
      <c r="I104" s="18"/>
      <c r="J104" s="29">
        <f>'Exh A'!J25</f>
        <v>0</v>
      </c>
      <c r="K104" s="18"/>
      <c r="L104" s="29">
        <f>'Exh A'!L25</f>
        <v>0</v>
      </c>
      <c r="M104" s="14"/>
      <c r="N104" s="29">
        <f t="shared" ref="N104:N109" si="0">D104+F104+H104+J104+L104</f>
        <v>0</v>
      </c>
    </row>
    <row r="105" spans="1:15" x14ac:dyDescent="0.2">
      <c r="A105" s="32"/>
      <c r="B105" s="16" t="s">
        <v>164</v>
      </c>
      <c r="C105" s="14"/>
      <c r="D105" s="18">
        <f>'Exh A'!D39</f>
        <v>0</v>
      </c>
      <c r="E105" s="14"/>
      <c r="F105" s="18">
        <f>'Exh A'!F39</f>
        <v>0</v>
      </c>
      <c r="G105" s="18"/>
      <c r="H105" s="18">
        <f>'Exh A'!H39</f>
        <v>0</v>
      </c>
      <c r="I105" s="18"/>
      <c r="J105" s="18">
        <f>'Exh A'!J39</f>
        <v>0</v>
      </c>
      <c r="K105" s="18"/>
      <c r="L105" s="18">
        <f>'Exh A'!L39</f>
        <v>0</v>
      </c>
      <c r="M105" s="14"/>
      <c r="N105" s="18">
        <f t="shared" si="0"/>
        <v>0</v>
      </c>
    </row>
    <row r="106" spans="1:15" x14ac:dyDescent="0.2">
      <c r="A106" s="32"/>
      <c r="B106" s="16" t="s">
        <v>165</v>
      </c>
      <c r="C106" s="14"/>
      <c r="D106" s="18">
        <f>D80</f>
        <v>0</v>
      </c>
      <c r="E106" s="14"/>
      <c r="F106" s="18">
        <f>F80</f>
        <v>0</v>
      </c>
      <c r="G106" s="18"/>
      <c r="H106" s="18">
        <f>H80</f>
        <v>0</v>
      </c>
      <c r="I106" s="18"/>
      <c r="J106" s="18">
        <f>J80</f>
        <v>0</v>
      </c>
      <c r="K106" s="18"/>
      <c r="L106" s="18">
        <f>L80</f>
        <v>0</v>
      </c>
      <c r="M106" s="14"/>
      <c r="N106" s="18">
        <f t="shared" si="0"/>
        <v>0</v>
      </c>
    </row>
    <row r="107" spans="1:15" x14ac:dyDescent="0.2">
      <c r="A107" s="32"/>
      <c r="B107" s="16" t="s">
        <v>166</v>
      </c>
      <c r="C107" s="14"/>
      <c r="D107" s="18">
        <f>D86</f>
        <v>0</v>
      </c>
      <c r="E107" s="14"/>
      <c r="F107" s="18">
        <f>F86</f>
        <v>0</v>
      </c>
      <c r="G107" s="18"/>
      <c r="H107" s="18">
        <f>H86</f>
        <v>0</v>
      </c>
      <c r="I107" s="18"/>
      <c r="J107" s="18">
        <f>J86</f>
        <v>0</v>
      </c>
      <c r="K107" s="18"/>
      <c r="L107" s="18">
        <f>L86</f>
        <v>0</v>
      </c>
      <c r="M107" s="14"/>
      <c r="N107" s="18">
        <f t="shared" si="0"/>
        <v>0</v>
      </c>
    </row>
    <row r="108" spans="1:15" x14ac:dyDescent="0.2">
      <c r="A108" s="32"/>
      <c r="B108" s="16" t="s">
        <v>167</v>
      </c>
      <c r="C108" s="14"/>
      <c r="D108" s="19">
        <f>D92</f>
        <v>0</v>
      </c>
      <c r="E108" s="14"/>
      <c r="F108" s="19">
        <f>F92</f>
        <v>0</v>
      </c>
      <c r="G108" s="18"/>
      <c r="H108" s="19">
        <f>H92</f>
        <v>0</v>
      </c>
      <c r="I108" s="18"/>
      <c r="J108" s="19">
        <f>J92</f>
        <v>0</v>
      </c>
      <c r="K108" s="18"/>
      <c r="L108" s="19">
        <f>L92</f>
        <v>0</v>
      </c>
      <c r="M108" s="14"/>
      <c r="N108" s="18">
        <f t="shared" si="0"/>
        <v>0</v>
      </c>
    </row>
    <row r="109" spans="1:15" x14ac:dyDescent="0.2">
      <c r="A109" s="32"/>
      <c r="B109" s="17" t="s">
        <v>162</v>
      </c>
      <c r="C109" s="14"/>
      <c r="D109" s="61">
        <f>D104-D105-D106-D107+D108</f>
        <v>0</v>
      </c>
      <c r="E109" s="14"/>
      <c r="F109" s="61">
        <f>F104-F105-F106-F107+F108</f>
        <v>0</v>
      </c>
      <c r="G109" s="18"/>
      <c r="H109" s="61">
        <f>H104-H105-H106-H107+H108</f>
        <v>0</v>
      </c>
      <c r="I109" s="29"/>
      <c r="J109" s="61">
        <f>J104-J105-J106-J107+J108</f>
        <v>0</v>
      </c>
      <c r="K109" s="18"/>
      <c r="L109" s="61">
        <f>L104-L105-L106-L107+L108</f>
        <v>0</v>
      </c>
      <c r="M109" s="14"/>
      <c r="N109" s="61">
        <f t="shared" si="0"/>
        <v>0</v>
      </c>
    </row>
    <row r="110" spans="1:15" x14ac:dyDescent="0.2">
      <c r="A110" s="32"/>
      <c r="B110" s="17"/>
      <c r="C110" s="14"/>
      <c r="D110" s="18"/>
      <c r="E110" s="14"/>
      <c r="F110" s="18"/>
      <c r="G110" s="18"/>
      <c r="H110" s="18"/>
      <c r="I110" s="18"/>
      <c r="J110" s="18"/>
      <c r="K110" s="18"/>
      <c r="L110" s="18"/>
      <c r="M110" s="14"/>
      <c r="N110" s="18"/>
    </row>
    <row r="111" spans="1:15" x14ac:dyDescent="0.2">
      <c r="A111" s="32"/>
      <c r="B111" s="15" t="s">
        <v>168</v>
      </c>
      <c r="C111" s="14"/>
      <c r="D111" s="18"/>
      <c r="E111" s="14"/>
      <c r="F111" s="18"/>
      <c r="G111" s="18"/>
      <c r="H111" s="18"/>
      <c r="I111" s="18"/>
      <c r="J111" s="18"/>
      <c r="K111" s="18"/>
      <c r="L111" s="18"/>
      <c r="M111" s="14"/>
      <c r="N111" s="18"/>
    </row>
    <row r="112" spans="1:15" x14ac:dyDescent="0.2">
      <c r="A112" s="32"/>
      <c r="B112" s="3" t="s">
        <v>169</v>
      </c>
      <c r="D112" s="12">
        <f>D98</f>
        <v>0</v>
      </c>
      <c r="E112" s="157"/>
      <c r="F112" s="12">
        <f>F98</f>
        <v>0</v>
      </c>
      <c r="G112" s="158"/>
      <c r="H112" s="12">
        <f>H98</f>
        <v>0</v>
      </c>
      <c r="I112" s="158"/>
      <c r="J112" s="12">
        <f>J98</f>
        <v>0</v>
      </c>
      <c r="K112" s="158"/>
      <c r="L112" s="12">
        <f>L98</f>
        <v>0</v>
      </c>
      <c r="N112" s="12">
        <f>D112+F112+H112+J112+L112</f>
        <v>0</v>
      </c>
      <c r="O112" s="152"/>
    </row>
    <row r="113" spans="1:14" x14ac:dyDescent="0.2">
      <c r="A113" s="32"/>
      <c r="B113" s="16" t="s">
        <v>170</v>
      </c>
      <c r="C113" s="14"/>
      <c r="D113" s="18">
        <f>D18</f>
        <v>0</v>
      </c>
      <c r="E113" s="60"/>
      <c r="F113" s="18">
        <f>F18</f>
        <v>0</v>
      </c>
      <c r="G113" s="59"/>
      <c r="H113" s="18">
        <f>H18</f>
        <v>0</v>
      </c>
      <c r="I113" s="59"/>
      <c r="J113" s="18">
        <f>J18</f>
        <v>0</v>
      </c>
      <c r="K113" s="59"/>
      <c r="L113" s="18">
        <f>L18</f>
        <v>0</v>
      </c>
      <c r="M113" s="14"/>
      <c r="N113" s="18">
        <f>D113+F113+H113+J113+L113</f>
        <v>0</v>
      </c>
    </row>
    <row r="114" spans="1:14" x14ac:dyDescent="0.2">
      <c r="A114" s="32"/>
      <c r="B114" s="16" t="s">
        <v>171</v>
      </c>
      <c r="C114" s="14"/>
      <c r="D114" s="18">
        <f>D19</f>
        <v>0</v>
      </c>
      <c r="E114" s="60"/>
      <c r="F114" s="18">
        <f>F19</f>
        <v>0</v>
      </c>
      <c r="G114" s="59"/>
      <c r="H114" s="18">
        <f>H19</f>
        <v>0</v>
      </c>
      <c r="I114" s="59"/>
      <c r="J114" s="18">
        <f>J19</f>
        <v>0</v>
      </c>
      <c r="K114" s="59"/>
      <c r="L114" s="18">
        <f>L19</f>
        <v>0</v>
      </c>
      <c r="M114" s="14"/>
      <c r="N114" s="19">
        <f>D114+F114+H114+J114+L114</f>
        <v>0</v>
      </c>
    </row>
    <row r="115" spans="1:14" x14ac:dyDescent="0.2">
      <c r="A115" s="32"/>
      <c r="B115" s="17" t="s">
        <v>172</v>
      </c>
      <c r="C115" s="14"/>
      <c r="D115" s="61">
        <f>D112-D113-D114</f>
        <v>0</v>
      </c>
      <c r="E115" s="60"/>
      <c r="F115" s="61">
        <f>F112-F113-F114</f>
        <v>0</v>
      </c>
      <c r="G115" s="59"/>
      <c r="H115" s="61">
        <f>H112-H113-H114</f>
        <v>0</v>
      </c>
      <c r="I115" s="59"/>
      <c r="J115" s="61">
        <f>J112-J113-J114</f>
        <v>0</v>
      </c>
      <c r="K115" s="59"/>
      <c r="L115" s="61">
        <f>L112-L113-L114</f>
        <v>0</v>
      </c>
      <c r="M115" s="14"/>
      <c r="N115" s="19">
        <f>D115+F115+H115+J115+L115</f>
        <v>0</v>
      </c>
    </row>
    <row r="116" spans="1:14" x14ac:dyDescent="0.2">
      <c r="A116" s="32"/>
      <c r="B116" s="14"/>
      <c r="C116" s="14"/>
      <c r="D116" s="14"/>
      <c r="E116" s="14"/>
      <c r="F116" s="14"/>
      <c r="G116" s="14"/>
      <c r="H116" s="14"/>
      <c r="I116" s="14"/>
      <c r="J116" s="14"/>
      <c r="K116" s="14"/>
      <c r="L116" s="14"/>
      <c r="M116" s="14"/>
      <c r="N116" s="14"/>
    </row>
    <row r="117" spans="1:14" x14ac:dyDescent="0.2">
      <c r="A117" s="32"/>
      <c r="B117" s="21" t="s">
        <v>173</v>
      </c>
      <c r="C117" s="14"/>
      <c r="D117" s="14"/>
      <c r="E117" s="14"/>
      <c r="F117" s="14"/>
      <c r="G117" s="14"/>
      <c r="H117" s="14"/>
      <c r="I117" s="14"/>
      <c r="J117" s="14"/>
      <c r="K117" s="14"/>
      <c r="L117" s="14"/>
      <c r="M117" s="14"/>
      <c r="N117" s="14"/>
    </row>
    <row r="118" spans="1:14" x14ac:dyDescent="0.2">
      <c r="A118" s="32"/>
      <c r="B118" s="16" t="s">
        <v>174</v>
      </c>
      <c r="C118" s="14"/>
      <c r="D118" s="18">
        <f>'Exh A'!D49</f>
        <v>0</v>
      </c>
      <c r="E118" s="14"/>
      <c r="F118" s="18">
        <f>'Exh A'!F49</f>
        <v>0</v>
      </c>
      <c r="G118" s="18"/>
      <c r="H118" s="18">
        <f>'Exh A'!H49</f>
        <v>0</v>
      </c>
      <c r="I118" s="18"/>
      <c r="J118" s="18">
        <f>'Exh A'!J49</f>
        <v>0</v>
      </c>
      <c r="K118" s="18"/>
      <c r="L118" s="18">
        <f>'Exh A'!L49</f>
        <v>0</v>
      </c>
      <c r="M118" s="14"/>
      <c r="N118" s="18">
        <f>D118+F118+H118+J118+L118</f>
        <v>0</v>
      </c>
    </row>
    <row r="119" spans="1:14" x14ac:dyDescent="0.2">
      <c r="A119" s="32"/>
      <c r="B119" s="16" t="s">
        <v>175</v>
      </c>
      <c r="C119" s="14"/>
      <c r="D119" s="18">
        <f>D109</f>
        <v>0</v>
      </c>
      <c r="E119" s="14"/>
      <c r="F119" s="18">
        <f>F109</f>
        <v>0</v>
      </c>
      <c r="G119" s="18"/>
      <c r="H119" s="18">
        <f>H109</f>
        <v>0</v>
      </c>
      <c r="I119" s="18"/>
      <c r="J119" s="18">
        <f>J109</f>
        <v>0</v>
      </c>
      <c r="K119" s="18"/>
      <c r="L119" s="18">
        <f>L109</f>
        <v>0</v>
      </c>
      <c r="M119" s="14"/>
      <c r="N119" s="18">
        <f>D119+F119+H119+J119+L119</f>
        <v>0</v>
      </c>
    </row>
    <row r="120" spans="1:14" x14ac:dyDescent="0.2">
      <c r="A120" s="32"/>
      <c r="B120" s="16" t="s">
        <v>176</v>
      </c>
      <c r="C120" s="14"/>
      <c r="D120" s="18">
        <f>D115</f>
        <v>0</v>
      </c>
      <c r="E120" s="14"/>
      <c r="F120" s="18">
        <f>F115</f>
        <v>0</v>
      </c>
      <c r="G120" s="18"/>
      <c r="H120" s="18">
        <f>H115</f>
        <v>0</v>
      </c>
      <c r="I120" s="18"/>
      <c r="J120" s="18">
        <f>J115</f>
        <v>0</v>
      </c>
      <c r="K120" s="18"/>
      <c r="L120" s="18">
        <f>L115</f>
        <v>0</v>
      </c>
      <c r="M120" s="14"/>
      <c r="N120" s="18">
        <f>D120+F120+H120+J120+L120</f>
        <v>0</v>
      </c>
    </row>
    <row r="121" spans="1:14" x14ac:dyDescent="0.2">
      <c r="A121" s="32"/>
      <c r="B121" s="16" t="s">
        <v>177</v>
      </c>
      <c r="C121" s="14"/>
      <c r="D121" s="19">
        <f>D97</f>
        <v>0</v>
      </c>
      <c r="E121" s="14"/>
      <c r="F121" s="19">
        <f>F97</f>
        <v>0</v>
      </c>
      <c r="G121" s="18"/>
      <c r="H121" s="19">
        <f>H97</f>
        <v>0</v>
      </c>
      <c r="I121" s="18"/>
      <c r="J121" s="19">
        <f>J97</f>
        <v>0</v>
      </c>
      <c r="K121" s="18"/>
      <c r="L121" s="19">
        <f>L97</f>
        <v>0</v>
      </c>
      <c r="M121" s="14"/>
      <c r="N121" s="19">
        <f>D121+F121+H121+J121+L121</f>
        <v>0</v>
      </c>
    </row>
    <row r="122" spans="1:14" x14ac:dyDescent="0.2">
      <c r="A122" s="32"/>
      <c r="B122" s="17" t="s">
        <v>178</v>
      </c>
      <c r="C122" s="14"/>
      <c r="D122" s="61">
        <f>D118-D119-D120-D121</f>
        <v>0</v>
      </c>
      <c r="E122" s="14"/>
      <c r="F122" s="61">
        <f>F118-F119-F120-F121</f>
        <v>0</v>
      </c>
      <c r="G122" s="18"/>
      <c r="H122" s="61">
        <f>H118-H119-H120-H121</f>
        <v>0</v>
      </c>
      <c r="I122" s="18"/>
      <c r="J122" s="61">
        <f>J118-J119-J120-J121</f>
        <v>0</v>
      </c>
      <c r="K122" s="18"/>
      <c r="L122" s="61">
        <f>L118-L119-L120-L121</f>
        <v>0</v>
      </c>
      <c r="M122" s="14"/>
      <c r="N122" s="61">
        <f>D122+F122+H122+J122+L122</f>
        <v>0</v>
      </c>
    </row>
    <row r="123" spans="1:14" x14ac:dyDescent="0.2">
      <c r="A123" s="26"/>
    </row>
    <row r="124" spans="1:14" x14ac:dyDescent="0.2">
      <c r="A124" s="24" t="s">
        <v>80</v>
      </c>
    </row>
    <row r="125" spans="1:14" x14ac:dyDescent="0.2">
      <c r="A125" s="26"/>
      <c r="B125" s="24"/>
    </row>
    <row r="126" spans="1:14" x14ac:dyDescent="0.2">
      <c r="A126" s="36" t="s">
        <v>81</v>
      </c>
      <c r="B126" s="173" t="s">
        <v>179</v>
      </c>
    </row>
    <row r="127" spans="1:14" x14ac:dyDescent="0.2">
      <c r="A127" s="26"/>
      <c r="B127" s="173" t="s">
        <v>180</v>
      </c>
    </row>
    <row r="128" spans="1:14" x14ac:dyDescent="0.2">
      <c r="A128" s="26"/>
      <c r="B128" s="173" t="s">
        <v>181</v>
      </c>
    </row>
    <row r="129" spans="1:2" x14ac:dyDescent="0.2">
      <c r="A129" s="26"/>
      <c r="B129" s="173" t="s">
        <v>182</v>
      </c>
    </row>
    <row r="130" spans="1:2" x14ac:dyDescent="0.2">
      <c r="A130" s="26"/>
      <c r="B130" s="173" t="s">
        <v>183</v>
      </c>
    </row>
    <row r="131" spans="1:2" ht="8.1" customHeight="1" x14ac:dyDescent="0.2">
      <c r="A131" s="26"/>
      <c r="B131" s="24"/>
    </row>
    <row r="132" spans="1:2" ht="12.75" customHeight="1" x14ac:dyDescent="0.2">
      <c r="A132" s="36" t="s">
        <v>84</v>
      </c>
      <c r="B132" s="173" t="s">
        <v>184</v>
      </c>
    </row>
    <row r="133" spans="1:2" ht="12.75" customHeight="1" x14ac:dyDescent="0.2">
      <c r="A133" s="26"/>
      <c r="B133" s="173" t="s">
        <v>185</v>
      </c>
    </row>
    <row r="134" spans="1:2" ht="12.75" customHeight="1" x14ac:dyDescent="0.2">
      <c r="A134" s="26"/>
      <c r="B134" s="173" t="s">
        <v>186</v>
      </c>
    </row>
    <row r="135" spans="1:2" ht="12.75" customHeight="1" x14ac:dyDescent="0.2">
      <c r="A135" s="26"/>
      <c r="B135" s="173" t="s">
        <v>187</v>
      </c>
    </row>
    <row r="136" spans="1:2" ht="12.75" customHeight="1" x14ac:dyDescent="0.2">
      <c r="A136" s="26"/>
      <c r="B136" s="173" t="s">
        <v>188</v>
      </c>
    </row>
    <row r="137" spans="1:2" ht="12.75" customHeight="1" x14ac:dyDescent="0.2">
      <c r="A137" s="26"/>
      <c r="B137" s="173" t="s">
        <v>189</v>
      </c>
    </row>
    <row r="138" spans="1:2" ht="8.1" customHeight="1" x14ac:dyDescent="0.2">
      <c r="A138" s="26"/>
      <c r="B138" s="173"/>
    </row>
    <row r="139" spans="1:2" x14ac:dyDescent="0.2">
      <c r="A139" s="36" t="s">
        <v>88</v>
      </c>
      <c r="B139" s="173" t="s">
        <v>190</v>
      </c>
    </row>
    <row r="140" spans="1:2" x14ac:dyDescent="0.2">
      <c r="A140" s="26"/>
      <c r="B140" s="173" t="s">
        <v>191</v>
      </c>
    </row>
    <row r="141" spans="1:2" x14ac:dyDescent="0.2">
      <c r="A141" s="26"/>
      <c r="B141" t="s">
        <v>192</v>
      </c>
    </row>
    <row r="142" spans="1:2" x14ac:dyDescent="0.2">
      <c r="A142" s="26"/>
      <c r="B142" t="s">
        <v>193</v>
      </c>
    </row>
    <row r="143" spans="1:2" ht="8.1" customHeight="1" x14ac:dyDescent="0.2">
      <c r="A143" s="26"/>
    </row>
    <row r="144" spans="1:2" ht="12.75" customHeight="1" x14ac:dyDescent="0.2">
      <c r="A144" s="36" t="s">
        <v>194</v>
      </c>
      <c r="B144" t="s">
        <v>195</v>
      </c>
    </row>
    <row r="145" spans="1:8" ht="12.75" customHeight="1" x14ac:dyDescent="0.2">
      <c r="B145" t="s">
        <v>196</v>
      </c>
    </row>
    <row r="146" spans="1:8" ht="12.75" customHeight="1" x14ac:dyDescent="0.2">
      <c r="A146" s="26"/>
      <c r="B146" t="s">
        <v>197</v>
      </c>
    </row>
    <row r="147" spans="1:8" ht="12.75" customHeight="1" x14ac:dyDescent="0.2">
      <c r="A147" s="26"/>
      <c r="B147" t="s">
        <v>198</v>
      </c>
    </row>
    <row r="148" spans="1:8" ht="12.75" customHeight="1" x14ac:dyDescent="0.2">
      <c r="A148" s="26"/>
      <c r="B148" t="s">
        <v>199</v>
      </c>
    </row>
    <row r="149" spans="1:8" ht="12.75" customHeight="1" x14ac:dyDescent="0.2">
      <c r="A149" s="26"/>
      <c r="B149" s="173" t="s">
        <v>200</v>
      </c>
    </row>
    <row r="150" spans="1:8" ht="12.75" customHeight="1" x14ac:dyDescent="0.2">
      <c r="A150" s="26"/>
      <c r="B150" t="s">
        <v>201</v>
      </c>
    </row>
    <row r="151" spans="1:8" ht="8.1" customHeight="1" x14ac:dyDescent="0.2">
      <c r="A151" s="26"/>
    </row>
    <row r="152" spans="1:8" ht="144" customHeight="1" x14ac:dyDescent="0.2">
      <c r="A152" s="159" t="s">
        <v>202</v>
      </c>
      <c r="B152" s="312" t="s">
        <v>203</v>
      </c>
      <c r="C152" s="313"/>
      <c r="D152" s="313"/>
      <c r="E152" s="313"/>
      <c r="F152" s="313"/>
      <c r="G152" s="313"/>
      <c r="H152" s="313"/>
    </row>
    <row r="153" spans="1:8" ht="12.75" customHeight="1" x14ac:dyDescent="0.2">
      <c r="A153" s="26"/>
    </row>
    <row r="154" spans="1:8" ht="12.75" customHeight="1" x14ac:dyDescent="0.2">
      <c r="A154" s="26"/>
    </row>
  </sheetData>
  <sheetProtection algorithmName="SHA-512" hashValue="x6PpCp8fW5RM1U4AefykI0q/0hGHoA7k/L7A2CXpgHz8rG0oVbJ7qwPsHT5VaErgeJydCh7WB7s8e5VqtKeqgg==" saltValue="FK77CrfRcwsQuhM94yxhPg==" spinCount="100000" sheet="1" autoFilter="0"/>
  <mergeCells count="8">
    <mergeCell ref="B152:H152"/>
    <mergeCell ref="A66:B66"/>
    <mergeCell ref="A7:B7"/>
    <mergeCell ref="L4:L6"/>
    <mergeCell ref="D4:D6"/>
    <mergeCell ref="F4:F6"/>
    <mergeCell ref="H4:H6"/>
    <mergeCell ref="J4:J6"/>
  </mergeCells>
  <phoneticPr fontId="0" type="noConversion"/>
  <conditionalFormatting sqref="D13 F13 H13 J13 L13 D21 F21 H21 J21 L21 D27 F27 H27 J27 L27 D33 F33 H33 J33 L33 D39:D40 F39:F40 H39:H40 J39:J40 L39:L40 D45 F45 H45 J45 L45 D51 F51 H51 J51 L51 D57 F57 H57 J57 L57 D64 F64 H64 J64 L64 D73:D76 F73:F76 H73:H76 J73:J76 L73:L76 D79 F79 H79 J79 L79 D83:D85 F83:F85 H83:H85 J83:J85 L83:L85 D89:D90 F89:F90 H89:H90 J89:J90 L89:L90 F101 H101 J101 L101">
    <cfRule type="cellIs" dxfId="15" priority="3" stopIfTrue="1" operator="equal">
      <formula>"ERROR"</formula>
    </cfRule>
  </conditionalFormatting>
  <conditionalFormatting sqref="E100:N100">
    <cfRule type="cellIs" dxfId="14" priority="2" stopIfTrue="1" operator="equal">
      <formula>"ERROR"</formula>
    </cfRule>
  </conditionalFormatting>
  <conditionalFormatting sqref="F96:F99 H96:H99 J96:J99 L96:L99 D96:D101">
    <cfRule type="cellIs" dxfId="13" priority="1" stopIfTrue="1" operator="equal">
      <formula>"ERROR"</formula>
    </cfRule>
  </conditionalFormatting>
  <pageMargins left="0.3" right="0.3" top="0.4" bottom="0.4" header="0.5" footer="0.2"/>
  <pageSetup orientation="landscape" r:id="rId1"/>
  <headerFooter alignWithMargins="0">
    <oddFooter>&amp;L&amp;F &amp;A&amp;C&amp;P of &amp;N&amp;R&amp;D</oddFooter>
  </headerFooter>
  <rowBreaks count="2" manualBreakCount="2">
    <brk id="46" max="16383" man="1"/>
    <brk id="123" max="16383" man="1"/>
  </rowBreaks>
  <ignoredErrors>
    <ignoredError sqref="A126 A132 A139 A14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59"/>
  <sheetViews>
    <sheetView workbookViewId="0">
      <pane xSplit="2" ySplit="5" topLeftCell="C6" activePane="bottomRight" state="frozen"/>
      <selection pane="topRight" activeCell="A22" sqref="A22"/>
      <selection pane="bottomLeft" activeCell="A22" sqref="A22"/>
      <selection pane="bottomRight" activeCell="L11" sqref="L11"/>
    </sheetView>
  </sheetViews>
  <sheetFormatPr defaultRowHeight="13.5" x14ac:dyDescent="0.25"/>
  <cols>
    <col min="1" max="1" width="3.7109375" customWidth="1"/>
    <col min="2" max="2" width="48.7109375" customWidth="1"/>
    <col min="3" max="3" width="1.7109375" customWidth="1"/>
    <col min="4" max="4" width="13.5703125" customWidth="1"/>
    <col min="5" max="5" width="1.7109375" customWidth="1"/>
    <col min="6" max="6" width="19" customWidth="1"/>
    <col min="7" max="7" width="2.7109375" customWidth="1"/>
    <col min="8" max="8" width="17.28515625" customWidth="1"/>
    <col min="9" max="9" width="2.140625" customWidth="1"/>
    <col min="10" max="10" width="10" customWidth="1"/>
    <col min="12" max="12" width="23.7109375" style="164" customWidth="1"/>
    <col min="13" max="13" width="12.7109375" style="165" customWidth="1"/>
    <col min="15" max="15" width="12.42578125" customWidth="1"/>
    <col min="16" max="16" width="10.7109375" customWidth="1"/>
  </cols>
  <sheetData>
    <row r="1" spans="1:17" ht="12.75" customHeight="1" x14ac:dyDescent="0.25">
      <c r="A1" s="1" t="str">
        <f>CONCATENATE(Info!D7," Foundations")</f>
        <v>Alamance Community College Foundations</v>
      </c>
      <c r="C1" s="173"/>
      <c r="D1" s="30" t="s">
        <v>204</v>
      </c>
      <c r="E1" s="173"/>
      <c r="O1" s="166" t="s">
        <v>205</v>
      </c>
      <c r="P1" s="172" t="s">
        <v>206</v>
      </c>
    </row>
    <row r="2" spans="1:17" ht="12.75" customHeight="1" x14ac:dyDescent="0.25">
      <c r="A2" s="1" t="s">
        <v>207</v>
      </c>
      <c r="C2" s="173"/>
      <c r="D2" s="173"/>
      <c r="E2" s="173"/>
      <c r="M2" s="167"/>
      <c r="O2" s="166" t="s">
        <v>208</v>
      </c>
      <c r="P2" s="166" t="str">
        <f>F3</f>
        <v>C0F</v>
      </c>
      <c r="Q2" s="168" t="s">
        <v>209</v>
      </c>
    </row>
    <row r="3" spans="1:17" ht="15" x14ac:dyDescent="0.25">
      <c r="A3" s="77" t="s">
        <v>210</v>
      </c>
      <c r="C3" s="173"/>
      <c r="D3" s="173"/>
      <c r="E3" s="173"/>
      <c r="F3" s="26" t="str">
        <f>Info!D6</f>
        <v>C0F</v>
      </c>
      <c r="M3" s="167"/>
    </row>
    <row r="4" spans="1:17" ht="12.75" customHeight="1" x14ac:dyDescent="0.25">
      <c r="A4" s="214" t="str">
        <f>' Use Stmt'!A4</f>
        <v>For the Year Ended June 30, 2024</v>
      </c>
      <c r="M4" s="167"/>
    </row>
    <row r="5" spans="1:17" ht="12.75" customHeight="1" x14ac:dyDescent="0.25">
      <c r="D5" s="194" t="s">
        <v>211</v>
      </c>
      <c r="F5" s="4" t="s">
        <v>212</v>
      </c>
      <c r="H5" s="4" t="s">
        <v>213</v>
      </c>
      <c r="J5" s="4" t="s">
        <v>214</v>
      </c>
      <c r="M5" s="167"/>
    </row>
    <row r="6" spans="1:17" x14ac:dyDescent="0.25">
      <c r="B6" s="1" t="s">
        <v>215</v>
      </c>
      <c r="M6" s="167"/>
    </row>
    <row r="7" spans="1:17" x14ac:dyDescent="0.25">
      <c r="A7" s="32">
        <v>100</v>
      </c>
      <c r="B7" s="3" t="s">
        <v>41</v>
      </c>
      <c r="D7" s="27">
        <f ca="1">SUMIF(FASB_BS,A7,'Exh A'!$N$9:$N$43)</f>
        <v>0</v>
      </c>
      <c r="E7" s="12"/>
      <c r="F7" s="27">
        <f>HLOOKUP($F$3,PriorYrExhD!$E$1:$BJ$29,7,FALSE)</f>
        <v>2492717</v>
      </c>
      <c r="H7" s="106">
        <f ca="1">D7-F7</f>
        <v>-2492717</v>
      </c>
      <c r="J7" s="107">
        <f ca="1">IF(F7=0,0,H7/F7)</f>
        <v>-1</v>
      </c>
      <c r="L7" s="164">
        <v>11111000</v>
      </c>
      <c r="M7" s="167"/>
    </row>
    <row r="8" spans="1:17" x14ac:dyDescent="0.25">
      <c r="A8" s="32">
        <v>105</v>
      </c>
      <c r="B8" s="3" t="s">
        <v>43</v>
      </c>
      <c r="D8" s="12">
        <f ca="1">SUMIF(FASB_BS,A8,'Exh A'!$N$9:$N$43)+SUMIF(FASB_ADJ,A8,Adjustments!$N$9:$N$71)</f>
        <v>0</v>
      </c>
      <c r="E8" s="12"/>
      <c r="F8" s="12">
        <f>HLOOKUP($F$3,PriorYrExhD!$E$1:$BJ$29,8,FALSE)</f>
        <v>9081869</v>
      </c>
      <c r="H8" s="106">
        <f t="shared" ref="H8:H16" ca="1" si="0">D8-F8</f>
        <v>-9081869</v>
      </c>
      <c r="J8" s="107">
        <f t="shared" ref="J8:J16" ca="1" si="1">IF(F8=0,0,H8/F8)</f>
        <v>-1</v>
      </c>
      <c r="L8" s="164">
        <v>11210100</v>
      </c>
    </row>
    <row r="9" spans="1:17" x14ac:dyDescent="0.25">
      <c r="A9" s="32">
        <v>110</v>
      </c>
      <c r="B9" s="3" t="s">
        <v>50</v>
      </c>
      <c r="D9" s="12">
        <f ca="1">SUMIF(FASB_BS,A9,'Exh A'!$N$9:$N$43)</f>
        <v>0</v>
      </c>
      <c r="E9" s="12"/>
      <c r="F9" s="12">
        <f>HLOOKUP($F$3,PriorYrExhD!$E$1:$BJ$29,9,FALSE)</f>
        <v>137734</v>
      </c>
      <c r="H9" s="106">
        <f t="shared" ca="1" si="0"/>
        <v>-137734</v>
      </c>
      <c r="J9" s="107">
        <f t="shared" ca="1" si="1"/>
        <v>-1</v>
      </c>
      <c r="L9" s="164">
        <v>11320000</v>
      </c>
    </row>
    <row r="10" spans="1:17" x14ac:dyDescent="0.25">
      <c r="A10" s="32">
        <v>115</v>
      </c>
      <c r="B10" s="3" t="s">
        <v>52</v>
      </c>
      <c r="D10" s="12">
        <f ca="1">SUMIF(FASB_BS,A10,'Exh A'!$N$9:$N$43)</f>
        <v>0</v>
      </c>
      <c r="E10" s="12"/>
      <c r="F10" s="12">
        <f>HLOOKUP($F$3,PriorYrExhD!$E$1:$BJ$29,10,FALSE)</f>
        <v>0</v>
      </c>
      <c r="H10" s="106">
        <f t="shared" ca="1" si="0"/>
        <v>0</v>
      </c>
      <c r="J10" s="107">
        <f t="shared" si="1"/>
        <v>0</v>
      </c>
      <c r="L10" s="164">
        <v>11611000</v>
      </c>
    </row>
    <row r="11" spans="1:17" x14ac:dyDescent="0.25">
      <c r="A11" s="32">
        <v>120</v>
      </c>
      <c r="B11" s="3" t="s">
        <v>216</v>
      </c>
      <c r="D11" s="12">
        <f ca="1">SUMIF(FASB_BS,A11,'Exh A'!$N$9:$N$43)</f>
        <v>0</v>
      </c>
      <c r="E11" s="12"/>
      <c r="F11" s="12">
        <f>HLOOKUP($F$3,PriorYrExhD!$E$1:$BJ$29,11,FALSE)</f>
        <v>0</v>
      </c>
      <c r="H11" s="106">
        <f t="shared" ca="1" si="0"/>
        <v>0</v>
      </c>
      <c r="J11" s="107">
        <f t="shared" si="1"/>
        <v>0</v>
      </c>
      <c r="L11" s="164">
        <v>11910000</v>
      </c>
    </row>
    <row r="12" spans="1:17" x14ac:dyDescent="0.25">
      <c r="A12" s="32">
        <v>125</v>
      </c>
      <c r="B12" s="3" t="s">
        <v>217</v>
      </c>
      <c r="D12" s="12">
        <f ca="1">SUMIF(FASB_BS,A12,'Exh A'!$N$9:$N$43)</f>
        <v>0</v>
      </c>
      <c r="E12" s="12"/>
      <c r="F12" s="12">
        <f>HLOOKUP($F$3,PriorYrExhD!$E$1:$BJ$29,12,FALSE)</f>
        <v>0</v>
      </c>
      <c r="H12" s="106">
        <f t="shared" ca="1" si="0"/>
        <v>0</v>
      </c>
      <c r="J12" s="107">
        <f t="shared" si="1"/>
        <v>0</v>
      </c>
      <c r="L12" s="164">
        <v>11510000</v>
      </c>
    </row>
    <row r="13" spans="1:17" x14ac:dyDescent="0.25">
      <c r="A13" s="32">
        <v>126</v>
      </c>
      <c r="B13" s="3" t="s">
        <v>218</v>
      </c>
      <c r="D13" s="12">
        <f ca="1">SUMIF(FASB_BS,A13,'Exh A'!$N$9:$N$43)</f>
        <v>0</v>
      </c>
      <c r="E13" s="12"/>
      <c r="F13" s="12">
        <f>HLOOKUP($F$3,PriorYrExhD!$E$1:$BJ$29,13,FALSE)</f>
        <v>0</v>
      </c>
      <c r="H13" s="106">
        <f t="shared" ref="H13" ca="1" si="2">D13-F13</f>
        <v>0</v>
      </c>
      <c r="J13" s="107">
        <f t="shared" ref="J13" si="3">IF(F13=0,0,H13/F13)</f>
        <v>0</v>
      </c>
      <c r="L13" s="164">
        <v>11530000</v>
      </c>
    </row>
    <row r="14" spans="1:17" x14ac:dyDescent="0.25">
      <c r="A14" s="32">
        <v>130</v>
      </c>
      <c r="B14" s="3" t="s">
        <v>219</v>
      </c>
      <c r="D14" s="12">
        <f ca="1">SUMIF(FASB_ADJ,A14,Adjustments!$N$9:$N$71)</f>
        <v>0</v>
      </c>
      <c r="E14" s="12"/>
      <c r="F14" s="12">
        <f>HLOOKUP($F$3,PriorYrExhD!$E$1:$BJ$29,14,FALSE)</f>
        <v>5931257</v>
      </c>
      <c r="H14" s="106">
        <f t="shared" ca="1" si="0"/>
        <v>-5931257</v>
      </c>
      <c r="J14" s="107">
        <f t="shared" ca="1" si="1"/>
        <v>-1</v>
      </c>
      <c r="L14" s="164">
        <v>11212500</v>
      </c>
    </row>
    <row r="15" spans="1:17" x14ac:dyDescent="0.25">
      <c r="A15" s="32">
        <v>140</v>
      </c>
      <c r="B15" s="3" t="s">
        <v>220</v>
      </c>
      <c r="D15" s="12">
        <f ca="1">SUMIF(FASB_ADJ,A15,Adjustments!$N$9:$N$71)</f>
        <v>0</v>
      </c>
      <c r="E15" s="12"/>
      <c r="F15" s="12">
        <f>HLOOKUP($F$3,PriorYrExhD!$E$1:$BJ$29,15,FALSE)</f>
        <v>0</v>
      </c>
      <c r="H15" s="106">
        <f t="shared" ca="1" si="0"/>
        <v>0</v>
      </c>
      <c r="J15" s="107">
        <f t="shared" si="1"/>
        <v>0</v>
      </c>
      <c r="L15" s="164">
        <v>12700000</v>
      </c>
    </row>
    <row r="16" spans="1:17" x14ac:dyDescent="0.25">
      <c r="A16" s="32">
        <v>145</v>
      </c>
      <c r="B16" s="3" t="s">
        <v>221</v>
      </c>
      <c r="D16" s="12">
        <f ca="1">SUMIF(FASB_ADJ,A16,Adjustments!$N$9:$N$71)</f>
        <v>0</v>
      </c>
      <c r="E16" s="12"/>
      <c r="F16" s="12">
        <f>HLOOKUP($F$3,PriorYrExhD!$E$1:$BJ$29,16,FALSE)</f>
        <v>0</v>
      </c>
      <c r="H16" s="106">
        <f t="shared" ca="1" si="0"/>
        <v>0</v>
      </c>
      <c r="J16" s="107">
        <f t="shared" si="1"/>
        <v>0</v>
      </c>
      <c r="L16" s="164">
        <v>12710000</v>
      </c>
    </row>
    <row r="17" spans="1:12" x14ac:dyDescent="0.25">
      <c r="A17" s="32"/>
      <c r="B17" s="1" t="s">
        <v>59</v>
      </c>
      <c r="D17" s="20">
        <f ca="1">SUM(D7:D16)</f>
        <v>0</v>
      </c>
      <c r="E17" s="12"/>
      <c r="F17" s="20">
        <f>SUM(F7:F16)</f>
        <v>17643577</v>
      </c>
    </row>
    <row r="18" spans="1:12" ht="6" customHeight="1" x14ac:dyDescent="0.25">
      <c r="A18" s="32"/>
      <c r="B18" s="1"/>
    </row>
    <row r="19" spans="1:12" x14ac:dyDescent="0.25">
      <c r="A19" s="32"/>
      <c r="B19" s="1" t="s">
        <v>222</v>
      </c>
    </row>
    <row r="20" spans="1:12" x14ac:dyDescent="0.25">
      <c r="A20" s="32">
        <v>200</v>
      </c>
      <c r="B20" s="189" t="s">
        <v>223</v>
      </c>
      <c r="D20" s="12">
        <f ca="1">SUMIF(FASB_BS,A20,'Exh A'!$N$9:$N$43)</f>
        <v>0</v>
      </c>
      <c r="E20" s="12"/>
      <c r="F20" s="12">
        <f>HLOOKUP($F$3,PriorYrExhD!$E$1:$BJ$29,20,FALSE)</f>
        <v>0</v>
      </c>
      <c r="H20" s="106">
        <f t="shared" ref="H20:H29" ca="1" si="4">D20-F20</f>
        <v>0</v>
      </c>
      <c r="J20" s="107">
        <f t="shared" ref="J20:J29" si="5">IF(F20=0,0,H20/F20)</f>
        <v>0</v>
      </c>
      <c r="L20" s="164">
        <v>21110000</v>
      </c>
    </row>
    <row r="21" spans="1:12" ht="15" x14ac:dyDescent="0.25">
      <c r="A21" s="32">
        <v>202</v>
      </c>
      <c r="B21" s="189" t="s">
        <v>224</v>
      </c>
      <c r="D21" s="12">
        <f ca="1">SUMIF(FASB_BS,A21,'Exh A'!$N$9:$N$43)</f>
        <v>0</v>
      </c>
      <c r="E21" s="12"/>
      <c r="F21" s="12">
        <f>HLOOKUP($F$3,PriorYrExhD!$E$1:$BJ$29,21,FALSE)</f>
        <v>0</v>
      </c>
      <c r="H21" s="106">
        <f t="shared" ca="1" si="4"/>
        <v>0</v>
      </c>
      <c r="J21" s="107">
        <f t="shared" si="5"/>
        <v>0</v>
      </c>
      <c r="L21" s="164">
        <v>21270000</v>
      </c>
    </row>
    <row r="22" spans="1:12" ht="15" x14ac:dyDescent="0.25">
      <c r="A22" s="32">
        <v>203</v>
      </c>
      <c r="B22" s="189" t="s">
        <v>225</v>
      </c>
      <c r="D22" s="12">
        <f ca="1">SUMIF(FASB_BS,A22,'Exh A'!$N$9:$N$43)</f>
        <v>0</v>
      </c>
      <c r="E22" s="12"/>
      <c r="F22" s="12">
        <f>HLOOKUP($F$3,PriorYrExhD!$E$1:$BJ$29,22,FALSE)</f>
        <v>0</v>
      </c>
      <c r="H22" s="106">
        <f t="shared" ca="1" si="4"/>
        <v>0</v>
      </c>
      <c r="J22" s="107">
        <f t="shared" si="5"/>
        <v>0</v>
      </c>
      <c r="L22" s="164" t="s">
        <v>226</v>
      </c>
    </row>
    <row r="23" spans="1:12" x14ac:dyDescent="0.25">
      <c r="A23" s="32">
        <v>205</v>
      </c>
      <c r="B23" s="189" t="s">
        <v>64</v>
      </c>
      <c r="D23" s="12">
        <f ca="1">SUMIF(FASB_BS,A23,'Exh A'!$N$9:$N$43)</f>
        <v>0</v>
      </c>
      <c r="E23" s="12"/>
      <c r="F23" s="12">
        <f>HLOOKUP($F$3,PriorYrExhD!$E$1:$BJ$29,23,FALSE)</f>
        <v>0</v>
      </c>
      <c r="H23" s="106">
        <f t="shared" ca="1" si="4"/>
        <v>0</v>
      </c>
      <c r="J23" s="107">
        <f t="shared" si="5"/>
        <v>0</v>
      </c>
      <c r="L23" s="164">
        <v>21811000</v>
      </c>
    </row>
    <row r="24" spans="1:12" x14ac:dyDescent="0.25">
      <c r="A24" s="32">
        <v>210</v>
      </c>
      <c r="B24" s="189" t="s">
        <v>65</v>
      </c>
      <c r="D24" s="12">
        <f ca="1">SUMIF(FASB_BS,A24,'Exh A'!$N$9:$N$43)</f>
        <v>0</v>
      </c>
      <c r="E24" s="12"/>
      <c r="F24" s="12">
        <f>HLOOKUP($F$3,PriorYrExhD!$E$1:$BJ$29,24,FALSE)</f>
        <v>0</v>
      </c>
      <c r="H24" s="106">
        <f t="shared" ca="1" si="4"/>
        <v>0</v>
      </c>
      <c r="J24" s="107">
        <f t="shared" si="5"/>
        <v>0</v>
      </c>
      <c r="L24" s="164">
        <v>21622000</v>
      </c>
    </row>
    <row r="25" spans="1:12" x14ac:dyDescent="0.25">
      <c r="A25" s="32">
        <v>215</v>
      </c>
      <c r="B25" s="189" t="s">
        <v>66</v>
      </c>
      <c r="D25" s="12">
        <f ca="1">SUMIF(FASB_BS,A25,'Exh A'!$N$9:$N$43)</f>
        <v>0</v>
      </c>
      <c r="E25" s="12"/>
      <c r="F25" s="12">
        <f>HLOOKUP($F$3,PriorYrExhD!$E$1:$BJ$29,25,FALSE)</f>
        <v>0</v>
      </c>
      <c r="H25" s="106">
        <f t="shared" ca="1" si="4"/>
        <v>0</v>
      </c>
      <c r="J25" s="107">
        <f t="shared" si="5"/>
        <v>0</v>
      </c>
      <c r="L25" s="164">
        <v>21712000</v>
      </c>
    </row>
    <row r="26" spans="1:12" x14ac:dyDescent="0.25">
      <c r="A26" s="32">
        <v>220</v>
      </c>
      <c r="B26" s="189" t="s">
        <v>67</v>
      </c>
      <c r="D26" s="12">
        <f ca="1">SUMIF(FASB_BS,A26,'Exh A'!$N$9:$N$43)</f>
        <v>0</v>
      </c>
      <c r="E26" s="12"/>
      <c r="F26" s="12">
        <f>HLOOKUP($F$3,PriorYrExhD!$E$1:$BJ$29,26,FALSE)</f>
        <v>185171</v>
      </c>
      <c r="H26" s="106">
        <f t="shared" ca="1" si="4"/>
        <v>-185171</v>
      </c>
      <c r="J26" s="107">
        <f t="shared" ca="1" si="5"/>
        <v>-1</v>
      </c>
      <c r="L26" s="164">
        <v>21719000</v>
      </c>
    </row>
    <row r="27" spans="1:12" x14ac:dyDescent="0.25">
      <c r="A27" s="32"/>
      <c r="B27" s="189" t="s">
        <v>227</v>
      </c>
      <c r="D27" s="12">
        <f ca="1">SUMIF(FASB_ADJ,A27,Adjustments!$N$9:$N$62)</f>
        <v>0</v>
      </c>
      <c r="E27" s="12"/>
      <c r="F27" s="12">
        <f>HLOOKUP($F$3,PriorYrExhD!$E$1:$BJ$29,27,FALSE)</f>
        <v>0</v>
      </c>
      <c r="H27" s="106">
        <f t="shared" ca="1" si="4"/>
        <v>0</v>
      </c>
      <c r="J27" s="107">
        <f t="shared" si="5"/>
        <v>0</v>
      </c>
    </row>
    <row r="28" spans="1:12" x14ac:dyDescent="0.25">
      <c r="A28" s="32">
        <v>260</v>
      </c>
      <c r="B28" s="195" t="s">
        <v>228</v>
      </c>
      <c r="D28" s="12">
        <f ca="1">SUMIF(FASB_ADJ,A28,Adjustments!$N$9:$N$62)</f>
        <v>0</v>
      </c>
      <c r="E28" s="12"/>
      <c r="F28" s="12">
        <f>HLOOKUP($F$3,PriorYrExhD!$E$1:$BJ$29,28,FALSE)</f>
        <v>0</v>
      </c>
      <c r="H28" s="106">
        <f t="shared" ca="1" si="4"/>
        <v>0</v>
      </c>
      <c r="J28" s="107">
        <f t="shared" si="5"/>
        <v>0</v>
      </c>
      <c r="L28" s="164" t="s">
        <v>229</v>
      </c>
    </row>
    <row r="29" spans="1:12" x14ac:dyDescent="0.25">
      <c r="A29" s="32">
        <v>261</v>
      </c>
      <c r="B29" s="195" t="s">
        <v>230</v>
      </c>
      <c r="D29" s="10">
        <f ca="1">SUMIF(FASB_ADJ,A29,Adjustments!$N$9:$N$62)</f>
        <v>0</v>
      </c>
      <c r="E29" s="12"/>
      <c r="F29" s="12">
        <f>HLOOKUP($F$3,PriorYrExhD!$E$1:$BJ$29,29,FALSE)</f>
        <v>0</v>
      </c>
      <c r="H29" s="106">
        <f t="shared" ca="1" si="4"/>
        <v>0</v>
      </c>
      <c r="J29" s="107">
        <f t="shared" si="5"/>
        <v>0</v>
      </c>
      <c r="L29" s="164" t="s">
        <v>231</v>
      </c>
    </row>
    <row r="30" spans="1:12" x14ac:dyDescent="0.25">
      <c r="B30" s="1" t="s">
        <v>74</v>
      </c>
      <c r="D30" s="10">
        <f ca="1">SUM(D20:D29)</f>
        <v>0</v>
      </c>
      <c r="E30" s="12"/>
      <c r="F30" s="20">
        <f>SUM(F20:F29)</f>
        <v>185171</v>
      </c>
    </row>
    <row r="31" spans="1:12" ht="6" customHeight="1" x14ac:dyDescent="0.25">
      <c r="B31" s="173"/>
    </row>
    <row r="32" spans="1:12" x14ac:dyDescent="0.25">
      <c r="B32" s="1" t="s">
        <v>232</v>
      </c>
    </row>
    <row r="33" spans="1:13" x14ac:dyDescent="0.25">
      <c r="A33" s="31">
        <v>300</v>
      </c>
      <c r="B33" t="s">
        <v>162</v>
      </c>
      <c r="D33" s="12">
        <f>Adjustments!N109</f>
        <v>0</v>
      </c>
      <c r="E33" s="12"/>
      <c r="F33" s="12">
        <f>HLOOKUP($F$3,PriorYrExhD!$E$1:$BJ$39,33,FALSE)</f>
        <v>0</v>
      </c>
      <c r="H33" s="106">
        <f>D33-F33</f>
        <v>0</v>
      </c>
      <c r="J33" s="107">
        <f>IF(F33=0,0,H33/F33)</f>
        <v>0</v>
      </c>
      <c r="L33" s="164" t="s">
        <v>233</v>
      </c>
      <c r="M33" s="169" t="s">
        <v>234</v>
      </c>
    </row>
    <row r="34" spans="1:13" ht="12.75" x14ac:dyDescent="0.2">
      <c r="A34" s="31"/>
      <c r="B34" t="s">
        <v>235</v>
      </c>
      <c r="M34" s="169"/>
    </row>
    <row r="35" spans="1:13" ht="12.75" x14ac:dyDescent="0.2">
      <c r="A35" s="31"/>
      <c r="B35" s="3" t="s">
        <v>236</v>
      </c>
      <c r="M35" s="169"/>
    </row>
    <row r="36" spans="1:13" x14ac:dyDescent="0.25">
      <c r="A36" s="31">
        <v>310</v>
      </c>
      <c r="B36" s="2" t="s">
        <v>237</v>
      </c>
      <c r="D36" s="12">
        <f>Adjustments!N97</f>
        <v>0</v>
      </c>
      <c r="E36" s="12"/>
      <c r="F36" s="12">
        <f>HLOOKUP($F$3,PriorYrExhD!$E$1:$BJ$39,36,FALSE)</f>
        <v>0</v>
      </c>
      <c r="H36" s="106">
        <f>D36-F36</f>
        <v>0</v>
      </c>
      <c r="J36" s="107">
        <f>IF(F36=0,0,H36/F36)</f>
        <v>0</v>
      </c>
      <c r="K36" s="152"/>
      <c r="L36" s="164" t="s">
        <v>238</v>
      </c>
      <c r="M36" s="169" t="s">
        <v>239</v>
      </c>
    </row>
    <row r="37" spans="1:13" ht="12.75" x14ac:dyDescent="0.2">
      <c r="A37" s="31"/>
      <c r="B37" s="3" t="s">
        <v>240</v>
      </c>
      <c r="M37" s="169"/>
    </row>
    <row r="38" spans="1:13" x14ac:dyDescent="0.25">
      <c r="A38" s="31">
        <v>320</v>
      </c>
      <c r="B38" s="2" t="s">
        <v>237</v>
      </c>
      <c r="D38" s="12">
        <f>Adjustments!N115</f>
        <v>0</v>
      </c>
      <c r="E38" s="12"/>
      <c r="F38" s="12">
        <f>HLOOKUP($F$3,PriorYrExhD!$E$1:$BJ$39,38,FALSE)</f>
        <v>0</v>
      </c>
      <c r="H38" s="106">
        <f>D38-F38</f>
        <v>0</v>
      </c>
      <c r="J38" s="107">
        <f>IF(F38=0,0,H38/F38)</f>
        <v>0</v>
      </c>
      <c r="L38" s="164" t="s">
        <v>241</v>
      </c>
      <c r="M38" s="169" t="s">
        <v>239</v>
      </c>
    </row>
    <row r="39" spans="1:13" x14ac:dyDescent="0.25">
      <c r="A39" s="31">
        <v>330</v>
      </c>
      <c r="B39" t="s">
        <v>242</v>
      </c>
      <c r="D39" s="12">
        <f>Adjustments!N122</f>
        <v>0</v>
      </c>
      <c r="E39" s="12"/>
      <c r="F39" s="12">
        <f>HLOOKUP($F$3,PriorYrExhD!$E$1:$BJ$39,39,FALSE)</f>
        <v>17458406</v>
      </c>
      <c r="H39" s="106">
        <f>D39-F39</f>
        <v>-17458406</v>
      </c>
      <c r="J39" s="107">
        <f>IF(F39=0,0,H39/F39)</f>
        <v>-1</v>
      </c>
      <c r="L39" s="164" t="s">
        <v>243</v>
      </c>
      <c r="M39" s="169" t="s">
        <v>244</v>
      </c>
    </row>
    <row r="40" spans="1:13" ht="14.25" thickBot="1" x14ac:dyDescent="0.3">
      <c r="B40" s="1" t="s">
        <v>245</v>
      </c>
      <c r="D40" s="11">
        <f>SUM(D33:D39)</f>
        <v>0</v>
      </c>
      <c r="E40" s="12"/>
      <c r="F40" s="11">
        <f>SUM(F33:F39)</f>
        <v>17458406</v>
      </c>
    </row>
    <row r="41" spans="1:13" ht="14.25" thickTop="1" x14ac:dyDescent="0.25"/>
    <row r="42" spans="1:13" x14ac:dyDescent="0.25">
      <c r="B42" s="22" t="s">
        <v>246</v>
      </c>
      <c r="D42" s="34" t="str">
        <f ca="1">IF(D17-D30=D40,"OK","ERROR")</f>
        <v>OK</v>
      </c>
      <c r="F42" s="34" t="str">
        <f>IF(F17-F30=F40,"OK","ERROR")</f>
        <v>OK</v>
      </c>
      <c r="M42" s="170"/>
    </row>
    <row r="44" spans="1:13" ht="15.75" customHeight="1" x14ac:dyDescent="0.25">
      <c r="A44" s="24" t="s">
        <v>80</v>
      </c>
    </row>
    <row r="46" spans="1:13" ht="15.75" customHeight="1" x14ac:dyDescent="0.25">
      <c r="A46" s="46" t="s">
        <v>81</v>
      </c>
      <c r="B46" s="173" t="s">
        <v>247</v>
      </c>
    </row>
    <row r="47" spans="1:13" x14ac:dyDescent="0.25">
      <c r="B47" t="s">
        <v>248</v>
      </c>
    </row>
    <row r="49" spans="1:10" x14ac:dyDescent="0.25">
      <c r="A49" s="175" t="s">
        <v>84</v>
      </c>
      <c r="B49" s="127" t="s">
        <v>249</v>
      </c>
      <c r="C49" s="127"/>
      <c r="D49" s="127"/>
      <c r="E49" s="127"/>
      <c r="F49" s="127"/>
      <c r="G49" s="127"/>
      <c r="H49" s="127"/>
      <c r="I49" s="128"/>
      <c r="J49" s="128"/>
    </row>
    <row r="50" spans="1:10" x14ac:dyDescent="0.25">
      <c r="B50" s="127" t="s">
        <v>250</v>
      </c>
      <c r="C50" s="127"/>
      <c r="D50" s="127"/>
      <c r="E50" s="127"/>
      <c r="F50" s="127"/>
      <c r="G50" s="127"/>
      <c r="H50" s="127"/>
      <c r="I50" s="128"/>
      <c r="J50" s="128"/>
    </row>
    <row r="51" spans="1:10" x14ac:dyDescent="0.25">
      <c r="B51" s="127" t="s">
        <v>251</v>
      </c>
      <c r="C51" s="127"/>
      <c r="D51" s="127"/>
      <c r="E51" s="127"/>
      <c r="F51" s="127"/>
      <c r="G51" s="127"/>
      <c r="H51" s="127"/>
      <c r="I51" s="128"/>
      <c r="J51" s="128"/>
    </row>
    <row r="52" spans="1:10" x14ac:dyDescent="0.25">
      <c r="B52" s="127" t="s">
        <v>252</v>
      </c>
      <c r="C52" s="127"/>
      <c r="D52" s="127"/>
      <c r="E52" s="127"/>
      <c r="F52" s="127"/>
      <c r="G52" s="127"/>
      <c r="H52" s="127"/>
      <c r="I52" s="128"/>
      <c r="J52" s="128"/>
    </row>
    <row r="54" spans="1:10" ht="15.75" customHeight="1" x14ac:dyDescent="0.25">
      <c r="B54" s="179" t="s">
        <v>253</v>
      </c>
    </row>
    <row r="55" spans="1:10" x14ac:dyDescent="0.25">
      <c r="B55" s="179" t="s">
        <v>254</v>
      </c>
    </row>
    <row r="56" spans="1:10" x14ac:dyDescent="0.25">
      <c r="B56" s="179" t="s">
        <v>255</v>
      </c>
    </row>
    <row r="57" spans="1:10" x14ac:dyDescent="0.25">
      <c r="B57" s="179" t="s">
        <v>256</v>
      </c>
    </row>
    <row r="58" spans="1:10" x14ac:dyDescent="0.25">
      <c r="B58" s="179" t="s">
        <v>257</v>
      </c>
    </row>
    <row r="59" spans="1:10" x14ac:dyDescent="0.25">
      <c r="B59" s="179"/>
    </row>
  </sheetData>
  <sheetProtection algorithmName="SHA-512" hashValue="xBmZ8v8zxUHxaJv2fQ4x/n/Rl/2RzX7wB+Ogy/2RNI7p4F/BBtMchv+eOrazsAGCyHDf7G8M4Uw8Qinf3UhIGQ==" saltValue="6NpUTWgq6EbewdAeygnyaA==" spinCount="100000" sheet="1" autoFilter="0"/>
  <phoneticPr fontId="0" type="noConversion"/>
  <conditionalFormatting sqref="D42">
    <cfRule type="cellIs" dxfId="12" priority="2" stopIfTrue="1" operator="equal">
      <formula>"ERROR"</formula>
    </cfRule>
  </conditionalFormatting>
  <conditionalFormatting sqref="F42">
    <cfRule type="cellIs" dxfId="11" priority="1" stopIfTrue="1" operator="equal">
      <formula>"ERROR"</formula>
    </cfRule>
  </conditionalFormatting>
  <pageMargins left="0.75" right="0.75" top="0.5" bottom="0.5" header="0.5" footer="0.2"/>
  <pageSetup orientation="landscape" r:id="rId1"/>
  <headerFooter alignWithMargins="0">
    <oddFooter>&amp;L&amp;F &amp;A&amp;C&amp;P of &amp;N&amp;R&amp;D</oddFooter>
  </headerFooter>
  <ignoredErrors>
    <ignoredError sqref="A46 A49" numberStoredAsText="1"/>
    <ignoredError sqref="D8" formula="1"/>
    <ignoredError sqref="P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45"/>
  <sheetViews>
    <sheetView workbookViewId="0">
      <selection activeCell="D27" sqref="D27"/>
    </sheetView>
  </sheetViews>
  <sheetFormatPr defaultRowHeight="12.75" x14ac:dyDescent="0.2"/>
  <cols>
    <col min="1" max="1" width="3.7109375" customWidth="1"/>
    <col min="2" max="2" width="48.7109375" customWidth="1"/>
    <col min="3" max="3" width="1.7109375" customWidth="1"/>
    <col min="4" max="4" width="13.7109375" customWidth="1"/>
    <col min="5" max="5" width="1.7109375" customWidth="1"/>
    <col min="6" max="6" width="20.7109375" customWidth="1"/>
    <col min="7" max="7" width="3.140625" customWidth="1"/>
    <col min="8" max="8" width="16.28515625" customWidth="1"/>
    <col min="9" max="9" width="1.85546875" customWidth="1"/>
    <col min="12" max="12" width="14.140625" style="164" bestFit="1" customWidth="1"/>
  </cols>
  <sheetData>
    <row r="1" spans="1:12" s="13" customFormat="1" ht="12.75" customHeight="1" x14ac:dyDescent="0.2">
      <c r="A1" s="1" t="str">
        <f>CONCATENATE(Info!D7," Foundations")</f>
        <v>Alamance Community College Foundations</v>
      </c>
      <c r="B1" s="173"/>
      <c r="C1" s="173"/>
      <c r="D1" s="30" t="s">
        <v>258</v>
      </c>
      <c r="E1" s="173"/>
      <c r="F1" s="173"/>
      <c r="G1" s="173"/>
      <c r="H1" s="173"/>
      <c r="I1" s="173"/>
      <c r="J1" s="173"/>
      <c r="K1" s="173"/>
      <c r="L1" s="164"/>
    </row>
    <row r="2" spans="1:12" s="13" customFormat="1" ht="12.75" customHeight="1" x14ac:dyDescent="0.2">
      <c r="A2" s="1" t="s">
        <v>259</v>
      </c>
      <c r="B2" s="173"/>
      <c r="C2" s="173"/>
      <c r="D2" s="173"/>
      <c r="E2" s="173"/>
      <c r="F2" s="173"/>
      <c r="G2" s="173"/>
      <c r="H2" s="173"/>
      <c r="I2" s="173"/>
      <c r="J2" s="173"/>
      <c r="K2" s="173"/>
      <c r="L2" s="164"/>
    </row>
    <row r="3" spans="1:12" s="13" customFormat="1" ht="12.75" customHeight="1" x14ac:dyDescent="0.2">
      <c r="A3" s="77" t="s">
        <v>210</v>
      </c>
      <c r="B3" s="173"/>
      <c r="C3" s="173"/>
      <c r="D3" s="173"/>
      <c r="E3" s="173"/>
      <c r="F3" s="26" t="str">
        <f>Info!D6</f>
        <v>C0F</v>
      </c>
      <c r="G3"/>
      <c r="H3"/>
      <c r="I3"/>
      <c r="J3"/>
      <c r="K3" s="173"/>
      <c r="L3" s="164"/>
    </row>
    <row r="4" spans="1:12" x14ac:dyDescent="0.2">
      <c r="A4" s="214" t="str">
        <f>' Use Stmt'!A4</f>
        <v>For the Year Ended June 30, 2024</v>
      </c>
    </row>
    <row r="5" spans="1:12" ht="12.75" customHeight="1" x14ac:dyDescent="0.2">
      <c r="D5" s="194" t="s">
        <v>211</v>
      </c>
      <c r="F5" s="4" t="s">
        <v>212</v>
      </c>
      <c r="H5" s="4" t="s">
        <v>213</v>
      </c>
      <c r="J5" s="4" t="s">
        <v>214</v>
      </c>
    </row>
    <row r="6" spans="1:12" x14ac:dyDescent="0.2">
      <c r="B6" s="1" t="s">
        <v>260</v>
      </c>
    </row>
    <row r="7" spans="1:12" ht="13.5" x14ac:dyDescent="0.25">
      <c r="A7" s="32">
        <v>500</v>
      </c>
      <c r="B7" s="25" t="s">
        <v>139</v>
      </c>
      <c r="D7" s="27">
        <f ca="1">SUMIF(FASB_IS,A7,'Exh B'!$N$9:$N$22)+SUMIF(FASB_ADJ,A7,Adjustments!$N$9:$N$71)</f>
        <v>0</v>
      </c>
      <c r="F7" s="27">
        <f>HLOOKUP($F$3,PriorYrExhE!$E$1:$BJ$21,7,FALSE)</f>
        <v>3322903</v>
      </c>
      <c r="H7" s="106">
        <f ca="1">D7-F7</f>
        <v>-3322903</v>
      </c>
      <c r="J7" s="107">
        <f ca="1">IF(F7=0,0,H7/F7)</f>
        <v>-1</v>
      </c>
      <c r="L7" s="164">
        <v>46200000</v>
      </c>
    </row>
    <row r="8" spans="1:12" ht="13.5" x14ac:dyDescent="0.25">
      <c r="A8" s="32">
        <v>510</v>
      </c>
      <c r="B8" s="25" t="s">
        <v>140</v>
      </c>
      <c r="D8" s="12">
        <f ca="1">SUMIF(FASB_IS,A8,'Exh B'!$N$9:$N$22)+SUMIF(FASB_ADJ,A8,Adjustments!$N$9:$N$71)</f>
        <v>0</v>
      </c>
      <c r="F8" s="12">
        <f>HLOOKUP($F$3,PriorYrExhE!$E$1:$BJ$21,8,FALSE)</f>
        <v>0</v>
      </c>
      <c r="H8" s="106">
        <f t="shared" ref="H8:H14" ca="1" si="0">D8-F8</f>
        <v>0</v>
      </c>
      <c r="J8" s="107">
        <f t="shared" ref="J8:J14" si="1">IF(F8=0,0,H8/F8)</f>
        <v>0</v>
      </c>
      <c r="L8" s="164">
        <v>46203000</v>
      </c>
    </row>
    <row r="9" spans="1:12" ht="13.5" x14ac:dyDescent="0.25">
      <c r="A9" s="32">
        <v>520</v>
      </c>
      <c r="B9" s="25" t="s">
        <v>141</v>
      </c>
      <c r="D9" s="12">
        <f ca="1">SUMIF(FASB_IS,A9,'Exh B'!$N$9:$N$22)+SUMIF(FASB_ADJ,A9,Adjustments!$N$9:$N$71)</f>
        <v>0</v>
      </c>
      <c r="F9" s="12">
        <f>HLOOKUP($F$3,PriorYrExhE!$E$1:$BJ$21,9,FALSE)</f>
        <v>0</v>
      </c>
      <c r="H9" s="106">
        <f t="shared" ca="1" si="0"/>
        <v>0</v>
      </c>
      <c r="J9" s="107">
        <f t="shared" si="1"/>
        <v>0</v>
      </c>
      <c r="L9" s="164">
        <v>46205000</v>
      </c>
    </row>
    <row r="10" spans="1:12" ht="13.5" x14ac:dyDescent="0.25">
      <c r="A10" s="32">
        <v>530</v>
      </c>
      <c r="B10" s="25" t="s">
        <v>101</v>
      </c>
      <c r="D10" s="12">
        <f ca="1">SUMIF(FASB_IS,A10,'Exh B'!$N$9:$N$22)+SUMIF(FASB_ADJ,A10,Adjustments!$N$9:$N$71)</f>
        <v>0</v>
      </c>
      <c r="F10" s="12">
        <f>HLOOKUP($F$3,PriorYrExhE!$E$1:$BJ$21,10,FALSE)</f>
        <v>227662</v>
      </c>
      <c r="H10" s="106">
        <f t="shared" ca="1" si="0"/>
        <v>-227662</v>
      </c>
      <c r="J10" s="107">
        <f t="shared" ca="1" si="1"/>
        <v>-1</v>
      </c>
      <c r="L10" s="171">
        <v>43111000</v>
      </c>
    </row>
    <row r="11" spans="1:12" ht="13.5" x14ac:dyDescent="0.25">
      <c r="A11" s="32">
        <v>540</v>
      </c>
      <c r="B11" s="25" t="s">
        <v>103</v>
      </c>
      <c r="D11" s="12">
        <f ca="1">SUMIF(FASB_IS,A11,'Exh B'!$N$9:$N$22)+SUMIF(FASB_ADJ,A11,Adjustments!$N$9:$N$71)</f>
        <v>0</v>
      </c>
      <c r="F11" s="12">
        <f>HLOOKUP($F$3,PriorYrExhE!$E$1:$BJ$21,11,FALSE)</f>
        <v>0</v>
      </c>
      <c r="H11" s="106">
        <f t="shared" ca="1" si="0"/>
        <v>0</v>
      </c>
      <c r="J11" s="107">
        <f t="shared" si="1"/>
        <v>0</v>
      </c>
      <c r="L11" s="164">
        <v>44101000</v>
      </c>
    </row>
    <row r="12" spans="1:12" ht="13.5" x14ac:dyDescent="0.25">
      <c r="A12" s="32">
        <v>550</v>
      </c>
      <c r="B12" s="25" t="s">
        <v>261</v>
      </c>
      <c r="D12" s="12">
        <f ca="1">SUMIF(FASB_IS,A12,'Exh B'!$N$9:$N$22)+SUMIF(FASB_ADJ,A12,Adjustments!$N$9:$N$71)</f>
        <v>0</v>
      </c>
      <c r="F12" s="12">
        <f>HLOOKUP($F$3,PriorYrExhE!$E$1:$BJ$21,12,FALSE)</f>
        <v>0</v>
      </c>
      <c r="H12" s="106">
        <f t="shared" ca="1" si="0"/>
        <v>0</v>
      </c>
      <c r="J12" s="107">
        <f t="shared" si="1"/>
        <v>0</v>
      </c>
      <c r="L12" s="164">
        <v>44410000</v>
      </c>
    </row>
    <row r="13" spans="1:12" ht="13.5" x14ac:dyDescent="0.25">
      <c r="A13" s="32">
        <v>555</v>
      </c>
      <c r="B13" s="25" t="s">
        <v>105</v>
      </c>
      <c r="D13" s="12">
        <f ca="1">SUMIF(FASB_IS,A13,'Exh B'!$N$9:$N$22)+SUMIF(FASB_ADJ,A13,Adjustments!$N$9:$N$71)</f>
        <v>0</v>
      </c>
      <c r="F13" s="12">
        <f>HLOOKUP($F$3,PriorYrExhE!$E$1:$BJ$21,13,FALSE)</f>
        <v>0</v>
      </c>
      <c r="H13" s="106">
        <f t="shared" ca="1" si="0"/>
        <v>0</v>
      </c>
      <c r="J13" s="107">
        <f t="shared" si="1"/>
        <v>0</v>
      </c>
      <c r="L13" s="171">
        <v>44330000</v>
      </c>
    </row>
    <row r="14" spans="1:12" ht="13.5" x14ac:dyDescent="0.25">
      <c r="A14" s="32">
        <v>560</v>
      </c>
      <c r="B14" s="25" t="s">
        <v>262</v>
      </c>
      <c r="D14" s="12">
        <f ca="1">SUMIF(FASB_IS,A14,'Exh B'!$N$9:$N$22)+SUMIF(FASB_ADJ,A14,Adjustments!$N$9:$N$71)</f>
        <v>0</v>
      </c>
      <c r="F14" s="12">
        <f>HLOOKUP($F$3,PriorYrExhE!$E$1:$BJ$21,14,FALSE)</f>
        <v>8427</v>
      </c>
      <c r="H14" s="106">
        <f t="shared" ca="1" si="0"/>
        <v>-8427</v>
      </c>
      <c r="J14" s="107">
        <f t="shared" ca="1" si="1"/>
        <v>-1</v>
      </c>
      <c r="L14" s="164">
        <v>47996000</v>
      </c>
    </row>
    <row r="15" spans="1:12" x14ac:dyDescent="0.2">
      <c r="A15" s="32"/>
      <c r="B15" s="2" t="s">
        <v>107</v>
      </c>
      <c r="D15" s="20">
        <f ca="1">SUM(D7:D14)</f>
        <v>0</v>
      </c>
      <c r="F15" s="20">
        <f>SUM(F7:F14)</f>
        <v>3558992</v>
      </c>
    </row>
    <row r="16" spans="1:12" ht="13.9" customHeight="1" x14ac:dyDescent="0.2">
      <c r="A16" s="32"/>
    </row>
    <row r="17" spans="1:12" x14ac:dyDescent="0.2">
      <c r="A17" s="32"/>
      <c r="B17" s="1" t="s">
        <v>263</v>
      </c>
    </row>
    <row r="18" spans="1:12" ht="15" x14ac:dyDescent="0.25">
      <c r="A18" s="32">
        <v>604</v>
      </c>
      <c r="B18" s="173" t="s">
        <v>264</v>
      </c>
      <c r="D18" s="12">
        <f ca="1">SUMIF(FASB_IS,A18,'Exh B'!$N$9:$N$22)+SUMIF(FASB_ADJ,A18,Adjustments!$N$9:$N$71)</f>
        <v>0</v>
      </c>
      <c r="F18" s="12">
        <f>HLOOKUP($F$3,PriorYrExhE!$E$1:$BJ$21,18,FALSE)</f>
        <v>0</v>
      </c>
      <c r="H18" s="106">
        <f ca="1">D18-F18</f>
        <v>0</v>
      </c>
      <c r="J18" s="107">
        <f>IF(F18=0,0,H18/F18)</f>
        <v>0</v>
      </c>
      <c r="L18" s="164" t="s">
        <v>265</v>
      </c>
    </row>
    <row r="19" spans="1:12" ht="15" x14ac:dyDescent="0.25">
      <c r="A19" s="32">
        <v>600</v>
      </c>
      <c r="B19" s="173" t="s">
        <v>266</v>
      </c>
      <c r="D19" s="12">
        <f ca="1">SUMIF(FASB_IS,A19,'Exh B'!$N$9:$N$22)+SUMIF(FASB_ADJ,A19,Adjustments!$N$9:$N$71)</f>
        <v>0</v>
      </c>
      <c r="F19" s="12">
        <f>HLOOKUP($F$3,PriorYrExhE!$E$1:$BJ$21,19,FALSE)</f>
        <v>0</v>
      </c>
      <c r="H19" s="106">
        <f ca="1">D19-F19</f>
        <v>0</v>
      </c>
      <c r="J19" s="107">
        <f>IF(F19=0,0,H19/F19)</f>
        <v>0</v>
      </c>
      <c r="L19" s="164" t="s">
        <v>267</v>
      </c>
    </row>
    <row r="20" spans="1:12" ht="15" x14ac:dyDescent="0.25">
      <c r="A20" s="32">
        <v>602</v>
      </c>
      <c r="B20" s="173" t="s">
        <v>268</v>
      </c>
      <c r="D20" s="12">
        <f ca="1">SUMIF(FASB_IS,A20,'Exh B'!$N$9:$N$22)+SUMIF(FASB_ADJ,A20,Adjustments!$N$9:$N$71)</f>
        <v>0</v>
      </c>
      <c r="F20" s="12">
        <f>HLOOKUP($F$3,PriorYrExhE!$E$1:$BJ$21,20,FALSE)</f>
        <v>0</v>
      </c>
      <c r="H20" s="106">
        <f ca="1">D20-F20</f>
        <v>0</v>
      </c>
      <c r="J20" s="107">
        <f>IF(F20=0,0,H20/F20)</f>
        <v>0</v>
      </c>
      <c r="L20" s="164" t="s">
        <v>269</v>
      </c>
    </row>
    <row r="21" spans="1:12" ht="13.5" x14ac:dyDescent="0.25">
      <c r="A21" s="32">
        <v>610</v>
      </c>
      <c r="B21" s="173" t="s">
        <v>270</v>
      </c>
      <c r="D21" s="10">
        <f ca="1">SUMIF(FASB_IS,A21,'Exh B'!$N$9:$N$22)+SUMIF(FASB_ADJ,A21,Adjustments!$N$9:$N$71)</f>
        <v>0</v>
      </c>
      <c r="F21" s="12">
        <f>HLOOKUP($F$3,PriorYrExhE!$E$1:$BJ$21,21,FALSE)</f>
        <v>3825061</v>
      </c>
      <c r="H21" s="106">
        <f ca="1">D21-F21</f>
        <v>-3825061</v>
      </c>
      <c r="J21" s="107">
        <f ca="1">IF(F21=0,0,H21/F21)</f>
        <v>-1</v>
      </c>
      <c r="L21" s="171">
        <v>55900000</v>
      </c>
    </row>
    <row r="22" spans="1:12" x14ac:dyDescent="0.2">
      <c r="A22" s="32"/>
      <c r="B22" s="2" t="s">
        <v>111</v>
      </c>
      <c r="D22" s="20">
        <f ca="1">SUM(D18:D21)</f>
        <v>0</v>
      </c>
      <c r="F22" s="20">
        <f>SUM(F18:F21)</f>
        <v>3825061</v>
      </c>
    </row>
    <row r="24" spans="1:12" ht="13.5" x14ac:dyDescent="0.25">
      <c r="B24" s="179" t="s">
        <v>271</v>
      </c>
      <c r="D24" s="12">
        <f ca="1">D15-D22</f>
        <v>0</v>
      </c>
      <c r="F24" s="12">
        <f>HLOOKUP($F$3,PriorYrExhE!$E$1:$BJ$27,24,FALSE)</f>
        <v>-266069</v>
      </c>
      <c r="H24" s="106">
        <f ca="1">D24-F24</f>
        <v>266069</v>
      </c>
      <c r="J24" s="107">
        <f ca="1">IF(F24=0,0,H24/F24)</f>
        <v>-1</v>
      </c>
    </row>
    <row r="26" spans="1:12" ht="13.5" x14ac:dyDescent="0.25">
      <c r="A26" s="31">
        <v>340</v>
      </c>
      <c r="B26" s="173" t="s">
        <v>272</v>
      </c>
      <c r="D26" s="12">
        <f>'Exh B'!N27</f>
        <v>17458406</v>
      </c>
      <c r="F26" s="12">
        <f>HLOOKUP($F$3,PriorYrExhE!$E$1:$BJ$27,26,FALSE)</f>
        <v>17724475</v>
      </c>
      <c r="H26" s="106">
        <f>D26-F26</f>
        <v>-266069</v>
      </c>
      <c r="J26" s="107">
        <f>IF(F26=0,0,H26/F26)</f>
        <v>-1.5011389618028179E-2</v>
      </c>
    </row>
    <row r="27" spans="1:12" ht="13.5" x14ac:dyDescent="0.25">
      <c r="A27" s="31">
        <v>350</v>
      </c>
      <c r="B27" t="s">
        <v>273</v>
      </c>
      <c r="D27" s="10">
        <f>'Exh B'!N28</f>
        <v>0</v>
      </c>
      <c r="F27" s="12">
        <f>HLOOKUP($F$3,PriorYrExhE!$E$1:$BJ$27,27,FALSE)</f>
        <v>0</v>
      </c>
      <c r="H27" s="106">
        <f>D27-F27</f>
        <v>0</v>
      </c>
      <c r="J27" s="107">
        <f>IF(F27=0,0,H27/F27)</f>
        <v>0</v>
      </c>
      <c r="L27" s="164">
        <v>33000100</v>
      </c>
    </row>
    <row r="28" spans="1:12" ht="13.5" thickBot="1" x14ac:dyDescent="0.25">
      <c r="B28" s="173" t="s">
        <v>274</v>
      </c>
      <c r="D28" s="11">
        <f ca="1">D24+D26+D27</f>
        <v>17458406</v>
      </c>
      <c r="F28" s="11">
        <f>F24+F26+F27</f>
        <v>17458406</v>
      </c>
    </row>
    <row r="29" spans="1:12" ht="13.5" thickTop="1" x14ac:dyDescent="0.2"/>
    <row r="30" spans="1:12" x14ac:dyDescent="0.2">
      <c r="B30" s="22" t="s">
        <v>275</v>
      </c>
      <c r="D30" s="34" t="str">
        <f ca="1">IF(D28='Exh D'!D40,"OK","ERROR")</f>
        <v>ERROR</v>
      </c>
      <c r="F30" s="34" t="str">
        <f>IF(F28='Exh D'!F40,"OK","ERROR")</f>
        <v>OK</v>
      </c>
    </row>
    <row r="31" spans="1:12" x14ac:dyDescent="0.2">
      <c r="B31" s="22"/>
    </row>
    <row r="32" spans="1:12" x14ac:dyDescent="0.2">
      <c r="A32" s="24" t="s">
        <v>80</v>
      </c>
    </row>
    <row r="34" spans="1:8" x14ac:dyDescent="0.2">
      <c r="A34" s="46" t="s">
        <v>81</v>
      </c>
      <c r="B34" s="173" t="s">
        <v>276</v>
      </c>
    </row>
    <row r="35" spans="1:8" x14ac:dyDescent="0.2">
      <c r="B35" t="s">
        <v>248</v>
      </c>
    </row>
    <row r="36" spans="1:8" ht="3.95" customHeight="1" x14ac:dyDescent="0.2"/>
    <row r="37" spans="1:8" x14ac:dyDescent="0.2">
      <c r="A37" s="175" t="s">
        <v>84</v>
      </c>
      <c r="B37" s="127" t="s">
        <v>249</v>
      </c>
      <c r="C37" s="127"/>
      <c r="D37" s="127"/>
      <c r="E37" s="127"/>
      <c r="F37" s="127"/>
      <c r="G37" s="127"/>
      <c r="H37" s="127"/>
    </row>
    <row r="38" spans="1:8" x14ac:dyDescent="0.2">
      <c r="B38" s="127" t="s">
        <v>250</v>
      </c>
      <c r="C38" s="127"/>
      <c r="D38" s="127"/>
      <c r="E38" s="127"/>
      <c r="F38" s="127"/>
      <c r="G38" s="127"/>
      <c r="H38" s="127"/>
    </row>
    <row r="39" spans="1:8" x14ac:dyDescent="0.2">
      <c r="B39" s="127" t="s">
        <v>251</v>
      </c>
      <c r="C39" s="127"/>
      <c r="D39" s="127"/>
      <c r="E39" s="127"/>
      <c r="F39" s="127"/>
      <c r="G39" s="127"/>
      <c r="H39" s="127"/>
    </row>
    <row r="40" spans="1:8" x14ac:dyDescent="0.2">
      <c r="B40" s="127" t="s">
        <v>252</v>
      </c>
      <c r="C40" s="127"/>
      <c r="D40" s="127"/>
      <c r="E40" s="127"/>
      <c r="F40" s="127"/>
      <c r="G40" s="127"/>
      <c r="H40" s="127"/>
    </row>
    <row r="41" spans="1:8" ht="3.95" customHeight="1" x14ac:dyDescent="0.2"/>
    <row r="42" spans="1:8" x14ac:dyDescent="0.2">
      <c r="B42" s="22" t="s">
        <v>277</v>
      </c>
      <c r="C42" s="22"/>
      <c r="D42" s="22"/>
      <c r="E42" s="22"/>
      <c r="F42" s="22"/>
    </row>
    <row r="43" spans="1:8" x14ac:dyDescent="0.2">
      <c r="B43" s="22" t="s">
        <v>278</v>
      </c>
      <c r="C43" s="22"/>
      <c r="D43" s="22"/>
      <c r="E43" s="22"/>
      <c r="F43" s="22"/>
    </row>
    <row r="44" spans="1:8" x14ac:dyDescent="0.2">
      <c r="B44" s="22" t="s">
        <v>279</v>
      </c>
      <c r="C44" s="22"/>
      <c r="D44" s="22"/>
      <c r="E44" s="22"/>
      <c r="F44" s="22"/>
    </row>
    <row r="45" spans="1:8" x14ac:dyDescent="0.2">
      <c r="B45" s="22"/>
    </row>
  </sheetData>
  <sheetProtection algorithmName="SHA-512" hashValue="6mDl2VlyO5MirIF1Xu6dOmyUi4jw9AlcK3H0q7xWBsi0jiwQVjBbj0fKS3Tos+NeCdAJKbJoT5B1r4xo8wnCIQ==" saltValue="7ttUC7BmMZWVOZbNyf2oHg==" spinCount="100000" sheet="1" autoFilter="0"/>
  <phoneticPr fontId="0" type="noConversion"/>
  <conditionalFormatting sqref="D30">
    <cfRule type="cellIs" dxfId="10" priority="2" stopIfTrue="1" operator="equal">
      <formula>"ERROR"</formula>
    </cfRule>
  </conditionalFormatting>
  <conditionalFormatting sqref="F30">
    <cfRule type="cellIs" dxfId="9" priority="1" stopIfTrue="1" operator="equal">
      <formula>"ERROR"</formula>
    </cfRule>
  </conditionalFormatting>
  <pageMargins left="0.75" right="0.75" top="0.5" bottom="0.5" header="0.5" footer="0.2"/>
  <pageSetup scale="86" orientation="landscape"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B90A-7463-4E06-B2B5-181BFBFF2327}">
  <sheetPr>
    <tabColor rgb="FFFF0000"/>
    <pageSetUpPr fitToPage="1"/>
  </sheetPr>
  <dimension ref="A1:I51"/>
  <sheetViews>
    <sheetView tabSelected="1" topLeftCell="A2" workbookViewId="0">
      <selection activeCell="F33" sqref="F33"/>
    </sheetView>
  </sheetViews>
  <sheetFormatPr defaultRowHeight="12.75" x14ac:dyDescent="0.2"/>
  <cols>
    <col min="1" max="1" width="8.85546875" customWidth="1"/>
    <col min="2" max="2" width="40.28515625" customWidth="1"/>
    <col min="3" max="3" width="32.5703125" customWidth="1"/>
    <col min="4" max="4" width="21.140625" customWidth="1"/>
    <col min="5" max="7" width="24.85546875" customWidth="1"/>
    <col min="8" max="8" width="31.5703125" customWidth="1"/>
    <col min="9" max="9" width="45.140625" customWidth="1"/>
  </cols>
  <sheetData>
    <row r="1" spans="2:9" ht="23.25" x14ac:dyDescent="0.35">
      <c r="B1" s="216" t="s">
        <v>569</v>
      </c>
    </row>
    <row r="2" spans="2:9" s="173" customFormat="1" ht="18.600000000000001" customHeight="1" x14ac:dyDescent="0.2">
      <c r="B2" s="1" t="str">
        <f>CONCATENATE(Info!D7," Foundations")</f>
        <v>Alamance Community College Foundations</v>
      </c>
      <c r="F2" s="30"/>
    </row>
    <row r="3" spans="2:9" s="173" customFormat="1" ht="18.600000000000001" customHeight="1" x14ac:dyDescent="0.2">
      <c r="B3" s="175" t="s">
        <v>570</v>
      </c>
      <c r="F3" s="30"/>
    </row>
    <row r="4" spans="2:9" s="173" customFormat="1" ht="13.5" thickBot="1" x14ac:dyDescent="0.25">
      <c r="B4" s="175"/>
      <c r="F4" s="30"/>
    </row>
    <row r="5" spans="2:9" s="173" customFormat="1" ht="13.5" thickBot="1" x14ac:dyDescent="0.25">
      <c r="B5" s="256" t="s">
        <v>571</v>
      </c>
      <c r="C5" s="257"/>
      <c r="D5" s="257"/>
      <c r="E5" s="257"/>
      <c r="F5" s="258"/>
      <c r="G5" s="257"/>
      <c r="H5" s="259"/>
    </row>
    <row r="6" spans="2:9" s="173" customFormat="1" x14ac:dyDescent="0.2">
      <c r="B6" s="260" t="s">
        <v>572</v>
      </c>
      <c r="C6" s="261"/>
      <c r="D6" s="261"/>
      <c r="E6" s="261"/>
      <c r="F6" s="262"/>
      <c r="G6" s="261"/>
      <c r="H6" s="263"/>
    </row>
    <row r="7" spans="2:9" s="173" customFormat="1" ht="18.600000000000001" customHeight="1" x14ac:dyDescent="0.2">
      <c r="B7" s="264" t="s">
        <v>687</v>
      </c>
      <c r="C7" s="261"/>
      <c r="D7" s="261"/>
      <c r="E7" s="261"/>
      <c r="F7" s="262"/>
      <c r="G7" s="261"/>
      <c r="H7" s="263"/>
    </row>
    <row r="8" spans="2:9" s="173" customFormat="1" ht="18.600000000000001" customHeight="1" x14ac:dyDescent="0.2">
      <c r="B8" s="264" t="s">
        <v>688</v>
      </c>
      <c r="C8" s="261"/>
      <c r="D8" s="261"/>
      <c r="E8" s="261"/>
      <c r="F8" s="262"/>
      <c r="G8" s="261"/>
      <c r="H8" s="263"/>
    </row>
    <row r="9" spans="2:9" s="173" customFormat="1" x14ac:dyDescent="0.2">
      <c r="B9" s="264" t="s">
        <v>689</v>
      </c>
      <c r="C9" s="261"/>
      <c r="D9" s="261"/>
      <c r="E9" s="261"/>
      <c r="F9" s="262"/>
      <c r="G9" s="261"/>
      <c r="H9" s="263"/>
    </row>
    <row r="10" spans="2:9" s="173" customFormat="1" x14ac:dyDescent="0.2">
      <c r="B10" s="265" t="s">
        <v>690</v>
      </c>
      <c r="C10" s="261"/>
      <c r="D10" s="261"/>
      <c r="E10" s="261"/>
      <c r="F10" s="262"/>
      <c r="G10" s="261"/>
      <c r="H10" s="263"/>
    </row>
    <row r="11" spans="2:9" s="173" customFormat="1" x14ac:dyDescent="0.2">
      <c r="B11" s="264" t="s">
        <v>691</v>
      </c>
      <c r="C11" s="261"/>
      <c r="D11" s="261"/>
      <c r="E11" s="261"/>
      <c r="F11" s="262"/>
      <c r="G11" s="261"/>
      <c r="H11" s="263"/>
    </row>
    <row r="12" spans="2:9" s="173" customFormat="1" x14ac:dyDescent="0.2">
      <c r="B12" s="264" t="s">
        <v>692</v>
      </c>
      <c r="C12" s="261"/>
      <c r="D12" s="261"/>
      <c r="E12" s="261"/>
      <c r="F12" s="262"/>
      <c r="G12" s="261"/>
      <c r="H12" s="263"/>
    </row>
    <row r="13" spans="2:9" s="173" customFormat="1" ht="13.5" thickBot="1" x14ac:dyDescent="0.25">
      <c r="B13" s="266" t="s">
        <v>693</v>
      </c>
      <c r="C13" s="267"/>
      <c r="D13" s="267"/>
      <c r="E13" s="268"/>
      <c r="F13" s="268" t="s">
        <v>694</v>
      </c>
      <c r="G13" s="267"/>
      <c r="H13" s="269"/>
    </row>
    <row r="14" spans="2:9" s="173" customFormat="1" ht="12.75" customHeight="1" x14ac:dyDescent="0.2">
      <c r="C14" s="1"/>
    </row>
    <row r="15" spans="2:9" s="173" customFormat="1" ht="12.75" customHeight="1" x14ac:dyDescent="0.2">
      <c r="C15" s="45"/>
      <c r="D15" s="239" t="s">
        <v>607</v>
      </c>
      <c r="E15" s="239" t="s">
        <v>608</v>
      </c>
      <c r="F15" s="239" t="s">
        <v>609</v>
      </c>
      <c r="H15" s="240" t="s">
        <v>610</v>
      </c>
    </row>
    <row r="16" spans="2:9" s="173" customFormat="1" ht="12.75" customHeight="1" x14ac:dyDescent="0.2">
      <c r="B16" s="237" t="s">
        <v>611</v>
      </c>
      <c r="C16" s="237"/>
      <c r="D16" s="237">
        <v>1</v>
      </c>
      <c r="E16" s="237">
        <v>2</v>
      </c>
      <c r="F16" s="237">
        <v>3</v>
      </c>
      <c r="G16" s="236">
        <v>4</v>
      </c>
      <c r="H16" s="238">
        <v>5</v>
      </c>
      <c r="I16" s="273">
        <v>6</v>
      </c>
    </row>
    <row r="17" spans="1:9" s="220" customFormat="1" ht="25.5" x14ac:dyDescent="0.2">
      <c r="A17" s="217" t="s">
        <v>573</v>
      </c>
      <c r="B17" s="218" t="s">
        <v>616</v>
      </c>
      <c r="C17" s="241">
        <f>'Exh E'!D27</f>
        <v>0</v>
      </c>
      <c r="D17" s="219" t="s">
        <v>612</v>
      </c>
      <c r="E17" s="242" t="s">
        <v>114</v>
      </c>
      <c r="F17" s="243" t="s">
        <v>613</v>
      </c>
      <c r="G17" s="243" t="s">
        <v>586</v>
      </c>
      <c r="H17" s="243" t="s">
        <v>587</v>
      </c>
      <c r="I17" s="274" t="s">
        <v>696</v>
      </c>
    </row>
    <row r="18" spans="1:9" ht="13.15" customHeight="1" x14ac:dyDescent="0.2">
      <c r="B18" s="315" t="s">
        <v>574</v>
      </c>
      <c r="C18" s="316"/>
      <c r="D18" s="316"/>
      <c r="E18" s="316"/>
      <c r="F18" s="316"/>
      <c r="G18" s="316"/>
      <c r="H18" s="317"/>
      <c r="I18" s="221"/>
    </row>
    <row r="19" spans="1:9" ht="13.15" customHeight="1" x14ac:dyDescent="0.2">
      <c r="A19" s="318" t="s">
        <v>575</v>
      </c>
      <c r="B19" s="222" t="s">
        <v>162</v>
      </c>
      <c r="C19" s="245" t="s">
        <v>617</v>
      </c>
      <c r="D19" s="248"/>
      <c r="E19" s="248"/>
      <c r="F19" s="223">
        <f>D19+E19</f>
        <v>0</v>
      </c>
      <c r="G19" s="223" t="s">
        <v>588</v>
      </c>
      <c r="H19" s="245" t="s">
        <v>588</v>
      </c>
      <c r="I19" s="224"/>
    </row>
    <row r="20" spans="1:9" x14ac:dyDescent="0.2">
      <c r="A20" s="318"/>
      <c r="B20" s="222" t="s">
        <v>576</v>
      </c>
      <c r="C20" s="245" t="s">
        <v>618</v>
      </c>
      <c r="D20" s="248"/>
      <c r="E20" s="248"/>
      <c r="F20" s="223">
        <f t="shared" ref="F20:F22" si="0">D20+E20</f>
        <v>0</v>
      </c>
      <c r="G20" s="223" t="s">
        <v>588</v>
      </c>
      <c r="H20" s="245" t="s">
        <v>588</v>
      </c>
      <c r="I20" s="224"/>
    </row>
    <row r="21" spans="1:9" x14ac:dyDescent="0.2">
      <c r="A21" s="318"/>
      <c r="B21" s="222" t="s">
        <v>577</v>
      </c>
      <c r="C21" s="245" t="s">
        <v>619</v>
      </c>
      <c r="D21" s="248"/>
      <c r="E21" s="248"/>
      <c r="F21" s="223">
        <f t="shared" si="0"/>
        <v>0</v>
      </c>
      <c r="G21" s="223" t="s">
        <v>588</v>
      </c>
      <c r="H21" s="245" t="s">
        <v>588</v>
      </c>
      <c r="I21" s="224"/>
    </row>
    <row r="22" spans="1:9" ht="13.5" thickBot="1" x14ac:dyDescent="0.25">
      <c r="A22" s="318"/>
      <c r="B22" s="222" t="s">
        <v>242</v>
      </c>
      <c r="C22" s="245" t="s">
        <v>620</v>
      </c>
      <c r="D22" s="248"/>
      <c r="E22" s="248"/>
      <c r="F22" s="223">
        <f t="shared" si="0"/>
        <v>0</v>
      </c>
      <c r="G22" s="223" t="s">
        <v>588</v>
      </c>
      <c r="H22" s="245" t="s">
        <v>588</v>
      </c>
      <c r="I22" s="224"/>
    </row>
    <row r="23" spans="1:9" ht="21" customHeight="1" thickBot="1" x14ac:dyDescent="0.25">
      <c r="A23" s="272" t="s">
        <v>695</v>
      </c>
      <c r="B23" s="270"/>
      <c r="C23" s="270"/>
      <c r="D23" s="271" t="str">
        <f>IF(C17=0,"OK",IF(C17&lt;&gt;0,IF((SUM(D19:D22)=0),"Enter beginning balance","OK")))</f>
        <v>OK</v>
      </c>
      <c r="E23" s="271" t="str">
        <f>IF(C17=0,"OK",IF(C17&lt;&gt;0,IF((SUM(E19:E22)=C17),"OK","Check restatement amount")))</f>
        <v>OK</v>
      </c>
      <c r="F23" s="270"/>
      <c r="G23" s="270"/>
      <c r="H23" s="270"/>
      <c r="I23" s="270"/>
    </row>
    <row r="24" spans="1:9" x14ac:dyDescent="0.2">
      <c r="A24" s="225"/>
      <c r="B24" s="244" t="s">
        <v>615</v>
      </c>
      <c r="C24" s="227"/>
      <c r="D24" s="228"/>
      <c r="E24" s="228"/>
      <c r="F24" s="228"/>
      <c r="G24" s="229"/>
      <c r="H24" s="227"/>
      <c r="I24" s="319"/>
    </row>
    <row r="25" spans="1:9" x14ac:dyDescent="0.2">
      <c r="A25" s="225"/>
      <c r="B25" s="226" t="s">
        <v>40</v>
      </c>
      <c r="C25" s="320" t="s">
        <v>621</v>
      </c>
      <c r="D25" s="321"/>
      <c r="E25" s="321"/>
      <c r="F25" s="321"/>
      <c r="G25" s="321"/>
      <c r="H25" s="322"/>
      <c r="I25" s="319"/>
    </row>
    <row r="26" spans="1:9" x14ac:dyDescent="0.2">
      <c r="A26" s="318" t="s">
        <v>578</v>
      </c>
      <c r="B26" s="235" t="s">
        <v>579</v>
      </c>
      <c r="C26" s="245" t="str">
        <f>VLOOKUP(B26,Notes!$E$3:$F$26,2,FALSE)</f>
        <v>OSC Use only</v>
      </c>
      <c r="D26" s="248"/>
      <c r="E26" s="248"/>
      <c r="F26" s="249">
        <f t="shared" ref="F26:F41" si="1">D26+E26</f>
        <v>0</v>
      </c>
      <c r="G26" s="223" t="s">
        <v>588</v>
      </c>
      <c r="H26" s="245" t="s">
        <v>588</v>
      </c>
      <c r="I26" s="224"/>
    </row>
    <row r="27" spans="1:9" x14ac:dyDescent="0.2">
      <c r="A27" s="318"/>
      <c r="B27" s="235" t="s">
        <v>579</v>
      </c>
      <c r="C27" s="245" t="str">
        <f>VLOOKUP(B27,Notes!$E$3:$F$26,2,FALSE)</f>
        <v>OSC Use only</v>
      </c>
      <c r="D27" s="248"/>
      <c r="E27" s="248"/>
      <c r="F27" s="249">
        <f t="shared" si="1"/>
        <v>0</v>
      </c>
      <c r="G27" s="223" t="s">
        <v>588</v>
      </c>
      <c r="H27" s="245" t="s">
        <v>588</v>
      </c>
      <c r="I27" s="224"/>
    </row>
    <row r="28" spans="1:9" x14ac:dyDescent="0.2">
      <c r="A28" s="318"/>
      <c r="B28" s="235" t="s">
        <v>579</v>
      </c>
      <c r="C28" s="245" t="str">
        <f>VLOOKUP(B28,Notes!$E$3:$F$26,2,FALSE)</f>
        <v>OSC Use only</v>
      </c>
      <c r="D28" s="248"/>
      <c r="E28" s="248"/>
      <c r="F28" s="249">
        <f t="shared" si="1"/>
        <v>0</v>
      </c>
      <c r="G28" s="223" t="s">
        <v>588</v>
      </c>
      <c r="H28" s="245" t="s">
        <v>588</v>
      </c>
      <c r="I28" s="224"/>
    </row>
    <row r="29" spans="1:9" x14ac:dyDescent="0.2">
      <c r="B29" s="226" t="s">
        <v>580</v>
      </c>
      <c r="C29" s="320" t="s">
        <v>622</v>
      </c>
      <c r="D29" s="321"/>
      <c r="E29" s="321"/>
      <c r="F29" s="321"/>
      <c r="G29" s="321"/>
      <c r="H29" s="322"/>
      <c r="I29" s="221"/>
    </row>
    <row r="30" spans="1:9" x14ac:dyDescent="0.2">
      <c r="A30" s="318" t="s">
        <v>581</v>
      </c>
      <c r="B30" s="235" t="s">
        <v>579</v>
      </c>
      <c r="C30" s="245" t="str">
        <f>VLOOKUP(B30,Notes!$E$27:$F$47,2,FALSE)</f>
        <v>OSC Use only</v>
      </c>
      <c r="D30" s="248"/>
      <c r="E30" s="248"/>
      <c r="F30" s="249">
        <f t="shared" si="1"/>
        <v>0</v>
      </c>
      <c r="G30" s="223" t="s">
        <v>588</v>
      </c>
      <c r="H30" s="245" t="s">
        <v>588</v>
      </c>
      <c r="I30" s="224"/>
    </row>
    <row r="31" spans="1:9" x14ac:dyDescent="0.2">
      <c r="A31" s="318"/>
      <c r="B31" s="235" t="s">
        <v>579</v>
      </c>
      <c r="C31" s="245" t="str">
        <f>VLOOKUP(B31,Notes!$E$27:$F$47,2,FALSE)</f>
        <v>OSC Use only</v>
      </c>
      <c r="D31" s="248"/>
      <c r="E31" s="248"/>
      <c r="F31" s="249">
        <f t="shared" si="1"/>
        <v>0</v>
      </c>
      <c r="G31" s="223" t="s">
        <v>588</v>
      </c>
      <c r="H31" s="245" t="s">
        <v>588</v>
      </c>
      <c r="I31" s="224"/>
    </row>
    <row r="32" spans="1:9" ht="13.5" thickBot="1" x14ac:dyDescent="0.25">
      <c r="A32" s="318"/>
      <c r="B32" s="235" t="s">
        <v>579</v>
      </c>
      <c r="C32" s="245" t="str">
        <f>VLOOKUP(B32,Notes!$E$27:$F$47,2,FALSE)</f>
        <v>OSC Use only</v>
      </c>
      <c r="D32" s="248"/>
      <c r="E32" s="248"/>
      <c r="F32" s="249">
        <f t="shared" si="1"/>
        <v>0</v>
      </c>
      <c r="G32" s="223" t="s">
        <v>588</v>
      </c>
      <c r="H32" s="245" t="s">
        <v>588</v>
      </c>
      <c r="I32" s="224"/>
    </row>
    <row r="33" spans="1:9" ht="18.75" thickBot="1" x14ac:dyDescent="0.25">
      <c r="A33" s="275"/>
      <c r="B33" s="329" t="s">
        <v>697</v>
      </c>
      <c r="C33" s="329"/>
      <c r="D33" s="330"/>
      <c r="E33" s="276">
        <f>SUM(E26:E28)-SUM(E30:E32)</f>
        <v>0</v>
      </c>
      <c r="F33" s="277" t="str">
        <f>IF(E33&lt;&gt;0,"Ensure Balance Sheet Change Equals Operating Statement Change","")</f>
        <v/>
      </c>
      <c r="G33" s="277"/>
      <c r="H33" s="278"/>
      <c r="I33" s="278"/>
    </row>
    <row r="34" spans="1:9" x14ac:dyDescent="0.2">
      <c r="B34" s="226" t="s">
        <v>260</v>
      </c>
      <c r="C34" s="320" t="s">
        <v>623</v>
      </c>
      <c r="D34" s="321"/>
      <c r="E34" s="321"/>
      <c r="F34" s="321"/>
      <c r="G34" s="321"/>
      <c r="H34" s="322"/>
      <c r="I34" s="230"/>
    </row>
    <row r="35" spans="1:9" x14ac:dyDescent="0.2">
      <c r="A35" s="318" t="s">
        <v>582</v>
      </c>
      <c r="B35" s="235" t="s">
        <v>579</v>
      </c>
      <c r="C35" s="245" t="str">
        <f>VLOOKUP(B35,Notes!$E$50:$F$61,2,FALSE)</f>
        <v>OSC Use only</v>
      </c>
      <c r="D35" s="248"/>
      <c r="E35" s="248"/>
      <c r="F35" s="249">
        <f t="shared" si="1"/>
        <v>0</v>
      </c>
      <c r="G35" s="223" t="s">
        <v>588</v>
      </c>
      <c r="H35" s="245" t="s">
        <v>588</v>
      </c>
      <c r="I35" s="224"/>
    </row>
    <row r="36" spans="1:9" x14ac:dyDescent="0.2">
      <c r="A36" s="318"/>
      <c r="B36" s="235" t="s">
        <v>579</v>
      </c>
      <c r="C36" s="245" t="str">
        <f>VLOOKUP(B36,Notes!$E$50:$F$61,2,FALSE)</f>
        <v>OSC Use only</v>
      </c>
      <c r="D36" s="248"/>
      <c r="E36" s="248"/>
      <c r="F36" s="249">
        <f t="shared" si="1"/>
        <v>0</v>
      </c>
      <c r="G36" s="223" t="s">
        <v>588</v>
      </c>
      <c r="H36" s="245" t="s">
        <v>588</v>
      </c>
      <c r="I36" s="224"/>
    </row>
    <row r="37" spans="1:9" x14ac:dyDescent="0.2">
      <c r="A37" s="318"/>
      <c r="B37" s="235" t="s">
        <v>579</v>
      </c>
      <c r="C37" s="245" t="str">
        <f>VLOOKUP(B37,Notes!$E$50:$F$61,2,FALSE)</f>
        <v>OSC Use only</v>
      </c>
      <c r="D37" s="248"/>
      <c r="E37" s="248"/>
      <c r="F37" s="249">
        <f t="shared" si="1"/>
        <v>0</v>
      </c>
      <c r="G37" s="223" t="s">
        <v>588</v>
      </c>
      <c r="H37" s="245" t="s">
        <v>588</v>
      </c>
      <c r="I37" s="224"/>
    </row>
    <row r="38" spans="1:9" x14ac:dyDescent="0.2">
      <c r="B38" s="226" t="s">
        <v>263</v>
      </c>
      <c r="C38" s="320" t="s">
        <v>624</v>
      </c>
      <c r="D38" s="321"/>
      <c r="E38" s="321"/>
      <c r="F38" s="321"/>
      <c r="G38" s="321"/>
      <c r="H38" s="322"/>
      <c r="I38" s="230"/>
    </row>
    <row r="39" spans="1:9" x14ac:dyDescent="0.2">
      <c r="A39" s="318" t="s">
        <v>583</v>
      </c>
      <c r="B39" s="235" t="s">
        <v>579</v>
      </c>
      <c r="C39" s="245" t="str">
        <f>VLOOKUP(B39,Notes!$E$64:$F$68,2,FALSE)</f>
        <v>OSC Use only</v>
      </c>
      <c r="D39" s="248"/>
      <c r="E39" s="248"/>
      <c r="F39" s="249">
        <f t="shared" si="1"/>
        <v>0</v>
      </c>
      <c r="G39" s="223" t="s">
        <v>588</v>
      </c>
      <c r="H39" s="245" t="s">
        <v>588</v>
      </c>
      <c r="I39" s="224"/>
    </row>
    <row r="40" spans="1:9" x14ac:dyDescent="0.2">
      <c r="A40" s="318"/>
      <c r="B40" s="235" t="s">
        <v>579</v>
      </c>
      <c r="C40" s="245" t="str">
        <f>VLOOKUP(B40,Notes!$E$64:$F$68,2,FALSE)</f>
        <v>OSC Use only</v>
      </c>
      <c r="D40" s="248"/>
      <c r="E40" s="248"/>
      <c r="F40" s="249">
        <f t="shared" si="1"/>
        <v>0</v>
      </c>
      <c r="G40" s="223" t="s">
        <v>588</v>
      </c>
      <c r="H40" s="245" t="s">
        <v>588</v>
      </c>
      <c r="I40" s="224"/>
    </row>
    <row r="41" spans="1:9" x14ac:dyDescent="0.2">
      <c r="A41" s="318"/>
      <c r="B41" s="235" t="s">
        <v>579</v>
      </c>
      <c r="C41" s="245" t="str">
        <f>VLOOKUP(B41,Notes!$E$64:$F$68,2,FALSE)</f>
        <v>OSC Use only</v>
      </c>
      <c r="D41" s="248"/>
      <c r="E41" s="248"/>
      <c r="F41" s="249">
        <f t="shared" si="1"/>
        <v>0</v>
      </c>
      <c r="G41" s="223" t="s">
        <v>588</v>
      </c>
      <c r="H41" s="245" t="s">
        <v>588</v>
      </c>
      <c r="I41" s="224"/>
    </row>
    <row r="42" spans="1:9" x14ac:dyDescent="0.2">
      <c r="A42" s="279"/>
      <c r="B42" s="244" t="s">
        <v>698</v>
      </c>
      <c r="C42" s="280" t="s">
        <v>699</v>
      </c>
      <c r="D42" s="281"/>
      <c r="E42" s="244"/>
      <c r="F42" s="281"/>
      <c r="G42" s="282"/>
      <c r="H42" s="270"/>
      <c r="I42" s="283"/>
    </row>
    <row r="43" spans="1:9" ht="13.5" thickBot="1" x14ac:dyDescent="0.25">
      <c r="A43" s="284" t="s">
        <v>700</v>
      </c>
      <c r="B43" s="285" t="s">
        <v>701</v>
      </c>
      <c r="C43" s="286" t="s">
        <v>701</v>
      </c>
      <c r="D43" s="287"/>
      <c r="E43" s="288"/>
      <c r="F43" s="289">
        <f>+D43+E43</f>
        <v>0</v>
      </c>
      <c r="G43" s="290" t="s">
        <v>702</v>
      </c>
      <c r="H43" s="291" t="s">
        <v>588</v>
      </c>
      <c r="I43" s="292"/>
    </row>
    <row r="44" spans="1:9" ht="18.75" thickBot="1" x14ac:dyDescent="0.25">
      <c r="A44" s="279"/>
      <c r="B44" s="331" t="s">
        <v>703</v>
      </c>
      <c r="C44" s="331"/>
      <c r="D44" s="332"/>
      <c r="E44" s="276">
        <f>(SUM(E35:E37)+E43)-SUM(E39:E41)</f>
        <v>0</v>
      </c>
      <c r="F44" s="277" t="str">
        <f>IF(E44&lt;&gt;0,"Ensure Operating Statement Change Equals Balance Sheet Change.","")</f>
        <v/>
      </c>
      <c r="G44" s="277"/>
      <c r="H44" s="293"/>
      <c r="I44" s="294"/>
    </row>
    <row r="45" spans="1:9" ht="16.5" thickBot="1" x14ac:dyDescent="0.25">
      <c r="B45" s="323" t="s">
        <v>614</v>
      </c>
      <c r="C45" s="324"/>
      <c r="D45" s="325"/>
      <c r="E45" s="250">
        <f>(SUM(E26:E28)+SUM(E35:E37))-((SUM(E30:E32)+SUM(E39:E41)))</f>
        <v>0</v>
      </c>
      <c r="F45" s="326"/>
      <c r="G45" s="327"/>
      <c r="H45" s="328"/>
      <c r="I45" s="224"/>
    </row>
    <row r="46" spans="1:9" ht="31.15" customHeight="1" thickBot="1" x14ac:dyDescent="0.25">
      <c r="A46" s="272" t="s">
        <v>695</v>
      </c>
      <c r="B46" s="295" t="str">
        <f>IF(C17=0,"OK",IF(P47=0,"OK","Choose or Remove 'select an account'"))</f>
        <v>OK</v>
      </c>
      <c r="C46" s="296"/>
      <c r="D46" s="271" t="str">
        <f>IF(C17=0,"OK",IF(SUM(D19:D22)&lt;&gt;0,IF(M47=1,"ERROR - Check the beginning balance of row B, C, D, E or F","OK")))</f>
        <v>OK</v>
      </c>
      <c r="E46" s="297" t="str">
        <f>IF(C17=0,"OK",IF(E48="OK","OK", "ERROR - Check sign or amount at row B, C, D, E or F for Balance Sheet Change or Operating Statement Change"))</f>
        <v>OK</v>
      </c>
      <c r="F46" s="296"/>
      <c r="G46" s="297" t="str">
        <f>IF(R47=0,"OK","Select a restatement category at an appropriate line, or Remove a restatement category at the incorrect line.")</f>
        <v>OK</v>
      </c>
      <c r="H46" s="297" t="str">
        <f>IF(T47=0,"OK","Select a restatement reason at an appropriate line, or Remove a restatement reason at the incorrect line.")</f>
        <v>OK</v>
      </c>
      <c r="I46" s="298" t="str">
        <f>IF(U46=0,"OK","Provide or Remove explanation at column I")</f>
        <v>OK</v>
      </c>
    </row>
    <row r="47" spans="1:9" ht="44.45" customHeight="1" thickBot="1" x14ac:dyDescent="0.25">
      <c r="A47" s="272" t="s">
        <v>695</v>
      </c>
      <c r="B47" s="299" t="s">
        <v>704</v>
      </c>
      <c r="C47" s="275"/>
      <c r="D47" s="275"/>
      <c r="E47" s="298" t="str">
        <f>IF(F49=C17,"OK","ERROR - check restatement amount. The difference is "&amp;TEXT(E49,"$0,000.00."))</f>
        <v>OK</v>
      </c>
      <c r="F47" s="275"/>
      <c r="G47" s="275"/>
      <c r="H47" s="275"/>
      <c r="I47" s="275"/>
    </row>
    <row r="48" spans="1:9" ht="15.75" hidden="1" x14ac:dyDescent="0.2">
      <c r="B48" s="251" t="s">
        <v>669</v>
      </c>
      <c r="C48" s="300"/>
      <c r="D48" s="300"/>
      <c r="E48" s="301" t="b">
        <f>IF(C17&lt;&gt;0,IF(C17=F49,"OK","ERROR"))</f>
        <v>0</v>
      </c>
      <c r="F48" s="302" t="s">
        <v>705</v>
      </c>
      <c r="G48" s="303"/>
    </row>
    <row r="49" spans="2:7" hidden="1" x14ac:dyDescent="0.2">
      <c r="B49" s="304" t="s">
        <v>706</v>
      </c>
      <c r="C49" s="305"/>
      <c r="D49" s="275"/>
      <c r="E49" s="305" t="str">
        <f>IF(C17&lt;&gt;0,E33-E44,"ERROR")</f>
        <v>ERROR</v>
      </c>
      <c r="F49" s="305">
        <f>IF(E49=0,E44,0)</f>
        <v>0</v>
      </c>
      <c r="G49" s="305"/>
    </row>
    <row r="50" spans="2:7" x14ac:dyDescent="0.2">
      <c r="B50" s="32"/>
      <c r="C50" s="173"/>
    </row>
    <row r="51" spans="2:7" x14ac:dyDescent="0.2">
      <c r="B51" s="32"/>
    </row>
  </sheetData>
  <sheetProtection algorithmName="SHA-512" hashValue="2Wh2WZIoKEBAy0E163RmN23vHntud4Jgrr8CU/Q7DZYUhxCqEBXQ+hlwMaaFwQXG9QaiJi5bHcQc2yjrXpGJeg==" saltValue="Sn8Ozi2+bMrtzHxKENupPA==" spinCount="100000" sheet="1" objects="1" scenarios="1"/>
  <mergeCells count="15">
    <mergeCell ref="B18:H18"/>
    <mergeCell ref="A19:A22"/>
    <mergeCell ref="I24:I25"/>
    <mergeCell ref="C25:H25"/>
    <mergeCell ref="B45:D45"/>
    <mergeCell ref="F45:H45"/>
    <mergeCell ref="A39:A41"/>
    <mergeCell ref="A26:A28"/>
    <mergeCell ref="C29:H29"/>
    <mergeCell ref="A30:A32"/>
    <mergeCell ref="C34:H34"/>
    <mergeCell ref="A35:A37"/>
    <mergeCell ref="C38:H38"/>
    <mergeCell ref="B33:D33"/>
    <mergeCell ref="B44:D44"/>
  </mergeCells>
  <conditionalFormatting sqref="D43:F43 E44 H44:I44">
    <cfRule type="cellIs" dxfId="8" priority="2" operator="notEqual">
      <formula>0</formula>
    </cfRule>
    <cfRule type="cellIs" dxfId="7" priority="3" operator="notEqual">
      <formula>0</formula>
    </cfRule>
    <cfRule type="cellIs" dxfId="6" priority="4" operator="notEqual">
      <formula>0</formula>
    </cfRule>
    <cfRule type="containsText" dxfId="5" priority="5" operator="containsText" text="&lt;&gt;&quot;&quot;">
      <formula>NOT(ISERROR(SEARCH("&lt;&gt;""""",D43)))</formula>
    </cfRule>
  </conditionalFormatting>
  <conditionalFormatting sqref="E33 H33:I33">
    <cfRule type="cellIs" dxfId="4" priority="6" operator="notEqual">
      <formula>0</formula>
    </cfRule>
    <cfRule type="cellIs" dxfId="3" priority="7" operator="notEqual">
      <formula>0</formula>
    </cfRule>
    <cfRule type="cellIs" dxfId="2" priority="8" operator="notEqual">
      <formula>0</formula>
    </cfRule>
    <cfRule type="containsText" dxfId="1" priority="9" operator="containsText" text="&lt;&gt;&quot;&quot;">
      <formula>NOT(ISERROR(SEARCH("&lt;&gt;""""",E33)))</formula>
    </cfRule>
  </conditionalFormatting>
  <conditionalFormatting sqref="G43">
    <cfRule type="containsText" dxfId="0" priority="1" operator="containsText" text="I">
      <formula>NOT(ISERROR(SEARCH("I",G43)))</formula>
    </cfRule>
  </conditionalFormatting>
  <hyperlinks>
    <hyperlink ref="F13" r:id="rId1" xr:uid="{6E5BB2FE-3B03-4E9C-8D85-059300189F35}"/>
  </hyperlinks>
  <pageMargins left="0.7" right="0.7" top="0.75" bottom="0.75" header="0.3" footer="0.3"/>
  <pageSetup scale="51" orientation="landscape" r:id="rId2"/>
  <ignoredErrors>
    <ignoredError sqref="F19:F22 F26:F28 F30:F32 F35:F37 F39:F41 E33" unlockedFormula="1"/>
  </ignoredErrors>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D16357E7-016A-4557-8061-B1EF1ED75A13}">
          <x14:formula1>
            <xm:f>Notes!$E$3:$E$24</xm:f>
          </x14:formula1>
          <xm:sqref>B26:B28</xm:sqref>
        </x14:dataValidation>
        <x14:dataValidation type="list" allowBlank="1" showInputMessage="1" showErrorMessage="1" xr:uid="{9D7A9B56-75F2-4B55-9208-41FAC9DC254F}">
          <x14:formula1>
            <xm:f>Notes!$E$27:$E$41</xm:f>
          </x14:formula1>
          <xm:sqref>B31:B32</xm:sqref>
        </x14:dataValidation>
        <x14:dataValidation type="list" allowBlank="1" showInputMessage="1" showErrorMessage="1" xr:uid="{AC008354-2974-4F30-BA84-4EEF4EA31DA2}">
          <x14:formula1>
            <xm:f>Notes!$E$50:$E$61</xm:f>
          </x14:formula1>
          <xm:sqref>B35:B37</xm:sqref>
        </x14:dataValidation>
        <x14:dataValidation type="list" allowBlank="1" showInputMessage="1" showErrorMessage="1" xr:uid="{F50CC8F8-C32B-4A6C-A38C-5B77DF0DA1E3}">
          <x14:formula1>
            <xm:f>Notes!$E$64:$E$68</xm:f>
          </x14:formula1>
          <xm:sqref>B39:B41</xm:sqref>
        </x14:dataValidation>
        <x14:dataValidation type="list" allowBlank="1" showInputMessage="1" showErrorMessage="1" xr:uid="{719C574A-5EEC-4DB0-8CE7-359AD9CD54AC}">
          <x14:formula1>
            <xm:f>Notes!$E$27:$E$47</xm:f>
          </x14:formula1>
          <xm:sqref>B30</xm:sqref>
        </x14:dataValidation>
        <x14:dataValidation type="list" allowBlank="1" showInputMessage="1" showErrorMessage="1" xr:uid="{F0E62462-24D4-42E6-8C6E-0C0F1890D2EA}">
          <x14:formula1>
            <xm:f>Notes!$D$71:$D$73</xm:f>
          </x14:formula1>
          <xm:sqref>G30:G32 G26:G28 G19:G22 G35:G37 G39:G41</xm:sqref>
        </x14:dataValidation>
        <x14:dataValidation type="list" allowBlank="1" showInputMessage="1" showErrorMessage="1" xr:uid="{1AB42797-BDE7-42A5-98E4-C9FA907E1D7D}">
          <x14:formula1>
            <xm:f>Notes!$D$76:$D$88</xm:f>
          </x14:formula1>
          <xm:sqref>H30:H32 H26:H28 H19:H22 H35:H37 H39:H41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2EDC20EC70D245A87A952C8DFB4018" ma:contentTypeVersion="10" ma:contentTypeDescription="Create a new document." ma:contentTypeScope="" ma:versionID="f54d6716b40f2fd4b87c407801679108">
  <xsd:schema xmlns:xsd="http://www.w3.org/2001/XMLSchema" xmlns:xs="http://www.w3.org/2001/XMLSchema" xmlns:p="http://schemas.microsoft.com/office/2006/metadata/properties" xmlns:ns2="68085a6d-e278-4216-b84f-15e1ffeaa6bf" targetNamespace="http://schemas.microsoft.com/office/2006/metadata/properties" ma:root="true" ma:fieldsID="ce6c9979ad3581c287745963c41cabd1" ns2:_="">
    <xsd:import namespace="68085a6d-e278-4216-b84f-15e1ffeaa6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85a6d-e278-4216-b84f-15e1ffeaa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962BF-E920-4D89-9032-98E8415A9B1F}">
  <ds:schemaRefs>
    <ds:schemaRef ds:uri="http://schemas.microsoft.com/office/2006/documentManagement/types"/>
    <ds:schemaRef ds:uri="68085a6d-e278-4216-b84f-15e1ffeaa6bf"/>
    <ds:schemaRef ds:uri="http://schemas.microsoft.com/office/2006/metadata/properties"/>
    <ds:schemaRef ds:uri="http://schemas.openxmlformats.org/package/2006/metadata/core-properties"/>
    <ds:schemaRef ds:uri="http://purl.org/dc/terms/"/>
    <ds:schemaRef ds:uri="http://purl.org/dc/dcmitype/"/>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C034CA7C-6C3D-4860-B2C5-C40D83ABE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85a6d-e278-4216-b84f-15e1ffeaa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E39B49-3E91-4221-A43D-4F2B5F06F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 Use Stmt</vt:lpstr>
      <vt:lpstr>Info</vt:lpstr>
      <vt:lpstr>Package Updates</vt:lpstr>
      <vt:lpstr>Exh A</vt:lpstr>
      <vt:lpstr>Exh B</vt:lpstr>
      <vt:lpstr>Adjustments</vt:lpstr>
      <vt:lpstr>Exh D</vt:lpstr>
      <vt:lpstr>Exh E</vt:lpstr>
      <vt:lpstr>Restatements</vt:lpstr>
      <vt:lpstr>Comments</vt:lpstr>
      <vt:lpstr>Net Assets</vt:lpstr>
      <vt:lpstr>PriorYrExhD</vt:lpstr>
      <vt:lpstr>PriorYrExhE</vt:lpstr>
      <vt:lpstr>Notes</vt:lpstr>
      <vt:lpstr>EquityData</vt:lpstr>
      <vt:lpstr>EquityDataRow</vt:lpstr>
      <vt:lpstr>ExhDData</vt:lpstr>
      <vt:lpstr>ExhEData</vt:lpstr>
      <vt:lpstr>FASB_ADJ</vt:lpstr>
      <vt:lpstr>FASB_BS</vt:lpstr>
      <vt:lpstr>FASB_IS</vt:lpstr>
      <vt:lpstr>Number</vt:lpstr>
      <vt:lpstr>Adjustments!Print_Area</vt:lpstr>
      <vt:lpstr>'Exh A'!Print_Area</vt:lpstr>
      <vt:lpstr>'Exh B'!Print_Area</vt:lpstr>
      <vt:lpstr>'Exh D'!Print_Area</vt:lpstr>
      <vt:lpstr>'Package Updates'!Print_Area</vt:lpstr>
      <vt:lpstr>PriorYrExhD!Print_Area</vt:lpstr>
      <vt:lpstr>Restatements!Print_Area</vt:lpstr>
      <vt:lpstr>Adjustments!Print_Titles</vt:lpstr>
      <vt:lpstr>'Exh A'!Print_Titles</vt:lpstr>
      <vt:lpstr>PriorYrExhD!Print_Titles</vt:lpstr>
      <vt:lpstr>PriorYrExhE!Print_Titles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cmurphy</dc:creator>
  <cp:keywords/>
  <dc:description/>
  <cp:lastModifiedBy>Patcha Kidking</cp:lastModifiedBy>
  <cp:revision/>
  <cp:lastPrinted>2024-04-18T18:27:52Z</cp:lastPrinted>
  <dcterms:created xsi:type="dcterms:W3CDTF">2003-04-21T14:28:15Z</dcterms:created>
  <dcterms:modified xsi:type="dcterms:W3CDTF">2024-08-06T13:19:41Z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0x010100072EDC20EC70D245A87A952C8DFB4018</vt:lpwstr>
  </property>
  <property fmtid="{D5CDD505-2E9C-101B-9397-08002B2CF9AE}" pid="5" name="_ExtendedDescription">
    <vt:lpwstr/>
  </property>
  <property fmtid="{D5CDD505-2E9C-101B-9397-08002B2CF9AE}" pid="6" name="MSIP_Label_defa4170-0d19-0005-0004-bc88714345d2_Enabled">
    <vt:lpwstr>true</vt:lpwstr>
  </property>
  <property fmtid="{D5CDD505-2E9C-101B-9397-08002B2CF9AE}" pid="7" name="MSIP_Label_defa4170-0d19-0005-0004-bc88714345d2_SetDate">
    <vt:lpwstr>2024-04-17T15:42:56Z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ba9c0694-36f7-4ebb-96c3-e71f1af50847</vt:lpwstr>
  </property>
  <property fmtid="{D5CDD505-2E9C-101B-9397-08002B2CF9AE}" pid="12" name="MSIP_Label_defa4170-0d19-0005-0004-bc88714345d2_ContentBits">
    <vt:lpwstr>0</vt:lpwstr>
  </property>
</Properties>
</file>