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K:\SASD\24CAFR\Packages\SIG\"/>
    </mc:Choice>
  </mc:AlternateContent>
  <xr:revisionPtr revIDLastSave="0" documentId="13_ncr:1_{46B4485C-E36B-47FA-A9D4-7CDC4D0FEFAA}" xr6:coauthVersionLast="47" xr6:coauthVersionMax="47" xr10:uidLastSave="{00000000-0000-0000-0000-000000000000}"/>
  <bookViews>
    <workbookView xWindow="28680" yWindow="-120" windowWidth="29040" windowHeight="15720" tabRatio="695" xr2:uid="{00000000-000D-0000-FFFF-FFFF00000000}"/>
  </bookViews>
  <sheets>
    <sheet name=" Use Stmt" sheetId="6" r:id="rId1"/>
    <sheet name="Info" sheetId="7" r:id="rId2"/>
    <sheet name="Package Updates" sheetId="14" r:id="rId3"/>
    <sheet name="Exh A" sheetId="1" r:id="rId4"/>
    <sheet name="Exh B" sheetId="2" r:id="rId5"/>
    <sheet name="Adjustments" sheetId="4" r:id="rId6"/>
    <sheet name="Exh D" sheetId="3" r:id="rId7"/>
    <sheet name="Exh E" sheetId="5" r:id="rId8"/>
    <sheet name="Restatements" sheetId="8" r:id="rId9"/>
    <sheet name="Comment" sheetId="15" r:id="rId10"/>
    <sheet name="Net Assets" sheetId="9" r:id="rId11"/>
    <sheet name="PriorYrExhD" sheetId="10" r:id="rId12"/>
    <sheet name="PriorYrExhE" sheetId="11" r:id="rId13"/>
    <sheet name="PYExhD Data" sheetId="12" r:id="rId14"/>
    <sheet name="PYExhE Data" sheetId="13" r:id="rId15"/>
    <sheet name="Notes" sheetId="16" state="hidden" r:id="rId16"/>
    <sheet name="Unrest and Rest Assets" sheetId="17" state="hidden" r:id="rId17"/>
  </sheets>
  <definedNames>
    <definedName name="EquityData">'Net Assets'!$A$4:$D$23</definedName>
    <definedName name="EquityDataRow">'Net Assets'!$A$4:$A$23</definedName>
    <definedName name="FASB_ADJ">Adjustments!$A$7:$N$78</definedName>
    <definedName name="FASB_BS">'Exh A'!$A$9:$N$44</definedName>
    <definedName name="FASB_IS">'Exh B'!$A$9:$N$23</definedName>
    <definedName name="FCCSnum">'Net Assets'!$R$5:$S$22</definedName>
    <definedName name="Number">'Net Assets'!$A$4:$A$22</definedName>
    <definedName name="OLE_LINK1" localSheetId="8">Restatements!$E$45</definedName>
    <definedName name="_xlnm.Print_Area" localSheetId="5">Adjustments!$A$1:$O$169</definedName>
    <definedName name="_xlnm.Print_Area" localSheetId="3">'Exh A'!$A$1:$N$77</definedName>
    <definedName name="_xlnm.Print_Area" localSheetId="4">'Exh B'!$A$1:$N$47</definedName>
    <definedName name="_xlnm.Print_Area" localSheetId="6">'Exh D'!$A$1:$J$60</definedName>
    <definedName name="_xlnm.Print_Area" localSheetId="7">'Exh E'!$A$1:$J$44</definedName>
    <definedName name="_xlnm.Print_Area" localSheetId="1">Info!$A$1:$G$36</definedName>
    <definedName name="_xlnm.Print_Area" localSheetId="10">'Net Assets'!$A$1:$K$30</definedName>
    <definedName name="_xlnm.Print_Area" localSheetId="2">'Package Updates'!$A$1:$E$38</definedName>
    <definedName name="_xlnm.Print_Area" localSheetId="11">PriorYrExhD!$A$1:$X$52</definedName>
    <definedName name="_xlnm.Print_Area" localSheetId="8">Restatements!#REF!</definedName>
    <definedName name="_xlnm.Print_Titles" localSheetId="5">Adjustments!$1:$6</definedName>
    <definedName name="_xlnm.Print_Titles" localSheetId="3">'Exh A'!$1:$3</definedName>
    <definedName name="_xlnm.Print_Titles" localSheetId="11">PriorYrExhD!$C:$C,PriorYrExhD!$1:$6</definedName>
    <definedName name="_xlnm.Print_Titles" localSheetId="12">PriorYrExhE!$A:$C,PriorYrExhE!$1:$5</definedName>
    <definedName name="_xlnm.Print_Titles" localSheetId="13">'PYExhD Data'!$B:$C</definedName>
    <definedName name="_xlnm.Print_Titles" localSheetId="14">'PYExhE Data'!$A:$D</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3" i="8" l="1"/>
  <c r="P43" i="8"/>
  <c r="P21" i="8"/>
  <c r="P22" i="8"/>
  <c r="O41" i="8"/>
  <c r="S43" i="8"/>
  <c r="T43" i="8"/>
  <c r="R43" i="8"/>
  <c r="Q43" i="8"/>
  <c r="R40" i="8"/>
  <c r="P36" i="8"/>
  <c r="O36" i="8"/>
  <c r="O37" i="8"/>
  <c r="M36" i="8"/>
  <c r="L40" i="8"/>
  <c r="P20" i="8"/>
  <c r="P19" i="8"/>
  <c r="P41" i="8"/>
  <c r="P39" i="8"/>
  <c r="P37" i="8"/>
  <c r="P35" i="8"/>
  <c r="P32" i="8"/>
  <c r="P31" i="8"/>
  <c r="P30" i="8"/>
  <c r="P28" i="8"/>
  <c r="P27" i="8"/>
  <c r="P26" i="8"/>
  <c r="O19" i="8"/>
  <c r="S19" i="8"/>
  <c r="U43" i="8"/>
  <c r="U41" i="8"/>
  <c r="U39" i="8"/>
  <c r="U37" i="8"/>
  <c r="U36" i="8"/>
  <c r="U35" i="8"/>
  <c r="U32" i="8"/>
  <c r="U31" i="8"/>
  <c r="U30" i="8"/>
  <c r="U28" i="8"/>
  <c r="U27" i="8"/>
  <c r="U26" i="8"/>
  <c r="U20" i="8"/>
  <c r="U21" i="8"/>
  <c r="U22" i="8"/>
  <c r="U19" i="8"/>
  <c r="T41" i="8"/>
  <c r="T39" i="8"/>
  <c r="T37" i="8"/>
  <c r="T36" i="8"/>
  <c r="T35" i="8"/>
  <c r="T32" i="8"/>
  <c r="T31" i="8"/>
  <c r="T30" i="8"/>
  <c r="T28" i="8"/>
  <c r="T27" i="8"/>
  <c r="T26" i="8"/>
  <c r="T20" i="8"/>
  <c r="T21" i="8"/>
  <c r="T22" i="8"/>
  <c r="T19" i="8"/>
  <c r="R41" i="8"/>
  <c r="R39" i="8"/>
  <c r="R37" i="8"/>
  <c r="R36" i="8"/>
  <c r="R35" i="8"/>
  <c r="R32" i="8"/>
  <c r="R31" i="8"/>
  <c r="R30" i="8"/>
  <c r="R28" i="8"/>
  <c r="R27" i="8"/>
  <c r="R26" i="8"/>
  <c r="R20" i="8"/>
  <c r="R21" i="8"/>
  <c r="R22" i="8"/>
  <c r="R19" i="8"/>
  <c r="Q19" i="8"/>
  <c r="Q41" i="8"/>
  <c r="Q39" i="8"/>
  <c r="Q37" i="8"/>
  <c r="Q36" i="8"/>
  <c r="Q35" i="8"/>
  <c r="Q32" i="8"/>
  <c r="Q31" i="8"/>
  <c r="Q30" i="8"/>
  <c r="Q28" i="8"/>
  <c r="Q27" i="8"/>
  <c r="Q26" i="8"/>
  <c r="Q20" i="8"/>
  <c r="Q21" i="8"/>
  <c r="Q22" i="8"/>
  <c r="O39" i="8"/>
  <c r="O35" i="8"/>
  <c r="O32" i="8"/>
  <c r="O31" i="8"/>
  <c r="O30" i="8"/>
  <c r="O28" i="8"/>
  <c r="O27" i="8"/>
  <c r="O26" i="8"/>
  <c r="O22" i="8"/>
  <c r="O21" i="8"/>
  <c r="O20" i="8"/>
  <c r="M35" i="8"/>
  <c r="M22" i="8"/>
  <c r="L43" i="8"/>
  <c r="M43" i="8"/>
  <c r="E44" i="8" l="1"/>
  <c r="F44" i="8" s="1"/>
  <c r="Q40" i="8"/>
  <c r="P40" i="8"/>
  <c r="P46" i="8" s="1"/>
  <c r="U40" i="8"/>
  <c r="O40" i="8"/>
  <c r="T40" i="8"/>
  <c r="T46" i="8"/>
  <c r="K43" i="8"/>
  <c r="U46" i="8"/>
  <c r="I46" i="8" s="1"/>
  <c r="R46" i="8"/>
  <c r="E33" i="8" l="1"/>
  <c r="F33" i="8" s="1"/>
  <c r="F43" i="8" l="1"/>
  <c r="O46" i="8" l="1"/>
  <c r="P47" i="8" s="1"/>
  <c r="S41" i="8"/>
  <c r="S40" i="8"/>
  <c r="S39" i="8"/>
  <c r="S37" i="8"/>
  <c r="S36" i="8"/>
  <c r="S35" i="8"/>
  <c r="S32" i="8"/>
  <c r="S31" i="8"/>
  <c r="S30" i="8"/>
  <c r="S28" i="8"/>
  <c r="S27" i="8"/>
  <c r="S26" i="8"/>
  <c r="S20" i="8"/>
  <c r="S21" i="8"/>
  <c r="S22" i="8"/>
  <c r="S46" i="8" l="1"/>
  <c r="T47" i="8" s="1"/>
  <c r="H46" i="8" s="1"/>
  <c r="Q46" i="8"/>
  <c r="R47" i="8" s="1"/>
  <c r="G46" i="8" s="1"/>
  <c r="L22" i="8" l="1"/>
  <c r="M21" i="8"/>
  <c r="L21" i="8"/>
  <c r="M20" i="8"/>
  <c r="L20" i="8"/>
  <c r="M19" i="8"/>
  <c r="L19" i="8"/>
  <c r="L35" i="8"/>
  <c r="K21" i="8" l="1"/>
  <c r="K22" i="8"/>
  <c r="K20" i="8"/>
  <c r="K19" i="8"/>
  <c r="L39" i="8" l="1"/>
  <c r="L41" i="8"/>
  <c r="L36" i="8"/>
  <c r="L37" i="8"/>
  <c r="L30" i="8"/>
  <c r="L31" i="8"/>
  <c r="L32" i="8"/>
  <c r="L27" i="8"/>
  <c r="L28" i="8"/>
  <c r="L26" i="8"/>
  <c r="M39" i="8"/>
  <c r="M40" i="8"/>
  <c r="M41" i="8"/>
  <c r="K35" i="8"/>
  <c r="M37" i="8"/>
  <c r="M30" i="8"/>
  <c r="M31" i="8"/>
  <c r="M32" i="8"/>
  <c r="M27" i="8"/>
  <c r="M28" i="8"/>
  <c r="M26" i="8"/>
  <c r="F39" i="8"/>
  <c r="F40" i="8"/>
  <c r="F41" i="8"/>
  <c r="F35" i="8"/>
  <c r="F36" i="8"/>
  <c r="F37" i="8"/>
  <c r="F30" i="8"/>
  <c r="F31" i="8"/>
  <c r="F32" i="8"/>
  <c r="F26" i="8"/>
  <c r="F27" i="8"/>
  <c r="F28" i="8"/>
  <c r="F20" i="8"/>
  <c r="F21" i="8"/>
  <c r="F22" i="8"/>
  <c r="F19" i="8"/>
  <c r="C31" i="8"/>
  <c r="C32" i="8"/>
  <c r="C30" i="8"/>
  <c r="C27" i="8"/>
  <c r="C28" i="8"/>
  <c r="C26" i="8"/>
  <c r="E41" i="16"/>
  <c r="E23" i="16"/>
  <c r="E24" i="16"/>
  <c r="M5" i="17"/>
  <c r="M6" i="17"/>
  <c r="M7" i="17"/>
  <c r="M4" i="17"/>
  <c r="D8" i="17"/>
  <c r="E8" i="17"/>
  <c r="F8" i="17"/>
  <c r="G8" i="17"/>
  <c r="H8" i="17"/>
  <c r="I8" i="17"/>
  <c r="J8" i="17"/>
  <c r="K8" i="17"/>
  <c r="L8" i="17"/>
  <c r="C8" i="17"/>
  <c r="M8" i="17" s="1"/>
  <c r="E22" i="16"/>
  <c r="J27" i="16"/>
  <c r="J28" i="16"/>
  <c r="E25" i="16"/>
  <c r="G7" i="16"/>
  <c r="G8" i="16"/>
  <c r="G9" i="16"/>
  <c r="G10" i="16"/>
  <c r="G11" i="16"/>
  <c r="G12" i="16"/>
  <c r="G13" i="16"/>
  <c r="G14" i="16"/>
  <c r="G15" i="16"/>
  <c r="G16" i="16"/>
  <c r="G17" i="16"/>
  <c r="G18" i="16"/>
  <c r="G19" i="16"/>
  <c r="G20" i="16"/>
  <c r="G21" i="16"/>
  <c r="G6" i="16"/>
  <c r="E42" i="16"/>
  <c r="E43" i="16"/>
  <c r="E44" i="16"/>
  <c r="E45" i="16"/>
  <c r="E46" i="16"/>
  <c r="E47" i="16"/>
  <c r="E48" i="16"/>
  <c r="E49" i="16"/>
  <c r="E50" i="16"/>
  <c r="E51" i="16"/>
  <c r="E33" i="16"/>
  <c r="C40" i="8"/>
  <c r="C41" i="8"/>
  <c r="C39" i="8"/>
  <c r="C36" i="8"/>
  <c r="C37" i="8"/>
  <c r="C35" i="8"/>
  <c r="K27" i="8" l="1"/>
  <c r="M46" i="8"/>
  <c r="L46" i="8"/>
  <c r="K32" i="8"/>
  <c r="K31" i="8"/>
  <c r="K28" i="8"/>
  <c r="K30" i="8"/>
  <c r="K37" i="8"/>
  <c r="K36" i="8"/>
  <c r="K41" i="8"/>
  <c r="K40" i="8"/>
  <c r="K26" i="8"/>
  <c r="K39" i="8"/>
  <c r="E77" i="16"/>
  <c r="E76" i="16"/>
  <c r="E75" i="16"/>
  <c r="E74" i="16"/>
  <c r="E67" i="16"/>
  <c r="E66" i="16"/>
  <c r="E65" i="16"/>
  <c r="E64" i="16"/>
  <c r="E63" i="16"/>
  <c r="E62" i="16"/>
  <c r="E61" i="16"/>
  <c r="E60" i="16"/>
  <c r="E59" i="16"/>
  <c r="E40" i="16"/>
  <c r="E39" i="16"/>
  <c r="E38" i="16"/>
  <c r="E37" i="16"/>
  <c r="E36" i="16"/>
  <c r="E35" i="16"/>
  <c r="E34" i="16"/>
  <c r="E29" i="16"/>
  <c r="E21" i="16"/>
  <c r="E20" i="16"/>
  <c r="E19" i="16"/>
  <c r="E18" i="16"/>
  <c r="E17" i="16"/>
  <c r="E16" i="16"/>
  <c r="E15" i="16"/>
  <c r="E14" i="16"/>
  <c r="E13" i="16"/>
  <c r="E12" i="16"/>
  <c r="E11" i="16"/>
  <c r="E10" i="16"/>
  <c r="E9" i="16"/>
  <c r="E8" i="16"/>
  <c r="E7" i="16"/>
  <c r="E6" i="16"/>
  <c r="E5" i="16"/>
  <c r="E4" i="16"/>
  <c r="M47" i="8" l="1"/>
  <c r="AI8" i="12"/>
  <c r="G35" i="13"/>
  <c r="V35" i="13"/>
  <c r="U35" i="13"/>
  <c r="T35" i="13"/>
  <c r="S35" i="13"/>
  <c r="R35" i="13"/>
  <c r="Q35" i="13"/>
  <c r="P35" i="13"/>
  <c r="E35" i="13"/>
  <c r="N35" i="13"/>
  <c r="M35" i="13"/>
  <c r="L35" i="13"/>
  <c r="K35" i="13"/>
  <c r="J35" i="13"/>
  <c r="I35" i="13"/>
  <c r="H35" i="13"/>
  <c r="W35" i="13"/>
  <c r="F35" i="13"/>
  <c r="H32" i="11"/>
  <c r="K32" i="11"/>
  <c r="N32" i="11"/>
  <c r="P32" i="11"/>
  <c r="R32" i="11"/>
  <c r="S32" i="11"/>
  <c r="W32" i="11"/>
  <c r="E32" i="11"/>
  <c r="I40" i="10"/>
  <c r="I39" i="10"/>
  <c r="I37" i="10"/>
  <c r="I34" i="10"/>
  <c r="I29" i="10"/>
  <c r="I30" i="10"/>
  <c r="I26" i="10"/>
  <c r="I27" i="10"/>
  <c r="I25" i="10"/>
  <c r="I24" i="10"/>
  <c r="I23" i="10"/>
  <c r="I22" i="10"/>
  <c r="I21" i="10"/>
  <c r="I17" i="10"/>
  <c r="I16" i="10"/>
  <c r="I15" i="10"/>
  <c r="I14" i="10"/>
  <c r="I13" i="10"/>
  <c r="I12" i="10"/>
  <c r="I11" i="10"/>
  <c r="I10" i="10"/>
  <c r="I9" i="10"/>
  <c r="I8" i="10"/>
  <c r="I7" i="10"/>
  <c r="G40" i="10"/>
  <c r="G39" i="10"/>
  <c r="G37" i="10"/>
  <c r="G34" i="10"/>
  <c r="G30" i="10"/>
  <c r="G29" i="10"/>
  <c r="G27" i="10"/>
  <c r="G26" i="10"/>
  <c r="G25" i="10"/>
  <c r="G24" i="10"/>
  <c r="G23" i="10"/>
  <c r="G22" i="10"/>
  <c r="G21" i="10"/>
  <c r="G17" i="10"/>
  <c r="G16" i="10"/>
  <c r="G15" i="10"/>
  <c r="G14" i="10"/>
  <c r="G13" i="10"/>
  <c r="G12" i="10"/>
  <c r="G11" i="10"/>
  <c r="G10" i="10"/>
  <c r="G9" i="10"/>
  <c r="G8" i="10"/>
  <c r="G7" i="10"/>
  <c r="F30" i="10"/>
  <c r="F29" i="10"/>
  <c r="F27" i="10"/>
  <c r="F26" i="10"/>
  <c r="F25" i="10"/>
  <c r="F24" i="10"/>
  <c r="F23" i="10"/>
  <c r="F22" i="10"/>
  <c r="F21" i="10"/>
  <c r="F17" i="10"/>
  <c r="F16" i="10"/>
  <c r="F15" i="10"/>
  <c r="F14" i="10"/>
  <c r="F13" i="10"/>
  <c r="F12" i="10"/>
  <c r="F11" i="10"/>
  <c r="F10" i="10"/>
  <c r="F9" i="10"/>
  <c r="F8" i="10"/>
  <c r="F7" i="10"/>
  <c r="F40" i="10"/>
  <c r="F39" i="10"/>
  <c r="F37" i="10"/>
  <c r="F34" i="10"/>
  <c r="H31" i="11"/>
  <c r="E31" i="11"/>
  <c r="F29" i="11"/>
  <c r="AC18" i="13"/>
  <c r="AD18" i="13" s="1"/>
  <c r="AD8" i="13"/>
  <c r="AD9" i="13"/>
  <c r="AD10" i="13"/>
  <c r="AD11" i="13"/>
  <c r="AD12" i="13"/>
  <c r="AD13" i="13"/>
  <c r="AD14" i="13"/>
  <c r="AD15" i="13"/>
  <c r="AD16" i="13"/>
  <c r="AD17" i="13"/>
  <c r="AD19" i="13"/>
  <c r="AD20" i="13"/>
  <c r="AD21" i="13"/>
  <c r="AD22" i="13"/>
  <c r="AD23" i="13"/>
  <c r="AD24" i="13"/>
  <c r="AD25" i="13"/>
  <c r="AD26" i="13"/>
  <c r="AD27" i="13"/>
  <c r="AD28" i="13"/>
  <c r="AD29" i="13"/>
  <c r="AD30" i="13"/>
  <c r="AD31" i="13"/>
  <c r="AD7" i="13"/>
  <c r="AK35" i="12"/>
  <c r="AK36" i="12" s="1"/>
  <c r="AK37" i="12" s="1"/>
  <c r="AK38" i="12" s="1"/>
  <c r="AK39" i="12" s="1"/>
  <c r="AK40" i="12" s="1"/>
  <c r="AI15" i="12"/>
  <c r="V25" i="13" l="1"/>
  <c r="AJ19" i="12"/>
  <c r="AJ20" i="12"/>
  <c r="AJ32" i="12"/>
  <c r="AJ33" i="12"/>
  <c r="G25" i="13"/>
  <c r="F25" i="13"/>
  <c r="I25" i="13"/>
  <c r="J25" i="13"/>
  <c r="L25" i="13"/>
  <c r="M25" i="13"/>
  <c r="O25" i="13"/>
  <c r="Q25" i="13"/>
  <c r="T25" i="13"/>
  <c r="U25" i="13"/>
  <c r="W18" i="12"/>
  <c r="V18" i="12"/>
  <c r="U18" i="12"/>
  <c r="T18" i="12"/>
  <c r="S18" i="12"/>
  <c r="R18" i="12"/>
  <c r="Q18" i="12"/>
  <c r="P18" i="12"/>
  <c r="O18" i="12"/>
  <c r="N18" i="12"/>
  <c r="M18" i="12"/>
  <c r="L18" i="12"/>
  <c r="K18" i="12"/>
  <c r="J18" i="12"/>
  <c r="W31" i="12"/>
  <c r="V31" i="12"/>
  <c r="U31" i="12"/>
  <c r="T31" i="12"/>
  <c r="S31" i="12"/>
  <c r="R31" i="12"/>
  <c r="Q31" i="12"/>
  <c r="P31" i="12"/>
  <c r="O31" i="12"/>
  <c r="N31" i="12"/>
  <c r="M31" i="12"/>
  <c r="L31" i="12"/>
  <c r="K31" i="12"/>
  <c r="J31" i="12"/>
  <c r="W41" i="12"/>
  <c r="W31" i="11" s="1"/>
  <c r="V41" i="12"/>
  <c r="V31" i="11" s="1"/>
  <c r="U41" i="12"/>
  <c r="U31" i="11" s="1"/>
  <c r="T41" i="12"/>
  <c r="T31" i="11" s="1"/>
  <c r="S41" i="12"/>
  <c r="S31" i="11" s="1"/>
  <c r="R41" i="12"/>
  <c r="R31" i="11" s="1"/>
  <c r="Q41" i="12"/>
  <c r="Q31" i="11" s="1"/>
  <c r="P41" i="12"/>
  <c r="P31" i="11" s="1"/>
  <c r="O41" i="12"/>
  <c r="O31" i="11" s="1"/>
  <c r="N41" i="12"/>
  <c r="N31" i="11" s="1"/>
  <c r="M41" i="12"/>
  <c r="M31" i="11" s="1"/>
  <c r="L41" i="12"/>
  <c r="L31" i="11" s="1"/>
  <c r="K41" i="12"/>
  <c r="K31" i="11" s="1"/>
  <c r="J41" i="12"/>
  <c r="J31" i="11" s="1"/>
  <c r="G18" i="12" l="1"/>
  <c r="H18" i="12"/>
  <c r="I18" i="12"/>
  <c r="I41" i="12"/>
  <c r="I31" i="11" s="1"/>
  <c r="G41" i="12"/>
  <c r="G31" i="11" s="1"/>
  <c r="F41" i="12"/>
  <c r="F31" i="11" s="1"/>
  <c r="I31" i="12"/>
  <c r="G31" i="12"/>
  <c r="F31" i="12"/>
  <c r="F18" i="12"/>
  <c r="I7" i="11"/>
  <c r="I8" i="11"/>
  <c r="I9" i="11"/>
  <c r="I10" i="11"/>
  <c r="I11" i="11"/>
  <c r="I12" i="11"/>
  <c r="I13" i="11"/>
  <c r="I14" i="11"/>
  <c r="I15" i="11"/>
  <c r="I19" i="11"/>
  <c r="I20" i="11"/>
  <c r="I21" i="11"/>
  <c r="I22" i="11"/>
  <c r="N10" i="1" l="1"/>
  <c r="F3" i="3" l="1"/>
  <c r="P1" i="3" s="1"/>
  <c r="L51" i="4"/>
  <c r="L52" i="4" s="1"/>
  <c r="J51" i="4"/>
  <c r="J52" i="4" s="1"/>
  <c r="H51" i="4"/>
  <c r="H52" i="4" s="1"/>
  <c r="F51" i="4"/>
  <c r="F52" i="4" s="1"/>
  <c r="D51" i="4"/>
  <c r="D52" i="4" s="1"/>
  <c r="N50" i="4"/>
  <c r="N49" i="4"/>
  <c r="N41" i="1"/>
  <c r="N51" i="4" l="1"/>
  <c r="M19" i="11"/>
  <c r="H31" i="13" l="1"/>
  <c r="K31" i="13"/>
  <c r="N31" i="13"/>
  <c r="O31" i="13"/>
  <c r="P31" i="13"/>
  <c r="R31" i="13"/>
  <c r="S31" i="13"/>
  <c r="G18" i="13"/>
  <c r="G27" i="13" s="1"/>
  <c r="G31" i="13" s="1"/>
  <c r="H18" i="13"/>
  <c r="I18" i="13"/>
  <c r="I27" i="13" s="1"/>
  <c r="I31" i="13" s="1"/>
  <c r="J18" i="13"/>
  <c r="J27" i="13" s="1"/>
  <c r="J31" i="13" s="1"/>
  <c r="K18" i="13"/>
  <c r="L18" i="13"/>
  <c r="L27" i="13" s="1"/>
  <c r="L31" i="13" s="1"/>
  <c r="M18" i="13"/>
  <c r="M27" i="13" s="1"/>
  <c r="M31" i="13" s="1"/>
  <c r="N18" i="13"/>
  <c r="O18" i="13"/>
  <c r="P18" i="13"/>
  <c r="Q18" i="13"/>
  <c r="Q27" i="13" s="1"/>
  <c r="Q31" i="13" s="1"/>
  <c r="R18" i="13"/>
  <c r="S18" i="13"/>
  <c r="T18" i="13"/>
  <c r="T27" i="13" s="1"/>
  <c r="T31" i="13" s="1"/>
  <c r="U18" i="13"/>
  <c r="U27" i="13" s="1"/>
  <c r="U31" i="13" s="1"/>
  <c r="V18" i="13"/>
  <c r="V27" i="13" s="1"/>
  <c r="V31" i="13" s="1"/>
  <c r="W18" i="13"/>
  <c r="F18" i="13"/>
  <c r="F27" i="13" s="1"/>
  <c r="F31" i="13" s="1"/>
  <c r="X8" i="13" l="1"/>
  <c r="X9" i="13"/>
  <c r="X10" i="13"/>
  <c r="X11" i="13"/>
  <c r="X12" i="13"/>
  <c r="X13" i="13"/>
  <c r="X14" i="13"/>
  <c r="X15" i="13"/>
  <c r="X16" i="13"/>
  <c r="X17" i="13"/>
  <c r="X18" i="13"/>
  <c r="X21" i="13"/>
  <c r="X22" i="13"/>
  <c r="X23" i="13"/>
  <c r="X24" i="13"/>
  <c r="X25" i="13"/>
  <c r="X27" i="13"/>
  <c r="X28" i="13"/>
  <c r="X29" i="13"/>
  <c r="X30" i="13"/>
  <c r="X31" i="13"/>
  <c r="X7" i="13"/>
  <c r="X35" i="12" l="1"/>
  <c r="AJ35" i="12" s="1"/>
  <c r="X36" i="12"/>
  <c r="AJ36" i="12" s="1"/>
  <c r="X37" i="12"/>
  <c r="AJ37" i="12" s="1"/>
  <c r="X38" i="12"/>
  <c r="AJ38" i="12" s="1"/>
  <c r="X39" i="12"/>
  <c r="AJ39" i="12" s="1"/>
  <c r="X40" i="12"/>
  <c r="AJ40" i="12" s="1"/>
  <c r="X34" i="12"/>
  <c r="AJ34" i="12" s="1"/>
  <c r="X22" i="12"/>
  <c r="AJ22" i="12" s="1"/>
  <c r="X23" i="12"/>
  <c r="AJ23" i="12" s="1"/>
  <c r="X24" i="12"/>
  <c r="AJ24" i="12" s="1"/>
  <c r="X25" i="12"/>
  <c r="AJ25" i="12" s="1"/>
  <c r="X26" i="12"/>
  <c r="AJ26" i="12" s="1"/>
  <c r="X27" i="12"/>
  <c r="AJ27" i="12" s="1"/>
  <c r="X28" i="12"/>
  <c r="AJ28" i="12" s="1"/>
  <c r="X29" i="12"/>
  <c r="AJ29" i="12" s="1"/>
  <c r="X30" i="12"/>
  <c r="AJ30" i="12" s="1"/>
  <c r="X21" i="12"/>
  <c r="AJ21" i="12" s="1"/>
  <c r="X8" i="12"/>
  <c r="AJ8" i="12" s="1"/>
  <c r="X9" i="12"/>
  <c r="AJ9" i="12" s="1"/>
  <c r="X10" i="12"/>
  <c r="AJ10" i="12" s="1"/>
  <c r="X11" i="12"/>
  <c r="AJ11" i="12" s="1"/>
  <c r="X12" i="12"/>
  <c r="AJ12" i="12" s="1"/>
  <c r="X13" i="12"/>
  <c r="AJ13" i="12" s="1"/>
  <c r="X14" i="12"/>
  <c r="AJ14" i="12" s="1"/>
  <c r="X15" i="12"/>
  <c r="AJ15" i="12" s="1"/>
  <c r="X16" i="12"/>
  <c r="AJ16" i="12" s="1"/>
  <c r="X17" i="12"/>
  <c r="AJ17" i="12" s="1"/>
  <c r="X7" i="12"/>
  <c r="AJ7" i="12" s="1"/>
  <c r="X41" i="12" l="1"/>
  <c r="X18" i="12"/>
  <c r="AJ18" i="12" s="1"/>
  <c r="X31" i="12"/>
  <c r="AJ31" i="12" s="1"/>
  <c r="T33" i="13"/>
  <c r="X31" i="11" l="1"/>
  <c r="AJ41" i="12"/>
  <c r="P2" i="3"/>
  <c r="Z33" i="13" l="1"/>
  <c r="F33" i="13"/>
  <c r="G33" i="13"/>
  <c r="H33" i="13"/>
  <c r="I33" i="13"/>
  <c r="J33" i="13"/>
  <c r="K33" i="13"/>
  <c r="L33" i="13"/>
  <c r="M33" i="13"/>
  <c r="N33" i="13"/>
  <c r="O33" i="13"/>
  <c r="P33" i="13"/>
  <c r="Q33" i="13"/>
  <c r="R33" i="13"/>
  <c r="S33" i="13"/>
  <c r="U33" i="13"/>
  <c r="V33" i="13"/>
  <c r="W33" i="13"/>
  <c r="X33" i="13"/>
  <c r="E33" i="13"/>
  <c r="L128" i="4" l="1"/>
  <c r="J128" i="4"/>
  <c r="H128" i="4"/>
  <c r="F128" i="4"/>
  <c r="D128" i="4"/>
  <c r="L119" i="4"/>
  <c r="J119" i="4"/>
  <c r="H119" i="4"/>
  <c r="F119" i="4"/>
  <c r="D119" i="4"/>
  <c r="L106" i="4"/>
  <c r="L107" i="4" s="1"/>
  <c r="J106" i="4"/>
  <c r="J107" i="4" s="1"/>
  <c r="H106" i="4"/>
  <c r="H107" i="4" s="1"/>
  <c r="F106" i="4"/>
  <c r="F107" i="4" s="1"/>
  <c r="D106" i="4"/>
  <c r="D107" i="4" s="1"/>
  <c r="N105" i="4"/>
  <c r="N104" i="4"/>
  <c r="D37" i="3" s="1"/>
  <c r="N106" i="4" l="1"/>
  <c r="V28" i="11"/>
  <c r="V27" i="11"/>
  <c r="V20" i="11"/>
  <c r="V21" i="11"/>
  <c r="V22" i="11"/>
  <c r="V19" i="11"/>
  <c r="V8" i="11"/>
  <c r="V9" i="11"/>
  <c r="V10" i="11"/>
  <c r="V11" i="11"/>
  <c r="V12" i="11"/>
  <c r="V13" i="11"/>
  <c r="V14" i="11"/>
  <c r="V15" i="11"/>
  <c r="V7" i="11"/>
  <c r="U28" i="11"/>
  <c r="U27" i="11"/>
  <c r="U20" i="11"/>
  <c r="U21" i="11"/>
  <c r="U22" i="11"/>
  <c r="U19" i="11"/>
  <c r="U8" i="11"/>
  <c r="U9" i="11"/>
  <c r="U10" i="11"/>
  <c r="U11" i="11"/>
  <c r="U12" i="11"/>
  <c r="U13" i="11"/>
  <c r="U14" i="11"/>
  <c r="U15" i="11"/>
  <c r="U7" i="11"/>
  <c r="T28" i="11"/>
  <c r="T27" i="11"/>
  <c r="T20" i="11"/>
  <c r="T21" i="11"/>
  <c r="T22" i="11"/>
  <c r="T19" i="11"/>
  <c r="T8" i="11"/>
  <c r="T9" i="11"/>
  <c r="T10" i="11"/>
  <c r="T11" i="11"/>
  <c r="T12" i="11"/>
  <c r="T13" i="11"/>
  <c r="T14" i="11"/>
  <c r="T15" i="11"/>
  <c r="T7" i="11"/>
  <c r="Q28" i="11"/>
  <c r="Q27" i="11"/>
  <c r="Q20" i="11"/>
  <c r="Q21" i="11"/>
  <c r="Q22" i="11"/>
  <c r="Q19" i="11"/>
  <c r="Q8" i="11"/>
  <c r="Q9" i="11"/>
  <c r="Q10" i="11"/>
  <c r="Q11" i="11"/>
  <c r="Q12" i="11"/>
  <c r="Q13" i="11"/>
  <c r="Q14" i="11"/>
  <c r="Q15" i="11"/>
  <c r="Q7" i="11"/>
  <c r="O28" i="11"/>
  <c r="O27" i="11"/>
  <c r="O20" i="11"/>
  <c r="O21" i="11"/>
  <c r="O22" i="11"/>
  <c r="O19" i="11"/>
  <c r="O8" i="11"/>
  <c r="O9" i="11"/>
  <c r="O10" i="11"/>
  <c r="O11" i="11"/>
  <c r="O12" i="11"/>
  <c r="O13" i="11"/>
  <c r="O14" i="11"/>
  <c r="O15" i="11"/>
  <c r="O7" i="11"/>
  <c r="M28" i="11"/>
  <c r="M27" i="11"/>
  <c r="M20" i="11"/>
  <c r="M21" i="11"/>
  <c r="M22" i="11"/>
  <c r="M8" i="11"/>
  <c r="M9" i="11"/>
  <c r="M10" i="11"/>
  <c r="M11" i="11"/>
  <c r="M12" i="11"/>
  <c r="M13" i="11"/>
  <c r="M14" i="11"/>
  <c r="M15" i="11"/>
  <c r="M7" i="11"/>
  <c r="L28" i="11"/>
  <c r="L27" i="11"/>
  <c r="L20" i="11"/>
  <c r="L21" i="11"/>
  <c r="L22" i="11"/>
  <c r="L19" i="11"/>
  <c r="L8" i="11"/>
  <c r="L9" i="11"/>
  <c r="L10" i="11"/>
  <c r="L11" i="11"/>
  <c r="L12" i="11"/>
  <c r="L13" i="11"/>
  <c r="L14" i="11"/>
  <c r="L15" i="11"/>
  <c r="L7" i="11"/>
  <c r="J28" i="11"/>
  <c r="J27" i="11"/>
  <c r="J20" i="11"/>
  <c r="J21" i="11"/>
  <c r="J22" i="11"/>
  <c r="J19" i="11"/>
  <c r="J8" i="11"/>
  <c r="J9" i="11"/>
  <c r="J10" i="11"/>
  <c r="J11" i="11"/>
  <c r="J12" i="11"/>
  <c r="J13" i="11"/>
  <c r="J14" i="11"/>
  <c r="J15" i="11"/>
  <c r="J7" i="11"/>
  <c r="I28" i="11"/>
  <c r="I27" i="11"/>
  <c r="G28" i="11"/>
  <c r="G27" i="11"/>
  <c r="G20" i="11"/>
  <c r="G21" i="11"/>
  <c r="G22" i="11"/>
  <c r="G19" i="11"/>
  <c r="G8" i="11"/>
  <c r="G9" i="11"/>
  <c r="G10" i="11"/>
  <c r="G11" i="11"/>
  <c r="G12" i="11"/>
  <c r="G13" i="11"/>
  <c r="G14" i="11"/>
  <c r="G15" i="11"/>
  <c r="G7" i="11"/>
  <c r="F28" i="11"/>
  <c r="F27" i="11"/>
  <c r="F20" i="11"/>
  <c r="F21" i="11"/>
  <c r="F22" i="11"/>
  <c r="F19" i="11"/>
  <c r="F8" i="11"/>
  <c r="F9" i="11"/>
  <c r="F10" i="11"/>
  <c r="F11" i="11"/>
  <c r="F12" i="11"/>
  <c r="F13" i="11"/>
  <c r="F14" i="11"/>
  <c r="F15" i="11"/>
  <c r="F7" i="11"/>
  <c r="V37" i="10"/>
  <c r="V39" i="10"/>
  <c r="V40" i="10"/>
  <c r="V34" i="10"/>
  <c r="V22" i="10"/>
  <c r="V23" i="10"/>
  <c r="V24" i="10"/>
  <c r="V25" i="10"/>
  <c r="V26" i="10"/>
  <c r="V27" i="10"/>
  <c r="V29" i="10"/>
  <c r="V30" i="10"/>
  <c r="V21" i="10"/>
  <c r="V8" i="10"/>
  <c r="V9" i="10"/>
  <c r="V10" i="10"/>
  <c r="V11" i="10"/>
  <c r="V12" i="10"/>
  <c r="V13" i="10"/>
  <c r="V14" i="10"/>
  <c r="V15" i="10"/>
  <c r="V16" i="10"/>
  <c r="V17" i="10"/>
  <c r="V7" i="10"/>
  <c r="U37" i="10"/>
  <c r="U39" i="10"/>
  <c r="U40" i="10"/>
  <c r="U34" i="10"/>
  <c r="U22" i="10"/>
  <c r="U23" i="10"/>
  <c r="U24" i="10"/>
  <c r="U25" i="10"/>
  <c r="U26" i="10"/>
  <c r="U27" i="10"/>
  <c r="U29" i="10"/>
  <c r="U30" i="10"/>
  <c r="U21" i="10"/>
  <c r="U8" i="10"/>
  <c r="U9" i="10"/>
  <c r="U10" i="10"/>
  <c r="U11" i="10"/>
  <c r="U12" i="10"/>
  <c r="U13" i="10"/>
  <c r="U14" i="10"/>
  <c r="U15" i="10"/>
  <c r="U16" i="10"/>
  <c r="U17" i="10"/>
  <c r="U7" i="10"/>
  <c r="T37" i="10"/>
  <c r="T39" i="10"/>
  <c r="T40" i="10"/>
  <c r="T34" i="10"/>
  <c r="T22" i="10"/>
  <c r="T23" i="10"/>
  <c r="T24" i="10"/>
  <c r="T25" i="10"/>
  <c r="T26" i="10"/>
  <c r="T27" i="10"/>
  <c r="T29" i="10"/>
  <c r="T30" i="10"/>
  <c r="T21" i="10"/>
  <c r="T8" i="10"/>
  <c r="T9" i="10"/>
  <c r="T10" i="10"/>
  <c r="T11" i="10"/>
  <c r="T12" i="10"/>
  <c r="T13" i="10"/>
  <c r="T14" i="10"/>
  <c r="T15" i="10"/>
  <c r="T16" i="10"/>
  <c r="T17" i="10"/>
  <c r="T7" i="10"/>
  <c r="Q37" i="10"/>
  <c r="Q39" i="10"/>
  <c r="Q40" i="10"/>
  <c r="Q34" i="10"/>
  <c r="Q22" i="10"/>
  <c r="Q23" i="10"/>
  <c r="Q24" i="10"/>
  <c r="Q25" i="10"/>
  <c r="Q26" i="10"/>
  <c r="Q27" i="10"/>
  <c r="Q29" i="10"/>
  <c r="Q30" i="10"/>
  <c r="Q21" i="10"/>
  <c r="Q8" i="10"/>
  <c r="Q9" i="10"/>
  <c r="Q10" i="10"/>
  <c r="Q11" i="10"/>
  <c r="Q12" i="10"/>
  <c r="Q13" i="10"/>
  <c r="Q14" i="10"/>
  <c r="Q15" i="10"/>
  <c r="Q16" i="10"/>
  <c r="Q17" i="10"/>
  <c r="Q7" i="10"/>
  <c r="O37" i="10"/>
  <c r="O39" i="10"/>
  <c r="O40" i="10"/>
  <c r="O34" i="10"/>
  <c r="O22" i="10"/>
  <c r="O23" i="10"/>
  <c r="O24" i="10"/>
  <c r="O25" i="10"/>
  <c r="O26" i="10"/>
  <c r="O27" i="10"/>
  <c r="O29" i="10"/>
  <c r="O30" i="10"/>
  <c r="O21" i="10"/>
  <c r="O8" i="10"/>
  <c r="O9" i="10"/>
  <c r="O10" i="10"/>
  <c r="O11" i="10"/>
  <c r="O12" i="10"/>
  <c r="O13" i="10"/>
  <c r="O14" i="10"/>
  <c r="O15" i="10"/>
  <c r="O16" i="10"/>
  <c r="O17" i="10"/>
  <c r="O7" i="10"/>
  <c r="M37" i="10"/>
  <c r="M39" i="10"/>
  <c r="M40" i="10"/>
  <c r="M34" i="10"/>
  <c r="M22" i="10"/>
  <c r="M23" i="10"/>
  <c r="M24" i="10"/>
  <c r="M25" i="10"/>
  <c r="M26" i="10"/>
  <c r="M27" i="10"/>
  <c r="M29" i="10"/>
  <c r="M30" i="10"/>
  <c r="M21" i="10"/>
  <c r="M8" i="10"/>
  <c r="M9" i="10"/>
  <c r="M10" i="10"/>
  <c r="M11" i="10"/>
  <c r="M12" i="10"/>
  <c r="M13" i="10"/>
  <c r="M14" i="10"/>
  <c r="M15" i="10"/>
  <c r="M16" i="10"/>
  <c r="M17" i="10"/>
  <c r="M7" i="10"/>
  <c r="L37" i="10"/>
  <c r="L39" i="10"/>
  <c r="L40" i="10"/>
  <c r="L34" i="10"/>
  <c r="L22" i="10"/>
  <c r="L23" i="10"/>
  <c r="L24" i="10"/>
  <c r="L25" i="10"/>
  <c r="L26" i="10"/>
  <c r="L27" i="10"/>
  <c r="L29" i="10"/>
  <c r="L30" i="10"/>
  <c r="L21" i="10"/>
  <c r="L8" i="10"/>
  <c r="L9" i="10"/>
  <c r="L10" i="10"/>
  <c r="L11" i="10"/>
  <c r="L12" i="10"/>
  <c r="L13" i="10"/>
  <c r="L14" i="10"/>
  <c r="L15" i="10"/>
  <c r="L16" i="10"/>
  <c r="L17" i="10"/>
  <c r="L7" i="10"/>
  <c r="J37" i="10"/>
  <c r="J39" i="10"/>
  <c r="J40" i="10"/>
  <c r="J34" i="10"/>
  <c r="J22" i="10"/>
  <c r="J23" i="10"/>
  <c r="J24" i="10"/>
  <c r="J25" i="10"/>
  <c r="J26" i="10"/>
  <c r="J27" i="10"/>
  <c r="J29" i="10"/>
  <c r="J30" i="10"/>
  <c r="J21" i="10"/>
  <c r="J8" i="10"/>
  <c r="J9" i="10"/>
  <c r="J10" i="10"/>
  <c r="J11" i="10"/>
  <c r="J12" i="10"/>
  <c r="J13" i="10"/>
  <c r="J14" i="10"/>
  <c r="J15" i="10"/>
  <c r="J16" i="10"/>
  <c r="J17" i="10"/>
  <c r="J7" i="10"/>
  <c r="AE53" i="12"/>
  <c r="S43" i="12"/>
  <c r="R43" i="12"/>
  <c r="P43" i="12"/>
  <c r="N43" i="12"/>
  <c r="K43" i="12"/>
  <c r="H43" i="12"/>
  <c r="E43" i="12"/>
  <c r="AB43" i="12"/>
  <c r="AA43" i="12"/>
  <c r="Z43" i="12"/>
  <c r="L43" i="12"/>
  <c r="J43" i="12"/>
  <c r="Q43" i="12"/>
  <c r="M43" i="12"/>
  <c r="Q16" i="11" l="1"/>
  <c r="U43" i="12"/>
  <c r="V43" i="12"/>
  <c r="T43" i="12"/>
  <c r="G43" i="12"/>
  <c r="O43" i="12"/>
  <c r="F43" i="12"/>
  <c r="I43" i="12"/>
  <c r="AD43" i="12"/>
  <c r="AF46" i="12" l="1"/>
  <c r="X43" i="12"/>
  <c r="AF45" i="12"/>
  <c r="AF43" i="12" l="1"/>
  <c r="AE43" i="12"/>
  <c r="F16" i="11" l="1"/>
  <c r="G16" i="11"/>
  <c r="H16" i="11"/>
  <c r="I16" i="11"/>
  <c r="J16" i="11"/>
  <c r="K16" i="11"/>
  <c r="L16" i="11"/>
  <c r="M16" i="11"/>
  <c r="N16" i="11"/>
  <c r="O16" i="11"/>
  <c r="P16" i="11"/>
  <c r="R16" i="11"/>
  <c r="S16" i="11"/>
  <c r="T16" i="11"/>
  <c r="U16" i="11"/>
  <c r="V16" i="11"/>
  <c r="X10" i="10" l="1"/>
  <c r="X21" i="10" l="1"/>
  <c r="X27" i="11" l="1"/>
  <c r="D10" i="3" l="1"/>
  <c r="D49" i="1"/>
  <c r="N19" i="1"/>
  <c r="Q18" i="10" l="1"/>
  <c r="X14" i="10"/>
  <c r="E18" i="10"/>
  <c r="F18" i="10"/>
  <c r="G18" i="10"/>
  <c r="H18" i="10"/>
  <c r="I18" i="10"/>
  <c r="J18" i="10"/>
  <c r="K18" i="10"/>
  <c r="L18" i="10"/>
  <c r="N18" i="10"/>
  <c r="O18" i="10"/>
  <c r="P18" i="10"/>
  <c r="R18" i="10"/>
  <c r="S18" i="10"/>
  <c r="T18" i="10"/>
  <c r="U18" i="10"/>
  <c r="V18" i="10"/>
  <c r="E16" i="11"/>
  <c r="D111" i="4"/>
  <c r="N23" i="1"/>
  <c r="D14" i="3" s="1"/>
  <c r="X28" i="11"/>
  <c r="X21" i="11"/>
  <c r="T23" i="11"/>
  <c r="X20" i="11"/>
  <c r="V23" i="11"/>
  <c r="V25" i="11" s="1"/>
  <c r="V29" i="11" s="1"/>
  <c r="S23" i="11"/>
  <c r="R23" i="11"/>
  <c r="O23" i="11"/>
  <c r="N23" i="11"/>
  <c r="K23" i="11"/>
  <c r="X19" i="11"/>
  <c r="F23" i="11"/>
  <c r="X12" i="11"/>
  <c r="X8" i="11"/>
  <c r="V41" i="10"/>
  <c r="V32" i="11" s="1"/>
  <c r="U41" i="10"/>
  <c r="U32" i="11" s="1"/>
  <c r="T41" i="10"/>
  <c r="T32" i="11" s="1"/>
  <c r="S41" i="10"/>
  <c r="R41" i="10"/>
  <c r="Q41" i="10"/>
  <c r="Q32" i="11" s="1"/>
  <c r="P41" i="10"/>
  <c r="O41" i="10"/>
  <c r="N41" i="10"/>
  <c r="M41" i="10"/>
  <c r="M32" i="11" s="1"/>
  <c r="L41" i="10"/>
  <c r="L32" i="11" s="1"/>
  <c r="K41" i="10"/>
  <c r="J41" i="10"/>
  <c r="J32" i="11" s="1"/>
  <c r="I41" i="10"/>
  <c r="I32" i="11" s="1"/>
  <c r="H41" i="10"/>
  <c r="G41" i="10"/>
  <c r="G32" i="11" s="1"/>
  <c r="F41" i="10"/>
  <c r="E41" i="10"/>
  <c r="X40" i="10"/>
  <c r="X39" i="10"/>
  <c r="X38" i="10"/>
  <c r="X37" i="10"/>
  <c r="X36" i="10"/>
  <c r="X35" i="10"/>
  <c r="X34" i="10"/>
  <c r="V31" i="10"/>
  <c r="U31" i="10"/>
  <c r="T31" i="10"/>
  <c r="S31" i="10"/>
  <c r="R31" i="10"/>
  <c r="Q31" i="10"/>
  <c r="P31" i="10"/>
  <c r="O31" i="10"/>
  <c r="N31" i="10"/>
  <c r="M31" i="10"/>
  <c r="L31" i="10"/>
  <c r="K31" i="10"/>
  <c r="J31" i="10"/>
  <c r="I31" i="10"/>
  <c r="H31" i="10"/>
  <c r="G31" i="10"/>
  <c r="F31" i="10"/>
  <c r="E31" i="10"/>
  <c r="X30" i="10"/>
  <c r="X29" i="10"/>
  <c r="X28" i="10"/>
  <c r="X27" i="10"/>
  <c r="X26" i="10"/>
  <c r="X25" i="10"/>
  <c r="X24" i="10"/>
  <c r="X23" i="10"/>
  <c r="X22" i="10"/>
  <c r="X17" i="10"/>
  <c r="X16" i="10"/>
  <c r="X15" i="10"/>
  <c r="X13" i="10"/>
  <c r="X11" i="10"/>
  <c r="X9" i="10"/>
  <c r="X8" i="10"/>
  <c r="X7" i="10"/>
  <c r="F3" i="5"/>
  <c r="F19" i="5" s="1"/>
  <c r="F8" i="3"/>
  <c r="U23" i="11"/>
  <c r="Q23" i="11"/>
  <c r="P23" i="11"/>
  <c r="M23" i="11"/>
  <c r="M25" i="11" s="1"/>
  <c r="M29" i="11" s="1"/>
  <c r="L23" i="11"/>
  <c r="I23" i="11"/>
  <c r="G23" i="11"/>
  <c r="D7" i="7"/>
  <c r="A1" i="15" s="1"/>
  <c r="L19" i="4"/>
  <c r="L20" i="4" s="1"/>
  <c r="J19" i="4"/>
  <c r="J20" i="4" s="1"/>
  <c r="H19" i="4"/>
  <c r="H20" i="4" s="1"/>
  <c r="F19" i="4"/>
  <c r="F20" i="4" s="1"/>
  <c r="D19" i="4"/>
  <c r="D20" i="4" s="1"/>
  <c r="N11" i="4"/>
  <c r="N14" i="4"/>
  <c r="N12" i="4"/>
  <c r="N76" i="4"/>
  <c r="N77" i="4"/>
  <c r="N78" i="4"/>
  <c r="L79" i="4"/>
  <c r="L80" i="4" s="1"/>
  <c r="J79" i="4"/>
  <c r="J80" i="4" s="1"/>
  <c r="H79" i="4"/>
  <c r="H80" i="4" s="1"/>
  <c r="F79" i="4"/>
  <c r="F80" i="4" s="1"/>
  <c r="D79" i="4"/>
  <c r="D80" i="4" s="1"/>
  <c r="L121" i="4"/>
  <c r="L120" i="4"/>
  <c r="J121" i="4"/>
  <c r="J120" i="4"/>
  <c r="H121" i="4"/>
  <c r="H120" i="4"/>
  <c r="F121" i="4"/>
  <c r="F120" i="4"/>
  <c r="D121" i="4"/>
  <c r="D120" i="4"/>
  <c r="D101" i="4"/>
  <c r="F101" i="4"/>
  <c r="H101" i="4"/>
  <c r="J101" i="4"/>
  <c r="L101" i="4"/>
  <c r="N25" i="4"/>
  <c r="N24" i="4"/>
  <c r="N69" i="4"/>
  <c r="N68" i="4"/>
  <c r="N67" i="4"/>
  <c r="N32" i="4"/>
  <c r="N38" i="4"/>
  <c r="N44" i="4"/>
  <c r="N56" i="4"/>
  <c r="N62" i="4"/>
  <c r="N31" i="4"/>
  <c r="N37" i="4"/>
  <c r="N43" i="4"/>
  <c r="N55" i="4"/>
  <c r="N61" i="4"/>
  <c r="N26" i="4"/>
  <c r="N23" i="4"/>
  <c r="N17" i="4"/>
  <c r="N15" i="4"/>
  <c r="N18" i="4"/>
  <c r="L49" i="1"/>
  <c r="L125" i="4" s="1"/>
  <c r="L111" i="4"/>
  <c r="L112" i="4"/>
  <c r="L113" i="4"/>
  <c r="L114" i="4"/>
  <c r="L115" i="4"/>
  <c r="J49" i="1"/>
  <c r="J125" i="4" s="1"/>
  <c r="J111" i="4"/>
  <c r="J112" i="4"/>
  <c r="J113" i="4"/>
  <c r="J114" i="4"/>
  <c r="J115" i="4"/>
  <c r="H49" i="1"/>
  <c r="H125" i="4" s="1"/>
  <c r="H111" i="4"/>
  <c r="H112" i="4"/>
  <c r="H113" i="4"/>
  <c r="H114" i="4"/>
  <c r="H115" i="4"/>
  <c r="F49" i="1"/>
  <c r="F125" i="4" s="1"/>
  <c r="F111" i="4"/>
  <c r="F112" i="4"/>
  <c r="F113" i="4"/>
  <c r="F114" i="4"/>
  <c r="F115" i="4"/>
  <c r="D112" i="4"/>
  <c r="D113" i="4"/>
  <c r="D114" i="4"/>
  <c r="D115" i="4"/>
  <c r="N12" i="2"/>
  <c r="D7" i="5" s="1"/>
  <c r="N10" i="2"/>
  <c r="N11" i="2"/>
  <c r="N13" i="2"/>
  <c r="N14" i="2"/>
  <c r="N15" i="2"/>
  <c r="N16" i="2"/>
  <c r="N17" i="2"/>
  <c r="O17" i="2" s="1"/>
  <c r="N18" i="2"/>
  <c r="O18" i="2" s="1"/>
  <c r="N23" i="2"/>
  <c r="N29" i="2"/>
  <c r="O29" i="2" s="1"/>
  <c r="L19" i="2"/>
  <c r="L24" i="2"/>
  <c r="J19" i="2"/>
  <c r="J24" i="2"/>
  <c r="H19" i="2"/>
  <c r="H24" i="2"/>
  <c r="F19" i="2"/>
  <c r="F24" i="2"/>
  <c r="D19" i="2"/>
  <c r="D24" i="2"/>
  <c r="N100" i="4"/>
  <c r="N99" i="4"/>
  <c r="D95" i="4"/>
  <c r="D96" i="4" s="1"/>
  <c r="F95" i="4"/>
  <c r="F96" i="4" s="1"/>
  <c r="H95" i="4"/>
  <c r="H96" i="4" s="1"/>
  <c r="J95" i="4"/>
  <c r="J96" i="4" s="1"/>
  <c r="L95" i="4"/>
  <c r="L96" i="4" s="1"/>
  <c r="N94" i="4"/>
  <c r="N93" i="4"/>
  <c r="D89" i="4"/>
  <c r="D90" i="4" s="1"/>
  <c r="F89" i="4"/>
  <c r="H89" i="4"/>
  <c r="H90" i="4" s="1"/>
  <c r="J89" i="4"/>
  <c r="J90" i="4" s="1"/>
  <c r="L89" i="4"/>
  <c r="L90" i="4" s="1"/>
  <c r="N88" i="4"/>
  <c r="N87" i="4"/>
  <c r="N9" i="1"/>
  <c r="D7" i="3" s="1"/>
  <c r="N12" i="1"/>
  <c r="N11" i="1"/>
  <c r="N13" i="1"/>
  <c r="N14" i="1"/>
  <c r="N15" i="1"/>
  <c r="N16" i="1"/>
  <c r="N25" i="1"/>
  <c r="N17" i="1"/>
  <c r="N18" i="1"/>
  <c r="N20" i="1"/>
  <c r="D11" i="3" s="1"/>
  <c r="N21" i="1"/>
  <c r="N22" i="1"/>
  <c r="D13" i="3" s="1"/>
  <c r="N24" i="1"/>
  <c r="N30" i="1"/>
  <c r="N37" i="1"/>
  <c r="N31" i="1"/>
  <c r="D22" i="3" s="1"/>
  <c r="N32" i="1"/>
  <c r="D23" i="3" s="1"/>
  <c r="N33" i="1"/>
  <c r="D24" i="3" s="1"/>
  <c r="N34" i="1"/>
  <c r="D25" i="3" s="1"/>
  <c r="N35" i="1"/>
  <c r="D26" i="3" s="1"/>
  <c r="N36" i="1"/>
  <c r="D27" i="3" s="1"/>
  <c r="N48" i="1"/>
  <c r="N107" i="4" s="1"/>
  <c r="L27" i="1"/>
  <c r="L44" i="1"/>
  <c r="J27" i="1"/>
  <c r="J44" i="1"/>
  <c r="H27" i="1"/>
  <c r="H44" i="1"/>
  <c r="F27" i="1"/>
  <c r="F44" i="1"/>
  <c r="D27" i="1"/>
  <c r="D44" i="1"/>
  <c r="L4" i="4"/>
  <c r="J4" i="4"/>
  <c r="H4" i="4"/>
  <c r="F4" i="4"/>
  <c r="D4" i="4"/>
  <c r="L27" i="4"/>
  <c r="L28" i="4" s="1"/>
  <c r="J27" i="4"/>
  <c r="J28" i="4" s="1"/>
  <c r="H27" i="4"/>
  <c r="H28" i="4" s="1"/>
  <c r="F27" i="4"/>
  <c r="F28" i="4" s="1"/>
  <c r="L70" i="4"/>
  <c r="L71" i="4" s="1"/>
  <c r="J70" i="4"/>
  <c r="J71" i="4" s="1"/>
  <c r="H70" i="4"/>
  <c r="H71" i="4" s="1"/>
  <c r="F70" i="4"/>
  <c r="D70" i="4"/>
  <c r="D71" i="4" s="1"/>
  <c r="L63" i="4"/>
  <c r="L64" i="4" s="1"/>
  <c r="J63" i="4"/>
  <c r="J64" i="4" s="1"/>
  <c r="H63" i="4"/>
  <c r="H64" i="4" s="1"/>
  <c r="F63" i="4"/>
  <c r="F64" i="4" s="1"/>
  <c r="D63" i="4"/>
  <c r="L57" i="4"/>
  <c r="L58" i="4" s="1"/>
  <c r="J57" i="4"/>
  <c r="J58" i="4" s="1"/>
  <c r="H57" i="4"/>
  <c r="H58" i="4" s="1"/>
  <c r="F57" i="4"/>
  <c r="F58" i="4" s="1"/>
  <c r="D57" i="4"/>
  <c r="D58" i="4" s="1"/>
  <c r="L45" i="4"/>
  <c r="L46" i="4" s="1"/>
  <c r="J45" i="4"/>
  <c r="J46" i="4" s="1"/>
  <c r="H45" i="4"/>
  <c r="H46" i="4" s="1"/>
  <c r="F45" i="4"/>
  <c r="F46" i="4" s="1"/>
  <c r="D45" i="4"/>
  <c r="D46" i="4" s="1"/>
  <c r="L39" i="4"/>
  <c r="L40" i="4" s="1"/>
  <c r="J39" i="4"/>
  <c r="J40" i="4" s="1"/>
  <c r="H39" i="4"/>
  <c r="H40" i="4" s="1"/>
  <c r="F39" i="4"/>
  <c r="F40" i="4" s="1"/>
  <c r="D39" i="4"/>
  <c r="D40" i="4" s="1"/>
  <c r="L33" i="4"/>
  <c r="L34" i="4" s="1"/>
  <c r="J33" i="4"/>
  <c r="J34" i="4" s="1"/>
  <c r="H33" i="4"/>
  <c r="H34" i="4" s="1"/>
  <c r="F33" i="4"/>
  <c r="F34" i="4" s="1"/>
  <c r="D33" i="4"/>
  <c r="D27" i="4"/>
  <c r="D28" i="4" s="1"/>
  <c r="L5" i="1"/>
  <c r="J5" i="1"/>
  <c r="H5" i="1"/>
  <c r="F5" i="1"/>
  <c r="D5" i="1"/>
  <c r="N38" i="1"/>
  <c r="N39" i="1"/>
  <c r="N40" i="1"/>
  <c r="N47" i="1"/>
  <c r="N43" i="1"/>
  <c r="N42" i="1"/>
  <c r="N26" i="1"/>
  <c r="L5" i="2"/>
  <c r="J5" i="2"/>
  <c r="H5" i="2"/>
  <c r="F5" i="2"/>
  <c r="D5" i="2"/>
  <c r="N22" i="2"/>
  <c r="N9" i="2"/>
  <c r="X9" i="11"/>
  <c r="X10" i="11"/>
  <c r="X11" i="11"/>
  <c r="X13" i="11"/>
  <c r="X14" i="11"/>
  <c r="X15" i="11"/>
  <c r="X7" i="11"/>
  <c r="J23" i="11"/>
  <c r="J25" i="11" s="1"/>
  <c r="J29" i="11" s="1"/>
  <c r="X22" i="11"/>
  <c r="H23" i="11"/>
  <c r="E23" i="11"/>
  <c r="X12" i="10"/>
  <c r="M18" i="10"/>
  <c r="D116" i="4" l="1"/>
  <c r="N28" i="2"/>
  <c r="O28" i="2" s="1"/>
  <c r="F32" i="11"/>
  <c r="C15" i="9"/>
  <c r="O35" i="13" s="1"/>
  <c r="O32" i="11"/>
  <c r="D28" i="5"/>
  <c r="C17" i="8" s="1"/>
  <c r="F7" i="3"/>
  <c r="H7" i="3" s="1"/>
  <c r="J7" i="3" s="1"/>
  <c r="N24" i="2"/>
  <c r="F26" i="2"/>
  <c r="F30" i="2" s="1"/>
  <c r="F32" i="2" s="1"/>
  <c r="N27" i="1"/>
  <c r="J26" i="2"/>
  <c r="J30" i="2" s="1"/>
  <c r="D29" i="3"/>
  <c r="L26" i="2"/>
  <c r="L30" i="2" s="1"/>
  <c r="L32" i="2" s="1"/>
  <c r="N113" i="4"/>
  <c r="D26" i="2"/>
  <c r="D30" i="2" s="1"/>
  <c r="E25" i="11"/>
  <c r="E29" i="11" s="1"/>
  <c r="F122" i="4"/>
  <c r="F127" i="4" s="1"/>
  <c r="N120" i="4"/>
  <c r="N39" i="4"/>
  <c r="F40" i="3"/>
  <c r="F30" i="3"/>
  <c r="F26" i="3"/>
  <c r="J26" i="3" s="1"/>
  <c r="F22" i="3"/>
  <c r="H22" i="3" s="1"/>
  <c r="J22" i="3" s="1"/>
  <c r="F15" i="3"/>
  <c r="F11" i="3"/>
  <c r="H11" i="3" s="1"/>
  <c r="J11" i="3" s="1"/>
  <c r="F39" i="3"/>
  <c r="F29" i="3"/>
  <c r="F25" i="3"/>
  <c r="H25" i="3" s="1"/>
  <c r="J25" i="3" s="1"/>
  <c r="F21" i="3"/>
  <c r="F14" i="3"/>
  <c r="F37" i="3"/>
  <c r="H37" i="3" s="1"/>
  <c r="J37" i="3" s="1"/>
  <c r="F28" i="3"/>
  <c r="H28" i="3" s="1"/>
  <c r="F24" i="3"/>
  <c r="H24" i="3" s="1"/>
  <c r="J24" i="3" s="1"/>
  <c r="F17" i="3"/>
  <c r="F13" i="3"/>
  <c r="H13" i="3" s="1"/>
  <c r="J13" i="3" s="1"/>
  <c r="F9" i="3"/>
  <c r="F34" i="3"/>
  <c r="F27" i="3"/>
  <c r="F23" i="3"/>
  <c r="J23" i="3" s="1"/>
  <c r="F16" i="3"/>
  <c r="F12" i="3"/>
  <c r="F10" i="3"/>
  <c r="H10" i="3" s="1"/>
  <c r="J10" i="3" s="1"/>
  <c r="N25" i="11"/>
  <c r="N29" i="11" s="1"/>
  <c r="Q43" i="10"/>
  <c r="U43" i="10"/>
  <c r="K43" i="10"/>
  <c r="I25" i="11"/>
  <c r="I29" i="11" s="1"/>
  <c r="U25" i="11"/>
  <c r="U29" i="11" s="1"/>
  <c r="T25" i="11"/>
  <c r="T29" i="11" s="1"/>
  <c r="Q25" i="11"/>
  <c r="Q29" i="11" s="1"/>
  <c r="R25" i="11"/>
  <c r="R29" i="11" s="1"/>
  <c r="T43" i="10"/>
  <c r="X31" i="10"/>
  <c r="F10" i="5"/>
  <c r="F13" i="5"/>
  <c r="F11" i="5"/>
  <c r="F28" i="5"/>
  <c r="F12" i="5"/>
  <c r="F8" i="5"/>
  <c r="F14" i="5"/>
  <c r="F27" i="5"/>
  <c r="B2" i="8"/>
  <c r="A1" i="1"/>
  <c r="F15" i="5"/>
  <c r="F9" i="5"/>
  <c r="F20" i="5"/>
  <c r="F21" i="5"/>
  <c r="F7" i="5"/>
  <c r="F22" i="5"/>
  <c r="D51" i="1"/>
  <c r="D12" i="3"/>
  <c r="L51" i="1"/>
  <c r="D8" i="3"/>
  <c r="H8" i="3" s="1"/>
  <c r="J8" i="3" s="1"/>
  <c r="N79" i="4"/>
  <c r="J32" i="2"/>
  <c r="F116" i="4"/>
  <c r="F126" i="4" s="1"/>
  <c r="P43" i="10"/>
  <c r="X41" i="10"/>
  <c r="X32" i="11" s="1"/>
  <c r="C23" i="9"/>
  <c r="X35" i="13" s="1"/>
  <c r="V43" i="10"/>
  <c r="P25" i="11"/>
  <c r="P29" i="11" s="1"/>
  <c r="L25" i="11"/>
  <c r="L29" i="11" s="1"/>
  <c r="N101" i="4"/>
  <c r="H26" i="2"/>
  <c r="H30" i="2" s="1"/>
  <c r="H32" i="2" s="1"/>
  <c r="L43" i="10"/>
  <c r="D14" i="5"/>
  <c r="M43" i="10"/>
  <c r="X16" i="11"/>
  <c r="N89" i="4"/>
  <c r="H116" i="4"/>
  <c r="H126" i="4" s="1"/>
  <c r="L116" i="4"/>
  <c r="L126" i="4" s="1"/>
  <c r="G43" i="10"/>
  <c r="D22" i="5"/>
  <c r="H43" i="10"/>
  <c r="N27" i="4"/>
  <c r="N57" i="4"/>
  <c r="F90" i="4"/>
  <c r="D8" i="5"/>
  <c r="D16" i="3"/>
  <c r="L122" i="4"/>
  <c r="L127" i="4" s="1"/>
  <c r="N121" i="4"/>
  <c r="A1" i="2"/>
  <c r="N43" i="10"/>
  <c r="R43" i="10"/>
  <c r="E43" i="10"/>
  <c r="D12" i="5"/>
  <c r="D21" i="3"/>
  <c r="D11" i="5"/>
  <c r="N115" i="4"/>
  <c r="D30" i="3"/>
  <c r="H122" i="4"/>
  <c r="H127" i="4" s="1"/>
  <c r="S25" i="11"/>
  <c r="S29" i="11" s="1"/>
  <c r="O25" i="11"/>
  <c r="O29" i="11" s="1"/>
  <c r="K25" i="11"/>
  <c r="K29" i="11" s="1"/>
  <c r="G25" i="11"/>
  <c r="G29" i="11" s="1"/>
  <c r="D15" i="5"/>
  <c r="D10" i="5"/>
  <c r="N63" i="4"/>
  <c r="D20" i="5"/>
  <c r="H25" i="11"/>
  <c r="H29" i="11" s="1"/>
  <c r="N70" i="4"/>
  <c r="J51" i="1"/>
  <c r="N128" i="4"/>
  <c r="N112" i="4"/>
  <c r="D15" i="3"/>
  <c r="N119" i="4"/>
  <c r="J122" i="4"/>
  <c r="J127" i="4" s="1"/>
  <c r="O43" i="10"/>
  <c r="J43" i="10"/>
  <c r="F43" i="10"/>
  <c r="A1" i="4"/>
  <c r="A1" i="3"/>
  <c r="A1" i="5"/>
  <c r="D17" i="3"/>
  <c r="X18" i="10"/>
  <c r="N111" i="4"/>
  <c r="D122" i="4"/>
  <c r="N45" i="4"/>
  <c r="D64" i="4"/>
  <c r="F71" i="4"/>
  <c r="N44" i="1"/>
  <c r="F51" i="1"/>
  <c r="D9" i="3"/>
  <c r="N19" i="4"/>
  <c r="S43" i="10"/>
  <c r="I43" i="10"/>
  <c r="D34" i="4"/>
  <c r="N33" i="4"/>
  <c r="D125" i="4"/>
  <c r="N49" i="1"/>
  <c r="D27" i="5"/>
  <c r="N95" i="4"/>
  <c r="H51" i="1"/>
  <c r="D21" i="5"/>
  <c r="D19" i="5"/>
  <c r="H19" i="5" s="1"/>
  <c r="J19" i="5" s="1"/>
  <c r="D9" i="5"/>
  <c r="N19" i="2"/>
  <c r="D13" i="5"/>
  <c r="N114" i="4"/>
  <c r="J116" i="4"/>
  <c r="J126" i="4" s="1"/>
  <c r="X23" i="11"/>
  <c r="F25" i="11"/>
  <c r="D46" i="8" l="1"/>
  <c r="B46" i="8"/>
  <c r="D23" i="8"/>
  <c r="E23" i="8"/>
  <c r="E49" i="8"/>
  <c r="F49" i="8" s="1"/>
  <c r="H28" i="5"/>
  <c r="J28" i="5" s="1"/>
  <c r="H15" i="3"/>
  <c r="J15" i="3" s="1"/>
  <c r="H29" i="3"/>
  <c r="J29" i="3" s="1"/>
  <c r="H17" i="3"/>
  <c r="J17" i="3" s="1"/>
  <c r="H30" i="3"/>
  <c r="J30" i="3" s="1"/>
  <c r="H21" i="3"/>
  <c r="J21" i="3" s="1"/>
  <c r="J28" i="3"/>
  <c r="H23" i="3"/>
  <c r="H9" i="3"/>
  <c r="J9" i="3" s="1"/>
  <c r="H26" i="3"/>
  <c r="N26" i="2"/>
  <c r="F129" i="4"/>
  <c r="H27" i="5"/>
  <c r="J27" i="5" s="1"/>
  <c r="H12" i="3"/>
  <c r="J12" i="3" s="1"/>
  <c r="X25" i="11"/>
  <c r="X29" i="11" s="1"/>
  <c r="H10" i="5"/>
  <c r="J10" i="5" s="1"/>
  <c r="H12" i="5"/>
  <c r="J12" i="5" s="1"/>
  <c r="H11" i="5"/>
  <c r="J11" i="5" s="1"/>
  <c r="H14" i="5"/>
  <c r="J14" i="5" s="1"/>
  <c r="H15" i="5"/>
  <c r="J15" i="5" s="1"/>
  <c r="H20" i="5"/>
  <c r="J20" i="5" s="1"/>
  <c r="X43" i="10"/>
  <c r="F41" i="3"/>
  <c r="H13" i="5"/>
  <c r="J13" i="5" s="1"/>
  <c r="H8" i="5"/>
  <c r="J8" i="5" s="1"/>
  <c r="H22" i="5"/>
  <c r="J22" i="5" s="1"/>
  <c r="H9" i="5"/>
  <c r="J9" i="5" s="1"/>
  <c r="H7" i="5"/>
  <c r="J7" i="5" s="1"/>
  <c r="F16" i="5"/>
  <c r="H21" i="5"/>
  <c r="J21" i="5" s="1"/>
  <c r="F23" i="5"/>
  <c r="H27" i="3"/>
  <c r="J27" i="3" s="1"/>
  <c r="H14" i="3"/>
  <c r="J14" i="3" s="1"/>
  <c r="J129" i="4"/>
  <c r="H129" i="4"/>
  <c r="L129" i="4"/>
  <c r="H16" i="3"/>
  <c r="J16" i="3" s="1"/>
  <c r="F31" i="3"/>
  <c r="D31" i="3"/>
  <c r="F18" i="3"/>
  <c r="N122" i="4"/>
  <c r="D127" i="4"/>
  <c r="N127" i="4" s="1"/>
  <c r="D32" i="2"/>
  <c r="N30" i="2"/>
  <c r="N125" i="4"/>
  <c r="N116" i="4"/>
  <c r="D126" i="4"/>
  <c r="N126" i="4" s="1"/>
  <c r="D18" i="3"/>
  <c r="D16" i="5"/>
  <c r="D23" i="5"/>
  <c r="E48" i="8" l="1"/>
  <c r="E46" i="8" s="1"/>
  <c r="E47" i="8"/>
  <c r="F43" i="3"/>
  <c r="F25" i="5"/>
  <c r="F29" i="5" s="1"/>
  <c r="F31" i="5" s="1"/>
  <c r="D129" i="4"/>
  <c r="N129" i="4" s="1"/>
  <c r="D40" i="3" s="1"/>
  <c r="H40" i="3" s="1"/>
  <c r="J40" i="3" s="1"/>
  <c r="O89" i="4"/>
  <c r="O116" i="4"/>
  <c r="O95" i="4"/>
  <c r="O101" i="4"/>
  <c r="D34" i="3"/>
  <c r="D25" i="5"/>
  <c r="O122" i="4"/>
  <c r="D39" i="3"/>
  <c r="H39" i="3" s="1"/>
  <c r="J39" i="3" s="1"/>
  <c r="D29" i="5" l="1"/>
  <c r="H25" i="5"/>
  <c r="J25" i="5" s="1"/>
  <c r="H34" i="3"/>
  <c r="J34" i="3" s="1"/>
  <c r="D41" i="3"/>
  <c r="D43" i="3" s="1"/>
  <c r="D31" i="5" l="1"/>
  <c r="E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tc={86689C96-5053-445A-A6EC-7D4E42AC93AF}</author>
    <author>tc={EF2CEEE9-B99E-4A89-898F-E5B37D3F4EF1}</author>
  </authors>
  <commentList>
    <comment ref="B40" authorId="0" shapeId="0" xr:uid="{86689C96-5053-445A-A6EC-7D4E42AC93AF}">
      <text>
        <t>[Threaded comment]
Your version of Excel allows you to read this threaded comment; however, any edits to it will get removed if the file is opened in a newer version of Excel. Learn more: https://go.microsoft.com/fwlink/?linkid=870924
Comment:
    This is the same account as "Lease liability" in NFCS package</t>
      </text>
    </comment>
    <comment ref="B41" authorId="1" shapeId="0" xr:uid="{EF2CEEE9-B99E-4A89-898F-E5B37D3F4EF1}">
      <text>
        <t>[Threaded comment]
Your version of Excel allows you to read this threaded comment; however, any edits to it will get removed if the file is opened in a newer version of Excel. Learn more: https://go.microsoft.com/fwlink/?linkid=870924
Comment:
    New account in FY2023 (account number 21410000 and 242000).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tc={5F9E99E9-2D6E-412A-8489-87F9D90AF0DD}</author>
    <author>tc={A4736A38-E5F2-4C1B-A48A-E556B85885B9}</author>
    <author>tc={B69B7F3F-8B55-4DF7-974A-1D42735F2CB9}</author>
    <author>tc={BD5ABEA8-84AD-45C1-B1B9-7421468FF916}</author>
    <author>tc={B462DD32-B897-4236-89D9-4614E718CFD4}</author>
    <author>tc={5AB5ACE9-0D1B-473E-BD2F-46A8DC0BD76C}</author>
    <author>tc={0E719F0B-32E0-4AB4-998F-7194E8440AD3}</author>
    <author>tc={68912E55-D28B-4E2B-A36C-D881946E136B}</author>
    <author>tc={721F4BD8-9D3D-426F-B244-CD7C93609002}</author>
  </authors>
  <commentList>
    <comment ref="O18" authorId="0" shapeId="0" xr:uid="{5F9E99E9-2D6E-412A-8489-87F9D90AF0DD}">
      <text>
        <t>[Threaded comment]
Your version of Excel allows you to read this threaded comment; however, any edits to it will get removed if the file is opened in a newer version of Excel. Learn more: https://go.microsoft.com/fwlink/?linkid=870924
Comment:
    Check if an account is not chosen at the line with restatement.</t>
      </text>
    </comment>
    <comment ref="P18" authorId="1" shapeId="0" xr:uid="{A4736A38-E5F2-4C1B-A48A-E556B85885B9}">
      <text>
        <t>[Threaded comment]
Your version of Excel allows you to read this threaded comment; however, any edits to it will get removed if the file is opened in a newer version of Excel. Learn more: https://go.microsoft.com/fwlink/?linkid=870924
Comment:
    Check if an account is chosen at the line without restatement amount.</t>
      </text>
    </comment>
    <comment ref="Q18" authorId="2" shapeId="0" xr:uid="{B69B7F3F-8B55-4DF7-974A-1D42735F2CB9}">
      <text>
        <t>[Threaded comment]
Your version of Excel allows you to read this threaded comment; however, any edits to it will get removed if the file is opened in a newer version of Excel. Learn more: https://go.microsoft.com/fwlink/?linkid=870924
Comment:
    Check if Category is not chosen at the line with restatement.</t>
      </text>
    </comment>
    <comment ref="R18" authorId="3" shapeId="0" xr:uid="{BD5ABEA8-84AD-45C1-B1B9-7421468FF916}">
      <text>
        <t>[Threaded comment]
Your version of Excel allows you to read this threaded comment; however, any edits to it will get removed if the file is opened in a newer version of Excel. Learn more: https://go.microsoft.com/fwlink/?linkid=870924
Comment:
    Check if Category is chosen at the line without restatement amount.</t>
      </text>
    </comment>
    <comment ref="S18" authorId="4" shapeId="0" xr:uid="{B462DD32-B897-4236-89D9-4614E718CFD4}">
      <text>
        <t>[Threaded comment]
Your version of Excel allows you to read this threaded comment; however, any edits to it will get removed if the file is opened in a newer version of Excel. Learn more: https://go.microsoft.com/fwlink/?linkid=870924
Comment:
    Check if Restatement reason is not chosen at the line with restatement.</t>
      </text>
    </comment>
    <comment ref="T18" authorId="5" shapeId="0" xr:uid="{5AB5ACE9-0D1B-473E-BD2F-46A8DC0BD76C}">
      <text>
        <t>[Threaded comment]
Your version of Excel allows you to read this threaded comment; however, any edits to it will get removed if the file is opened in a newer version of Excel. Learn more: https://go.microsoft.com/fwlink/?linkid=870924
Comment:
    Check if Category is chosen at the line without restatement amount.</t>
      </text>
    </comment>
    <comment ref="U18" authorId="6" shapeId="0" xr:uid="{0E719F0B-32E0-4AB4-998F-7194E8440AD3}">
      <text>
        <t>[Threaded comment]
Your version of Excel allows you to read this threaded comment; however, any edits to it will get removed if the file is opened in a newer version of Excel. Learn more: https://go.microsoft.com/fwlink/?linkid=870924
Comment:
    Check Explanation column if foundation enters at the correct line.</t>
      </text>
    </comment>
    <comment ref="O19" authorId="7" shapeId="0" xr:uid="{68912E55-D28B-4E2B-A36C-D881946E136B}">
      <text>
        <t xml:space="preserve">[Threaded comment]
Your version of Excel allows you to read this threaded comment; however, any edits to it will get removed if the file is opened in a newer version of Excel. Learn more: https://go.microsoft.com/fwlink/?linkid=870924
Comment:
    Cell O19 to T22 = Keep as is for now because this doesn't negatively affect the error check at row 46 &amp; 47. May update formula later if needed be. </t>
      </text>
    </comment>
    <comment ref="M46" authorId="8" shapeId="0" xr:uid="{721F4BD8-9D3D-426F-B244-CD7C93609002}">
      <text>
        <t>[Threaded comment]
Your version of Excel allows you to read this threaded comment; however, any edits to it will get removed if the file is opened in a newer version of Excel. Learn more: https://go.microsoft.com/fwlink/?linkid=870924
Comment:
    IF(SUM(D16:D19)&lt;&gt;0,IF(SUM(D22:D36)=0,"ERROR - Enter the beginning balance of row B, C, D or E","OK"))</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tc={32073AB9-F32A-4453-9201-969EAAA4F8A2}</author>
  </authors>
  <commentList>
    <comment ref="X41" authorId="0" shapeId="0" xr:uid="{32073AB9-F32A-4453-9201-969EAAA4F8A2}">
      <text>
        <t>[Threaded comment]
Your version of Excel allows you to read this threaded comment; however, any edits to it will get removed if the file is opened in a newer version of Excel. Learn more: https://go.microsoft.com/fwlink/?linkid=870924
Comment:
    Agree to FY2022 WTB file at 'Offline SOA' tab and 2023 Beg Balance file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tc={64D292E4-A099-4236-8DBF-D4250B8C8010}</author>
    <author>tc={064AF09E-7E4F-4B9E-B67A-26D47F507381}</author>
  </authors>
  <commentList>
    <comment ref="AI8" authorId="0" shapeId="0" xr:uid="{64D292E4-A099-4236-8DBF-D4250B8C8010}">
      <text>
        <t>[Threaded comment]
Your version of Excel allows you to read this threaded comment; however, any edits to it will get removed if the file is opened in a newer version of Excel. Learn more: https://go.microsoft.com/fwlink/?linkid=870924
Comment:
    Minus AJE21</t>
      </text>
    </comment>
    <comment ref="AI15" authorId="1" shapeId="0" xr:uid="{064AF09E-7E4F-4B9E-B67A-26D47F507381}">
      <text>
        <t>[Threaded comment]
Your version of Excel allows you to read this threaded comment; however, any edits to it will get removed if the file is opened in a newer version of Excel. Learn more: https://go.microsoft.com/fwlink/?linkid=870924
Comment:
    Plus AJE 21</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tc={479F4928-69E5-48AB-9E26-F6503BFBD62F}</author>
    <author>Patcha Kidking</author>
    <author>tc={9B4D040E-191B-4339-B076-30CA54DCF731}</author>
    <author>tc={5F9F0F08-FE3C-4D0D-9DAE-5D25665100DB}</author>
  </authors>
  <commentList>
    <comment ref="E37" authorId="0" shapeId="0" xr:uid="{479F4928-69E5-48AB-9E26-F6503BFBD62F}">
      <text>
        <t>[Threaded comment]
Your version of Excel allows you to read this threaded comment; however, any edits to it will get removed if the file is opened in a newer version of Excel. Learn more: https://go.microsoft.com/fwlink/?linkid=870924
Comment:
    None in FY2023 on foundation template but universities reported under this account.</t>
      </text>
    </comment>
    <comment ref="E39" authorId="1" shapeId="0" xr:uid="{9A9AB487-CDB6-4F61-9A8C-BF16AFB24D9E}">
      <text>
        <r>
          <rPr>
            <b/>
            <sz val="9"/>
            <color indexed="81"/>
            <rFont val="Tahoma"/>
            <family val="2"/>
          </rPr>
          <t>Patcha Kidking:</t>
        </r>
        <r>
          <rPr>
            <sz val="9"/>
            <color indexed="81"/>
            <rFont val="Tahoma"/>
            <family val="2"/>
          </rPr>
          <t xml:space="preserve">
This one rolls up to 2111000 which is Account Payable. Last year NC A&amp;T reported $84,986. Would you be ok to roll up to R_Account Payable?</t>
        </r>
      </text>
    </comment>
    <comment ref="F40" authorId="1" shapeId="0" xr:uid="{B29DA4D3-BCF1-491F-9964-F40036D2A1F6}">
      <text>
        <r>
          <rPr>
            <b/>
            <sz val="9"/>
            <color indexed="81"/>
            <rFont val="Tahoma"/>
            <family val="2"/>
          </rPr>
          <t>Patcha Kidking:</t>
        </r>
        <r>
          <rPr>
            <sz val="9"/>
            <color indexed="81"/>
            <rFont val="Tahoma"/>
            <family val="2"/>
          </rPr>
          <t xml:space="preserve">
Reported by NCSU last year about $12.8 M
Current ~1.1 M
Non C ~11.7 M</t>
        </r>
      </text>
    </comment>
    <comment ref="D41" authorId="2" shapeId="0" xr:uid="{9B4D040E-191B-4339-B076-30CA54DCF731}">
      <text>
        <t>[Threaded comment]
Your version of Excel allows you to read this threaded comment; however, any edits to it will get removed if the file is opened in a newer version of Excel. Learn more: https://go.microsoft.com/fwlink/?linkid=870924
Comment:
    This is the same account as "Lease liability" in NFCS package</t>
      </text>
    </comment>
    <comment ref="D44" authorId="3" shapeId="0" xr:uid="{5F9F0F08-FE3C-4D0D-9DAE-5D25665100DB}">
      <text>
        <t>[Threaded comment]
Your version of Excel allows you to read this threaded comment; however, any edits to it will get removed if the file is opened in a newer version of Excel. Learn more: https://go.microsoft.com/fwlink/?linkid=870924
Comment:
    New account in FY2023 (account number 21410000 and 242000).</t>
      </text>
    </comment>
    <comment ref="F77" authorId="1" shapeId="0" xr:uid="{DDAE4177-2A5E-46F7-A9AF-459663FE4846}">
      <text>
        <r>
          <rPr>
            <b/>
            <sz val="9"/>
            <color indexed="81"/>
            <rFont val="Tahoma"/>
            <family val="2"/>
          </rPr>
          <t>Patcha Kidking:</t>
        </r>
        <r>
          <rPr>
            <sz val="9"/>
            <color indexed="81"/>
            <rFont val="Tahoma"/>
            <family val="2"/>
          </rPr>
          <t xml:space="preserve">
I see this one at A67 on '431BTA-CU' tab, not on 'Notes' tab of NCFS package.</t>
        </r>
      </text>
    </comment>
  </commentList>
</comments>
</file>

<file path=xl/sharedStrings.xml><?xml version="1.0" encoding="utf-8"?>
<sst xmlns="http://schemas.openxmlformats.org/spreadsheetml/2006/main" count="1323" uniqueCount="769">
  <si>
    <t>Foundation Conversion Template</t>
  </si>
  <si>
    <t>North Carolina Universities</t>
  </si>
  <si>
    <r>
      <t xml:space="preserve">The accompanying </t>
    </r>
    <r>
      <rPr>
        <sz val="10"/>
        <color indexed="12"/>
        <rFont val="Arial"/>
        <family val="2"/>
      </rPr>
      <t>"</t>
    </r>
    <r>
      <rPr>
        <i/>
        <sz val="10"/>
        <color indexed="12"/>
        <rFont val="Arial"/>
        <family val="2"/>
      </rPr>
      <t>Foundation Conversion Template - North Carolina Universities"</t>
    </r>
  </si>
  <si>
    <t>was developed by the North Carolina Office of the State Controller (OSC). This template converts</t>
  </si>
  <si>
    <t>private foundations from the FASB 117 format (as amended by FASB Update 2016-14)</t>
  </si>
  <si>
    <t xml:space="preserve"> to the State's Annual Comprehensive Financial Report (ACFR) format (i.e., GASB 34).</t>
  </si>
  <si>
    <t>Except for North Carolina public colleges and universities, we request that users make reference to OSC</t>
  </si>
  <si>
    <t>as the developer of the accompanying template.  Also, users should provide OSC with samples of any</t>
  </si>
  <si>
    <t>materials utilizing this template or parts thereof.  If you have any questions, please contact</t>
  </si>
  <si>
    <t>Mailing Address</t>
  </si>
  <si>
    <t>State of North Carolina</t>
  </si>
  <si>
    <t>Office of the State Controller</t>
  </si>
  <si>
    <t>1410 Mail Service Center</t>
  </si>
  <si>
    <t>Raleigh, NC 27699-1410</t>
  </si>
  <si>
    <t>Foundation Conversion Template for Universities</t>
  </si>
  <si>
    <t>General Information</t>
  </si>
  <si>
    <t>Select University Number from the drop down list:</t>
  </si>
  <si>
    <t>Agency Number</t>
  </si>
  <si>
    <t>U10</t>
  </si>
  <si>
    <t>Name of the University</t>
  </si>
  <si>
    <t>Enter Preparer Information:</t>
  </si>
  <si>
    <t>Preparer's Name</t>
  </si>
  <si>
    <t>Preparer's Phone No.</t>
  </si>
  <si>
    <t>Preparer's E-mail</t>
  </si>
  <si>
    <t>Enter Foundation Name(s):</t>
  </si>
  <si>
    <t>Name of Foundation 1</t>
  </si>
  <si>
    <t>Name of Foundation</t>
  </si>
  <si>
    <t>Name of Foundation 2</t>
  </si>
  <si>
    <t/>
  </si>
  <si>
    <t>Name of Foundation 3</t>
  </si>
  <si>
    <t>Name of Foundation 4</t>
  </si>
  <si>
    <t>Name of Foundation 5</t>
  </si>
  <si>
    <t>(Note: Names must fit within the shaded areas)</t>
  </si>
  <si>
    <t>GENERAL INSTRUCTIONS:</t>
  </si>
  <si>
    <t xml:space="preserve">Throughout the workbook, please enter all amounts in "whole dollars" not cents.  </t>
  </si>
  <si>
    <t>Refer to the notes at the bottom of each tab for further information and instructions.</t>
  </si>
  <si>
    <t xml:space="preserve">Please add any suggestions or explanations of special situations on the "Comments" tab </t>
  </si>
  <si>
    <t>so that we may update the template as needed.</t>
  </si>
  <si>
    <t xml:space="preserve">library. </t>
  </si>
  <si>
    <t>Exhibit A</t>
  </si>
  <si>
    <r>
      <t>Statement of Net Assets - FASB 117 Format</t>
    </r>
    <r>
      <rPr>
        <sz val="10"/>
        <rFont val="Arial"/>
        <family val="2"/>
      </rPr>
      <t xml:space="preserve"> </t>
    </r>
    <r>
      <rPr>
        <vertAlign val="superscript"/>
        <sz val="10"/>
        <rFont val="Arial"/>
        <family val="2"/>
      </rPr>
      <t>(1)</t>
    </r>
  </si>
  <si>
    <t>Total</t>
  </si>
  <si>
    <t>Assets</t>
  </si>
  <si>
    <t>Cash and cash equivalents</t>
  </si>
  <si>
    <t>**</t>
  </si>
  <si>
    <t>Investments</t>
  </si>
  <si>
    <t>Investment in joint venture</t>
  </si>
  <si>
    <t>Cash surrender value of life insurance</t>
  </si>
  <si>
    <t>Assets held in charitable trusts and annuities</t>
  </si>
  <si>
    <t>Security deposits</t>
  </si>
  <si>
    <t>Assets held by trustee</t>
  </si>
  <si>
    <t>Real estate held for resale</t>
  </si>
  <si>
    <t>Receivables, net</t>
  </si>
  <si>
    <t>Promises to give</t>
  </si>
  <si>
    <r>
      <t xml:space="preserve">Due from the University </t>
    </r>
    <r>
      <rPr>
        <vertAlign val="superscript"/>
        <sz val="8"/>
        <rFont val="Arial"/>
        <family val="2"/>
      </rPr>
      <t xml:space="preserve">(2)   </t>
    </r>
  </si>
  <si>
    <t>Inventories</t>
  </si>
  <si>
    <t>Prepaid expenses</t>
  </si>
  <si>
    <t>Notes/loans receivable, net</t>
  </si>
  <si>
    <r>
      <t xml:space="preserve">Lease obligation receivable </t>
    </r>
    <r>
      <rPr>
        <vertAlign val="superscript"/>
        <sz val="8"/>
        <rFont val="Arial"/>
        <family val="2"/>
      </rPr>
      <t>(3)</t>
    </r>
  </si>
  <si>
    <t>Deferred charges</t>
  </si>
  <si>
    <t>In-kind gifts</t>
  </si>
  <si>
    <t>Property and equipment, net</t>
  </si>
  <si>
    <t>Total assets</t>
  </si>
  <si>
    <r>
      <t xml:space="preserve">Liabilities </t>
    </r>
    <r>
      <rPr>
        <vertAlign val="superscript"/>
        <sz val="8"/>
        <rFont val="Arial"/>
        <family val="2"/>
      </rPr>
      <t>(4)</t>
    </r>
  </si>
  <si>
    <t>Accounts payable and accrued expenses</t>
  </si>
  <si>
    <r>
      <t xml:space="preserve">Due to the University </t>
    </r>
    <r>
      <rPr>
        <vertAlign val="superscript"/>
        <sz val="8"/>
        <rFont val="Arial"/>
        <family val="2"/>
      </rPr>
      <t>(5)</t>
    </r>
  </si>
  <si>
    <r>
      <t xml:space="preserve">Grants payable to the University </t>
    </r>
    <r>
      <rPr>
        <vertAlign val="superscript"/>
        <sz val="8"/>
        <rFont val="Arial"/>
        <family val="2"/>
      </rPr>
      <t>(5)</t>
    </r>
  </si>
  <si>
    <t>Unearned revenue</t>
  </si>
  <si>
    <t>Interest payable</t>
  </si>
  <si>
    <t>Deposits payable</t>
  </si>
  <si>
    <t>Funds held for others</t>
  </si>
  <si>
    <t>Interest rate swap fair value liability</t>
  </si>
  <si>
    <t>Split interest agreement obligations</t>
  </si>
  <si>
    <t>Annuities payable</t>
  </si>
  <si>
    <t>Capital leases payable</t>
  </si>
  <si>
    <t>Notes payable</t>
  </si>
  <si>
    <t>Bonds payable</t>
  </si>
  <si>
    <t>Total liabilities</t>
  </si>
  <si>
    <t>Net Assets</t>
  </si>
  <si>
    <t>Net Assets Without Donor Restrictions</t>
  </si>
  <si>
    <t>Net Assets With Donor Restrictions</t>
  </si>
  <si>
    <t>Total net assets</t>
  </si>
  <si>
    <t>(Assets minus liabilities equals net assets)</t>
  </si>
  <si>
    <t>Notes:</t>
  </si>
  <si>
    <t>(1)</t>
  </si>
  <si>
    <t>If the Foundation's separately issued Statement of Net Assets includes more than one column,</t>
  </si>
  <si>
    <t>key the amounts from the "Total" column.</t>
  </si>
  <si>
    <t>(2)</t>
  </si>
  <si>
    <t>Total foundation receivables from the University should agree with the offsetting amount recorded by the</t>
  </si>
  <si>
    <t xml:space="preserve">University as "Due to University Component Units".  The only exception is for timing differences for </t>
  </si>
  <si>
    <t>foundations with different fiscal year-end dates.  When the fiscal years are the same and the total</t>
  </si>
  <si>
    <t>foundation receivables from the University do not equal the offsetting payable recognized by the</t>
  </si>
  <si>
    <t>University, the difference should be reclassified to "Receivables, net".</t>
  </si>
  <si>
    <t>(3)</t>
  </si>
  <si>
    <t>The "Lease obligation receivable" amount reported by the foundation should agree with the offsetting</t>
  </si>
  <si>
    <t>lease payable amount reported by the university on ACFR Worksheet 301 ("University Foundations" column).</t>
  </si>
  <si>
    <t>(4)</t>
  </si>
  <si>
    <t>Within a foundation, amounts due to/due from other funds of that foundation should be eliminated and</t>
  </si>
  <si>
    <t>excluded from Exhibit A.  Amounts due to other University foundations should be included with</t>
  </si>
  <si>
    <t>"Accounts payable and accrued expenses".</t>
  </si>
  <si>
    <t>(5)</t>
  </si>
  <si>
    <t>Total foundation payables to the University should agree with the offsetting amount recorded by the</t>
  </si>
  <si>
    <t xml:space="preserve">University as "Due from University Component Units".  The only exception is for timing differences for </t>
  </si>
  <si>
    <t>foundation payables to the University do not equal the offsetting receivable recognized by the</t>
  </si>
  <si>
    <t>University, the difference should be reclassified to "Accounts payable and accrued expenses".</t>
  </si>
  <si>
    <t>See Adjustments tab for further breakdown.</t>
  </si>
  <si>
    <t>Exhibit B</t>
  </si>
  <si>
    <r>
      <t>Statement of Activities - FASB 117 Format</t>
    </r>
    <r>
      <rPr>
        <sz val="10"/>
        <rFont val="Arial"/>
        <family val="2"/>
      </rPr>
      <t xml:space="preserve"> </t>
    </r>
    <r>
      <rPr>
        <vertAlign val="superscript"/>
        <sz val="10"/>
        <rFont val="Arial"/>
        <family val="2"/>
      </rPr>
      <t>(1)</t>
    </r>
  </si>
  <si>
    <t>statement of Activities - FASB 117 Format (1)</t>
  </si>
  <si>
    <r>
      <t xml:space="preserve">Revenues </t>
    </r>
    <r>
      <rPr>
        <vertAlign val="superscript"/>
        <sz val="10"/>
        <rFont val="Arial"/>
        <family val="2"/>
      </rPr>
      <t>(2)</t>
    </r>
  </si>
  <si>
    <t>Gifts, donations, and contributions</t>
  </si>
  <si>
    <t>Contributed services and facilities</t>
  </si>
  <si>
    <t>Change in value of split interest agreements</t>
  </si>
  <si>
    <t>Grant revenues</t>
  </si>
  <si>
    <t>Investment income</t>
  </si>
  <si>
    <t>Net realized/unrealized gains (losses) on investments</t>
  </si>
  <si>
    <t>Sales and services</t>
  </si>
  <si>
    <t>Rental and lease income</t>
  </si>
  <si>
    <t>Gain on sale of capital assets</t>
  </si>
  <si>
    <t>Miscellaneous income</t>
  </si>
  <si>
    <t>Total revenues</t>
  </si>
  <si>
    <r>
      <t xml:space="preserve">Expenses </t>
    </r>
    <r>
      <rPr>
        <b/>
        <vertAlign val="superscript"/>
        <sz val="10"/>
        <rFont val="Arial"/>
        <family val="2"/>
      </rPr>
      <t>(3)</t>
    </r>
  </si>
  <si>
    <t>Payments to University</t>
  </si>
  <si>
    <r>
      <t xml:space="preserve">Other expenses </t>
    </r>
    <r>
      <rPr>
        <sz val="8"/>
        <rFont val="Arial"/>
        <family val="2"/>
      </rPr>
      <t>(include losses on sale of capital assets)</t>
    </r>
  </si>
  <si>
    <t>Total expenses</t>
  </si>
  <si>
    <t>Change in net assets</t>
  </si>
  <si>
    <r>
      <t xml:space="preserve">Net assets - beginning of year </t>
    </r>
    <r>
      <rPr>
        <sz val="8"/>
        <rFont val="Arial"/>
        <family val="2"/>
      </rPr>
      <t>(per prior year template)</t>
    </r>
  </si>
  <si>
    <t>Restatements</t>
  </si>
  <si>
    <t>Net assets - end of year</t>
  </si>
  <si>
    <t>(Ending net assets agree with Exhibit A)</t>
  </si>
  <si>
    <t>Notes</t>
  </si>
  <si>
    <t>If the Foundation's separately issued Statement of Activities includes more than one column, key the amounts from the "Total" column.</t>
  </si>
  <si>
    <t>Also, if separate sections are presented for amounts "Without Donor Restrictions" and "With Donor Restrictions",</t>
  </si>
  <si>
    <t>the amounts from each section should be added together.</t>
  </si>
  <si>
    <t>Membership fees that are exchange transactions should be included with "Sales and services".  Conversely, membership fees that are</t>
  </si>
  <si>
    <t>nonexchange transactions should be included with "Gifts, donations, and contributions".</t>
  </si>
  <si>
    <t>Resource flows between foundations should be reported as revenues and expenses (and not as transfers) since each foundation is a</t>
  </si>
  <si>
    <t>separate legal entity.  Under GASB 34, resource flows between a primary government and its discretely presented component units</t>
  </si>
  <si>
    <t>(and between component units) should be reported as if they were external transactions - that is, as revenues and expenses.</t>
  </si>
  <si>
    <t>Exhibit C</t>
  </si>
  <si>
    <t>ACFR Adjustments</t>
  </si>
  <si>
    <r>
      <t xml:space="preserve">Analysis - ACFR Format </t>
    </r>
    <r>
      <rPr>
        <b/>
        <u/>
        <vertAlign val="superscript"/>
        <sz val="10"/>
        <rFont val="Arial"/>
        <family val="2"/>
      </rPr>
      <t>(1)</t>
    </r>
  </si>
  <si>
    <r>
      <t xml:space="preserve">With UNC Investment Fund, LLC </t>
    </r>
    <r>
      <rPr>
        <vertAlign val="superscript"/>
        <sz val="10"/>
        <rFont val="Arial"/>
        <family val="2"/>
      </rPr>
      <t>(2)</t>
    </r>
  </si>
  <si>
    <t>Restricted/endowment investments</t>
  </si>
  <si>
    <t>Other investments</t>
  </si>
  <si>
    <r>
      <t xml:space="preserve">With University Investment Pool </t>
    </r>
    <r>
      <rPr>
        <vertAlign val="superscript"/>
        <sz val="10"/>
        <rFont val="Arial"/>
        <family val="2"/>
      </rPr>
      <t>(3)</t>
    </r>
  </si>
  <si>
    <t>All Other Investments</t>
  </si>
  <si>
    <t>(Note: Should equal amount on Exhibit A)</t>
  </si>
  <si>
    <r>
      <t xml:space="preserve">Property and equipment, net </t>
    </r>
    <r>
      <rPr>
        <vertAlign val="superscript"/>
        <sz val="10"/>
        <rFont val="Arial"/>
        <family val="2"/>
      </rPr>
      <t>(4)</t>
    </r>
  </si>
  <si>
    <t>Unrestricted property/equipment, nondepreciable</t>
  </si>
  <si>
    <t>Unrestricted property/equipment, depreciable, net</t>
  </si>
  <si>
    <t>Restricted property/equipment, nondepreciable</t>
  </si>
  <si>
    <t>Restricted property/equipment, depreciable, net</t>
  </si>
  <si>
    <t>Current portion</t>
  </si>
  <si>
    <t>Noncurrent portion</t>
  </si>
  <si>
    <t>Noncapital gifts</t>
  </si>
  <si>
    <t>Capital gifts</t>
  </si>
  <si>
    <t>Additions to endowments</t>
  </si>
  <si>
    <t>(Note: Should equal amount on Exhibit B)</t>
  </si>
  <si>
    <t>Elimination Data - ACFR Level</t>
  </si>
  <si>
    <r>
      <t xml:space="preserve">Payments to University </t>
    </r>
    <r>
      <rPr>
        <b/>
        <sz val="8"/>
        <rFont val="Arial"/>
        <family val="2"/>
      </rPr>
      <t>(accrual)</t>
    </r>
    <r>
      <rPr>
        <b/>
        <sz val="10"/>
        <rFont val="Arial"/>
        <family val="2"/>
      </rPr>
      <t xml:space="preserve"> </t>
    </r>
    <r>
      <rPr>
        <b/>
        <vertAlign val="superscript"/>
        <sz val="10"/>
        <rFont val="Arial"/>
        <family val="2"/>
      </rPr>
      <t>(5)</t>
    </r>
  </si>
  <si>
    <t>Student tuition and fees recognized by University</t>
  </si>
  <si>
    <t>Noncapital gift revenues recognized by University</t>
  </si>
  <si>
    <t>Capital gift revenues recognized by University</t>
  </si>
  <si>
    <t>Other Information</t>
  </si>
  <si>
    <t>Foundation's fiscal year-end date (MM/DD/YY)</t>
  </si>
  <si>
    <t>-</t>
  </si>
  <si>
    <r>
      <t xml:space="preserve">Notes payable </t>
    </r>
    <r>
      <rPr>
        <b/>
        <vertAlign val="superscript"/>
        <sz val="10"/>
        <rFont val="Arial"/>
        <family val="2"/>
      </rPr>
      <t>(8)</t>
    </r>
  </si>
  <si>
    <t xml:space="preserve">Notes payable - capital </t>
  </si>
  <si>
    <t>Notes payable - noncapital</t>
  </si>
  <si>
    <r>
      <t xml:space="preserve">Bonds payable </t>
    </r>
    <r>
      <rPr>
        <b/>
        <vertAlign val="superscript"/>
        <sz val="10"/>
        <rFont val="Arial"/>
        <family val="2"/>
      </rPr>
      <t>(8)</t>
    </r>
  </si>
  <si>
    <t xml:space="preserve">Bonds payable - capital </t>
  </si>
  <si>
    <t>Bonds payable - noncapital</t>
  </si>
  <si>
    <r>
      <t xml:space="preserve">Unspent debt proceeds - notes and bonds </t>
    </r>
    <r>
      <rPr>
        <b/>
        <vertAlign val="superscript"/>
        <sz val="10"/>
        <rFont val="Arial"/>
        <family val="2"/>
      </rPr>
      <t>(6)</t>
    </r>
  </si>
  <si>
    <t>Amount of unspent proceeds - capital debt</t>
  </si>
  <si>
    <t>Amount of unspent proceeds - noncapital debt</t>
  </si>
  <si>
    <r>
      <t xml:space="preserve">Net Position </t>
    </r>
    <r>
      <rPr>
        <b/>
        <vertAlign val="superscript"/>
        <sz val="10"/>
        <rFont val="Arial"/>
        <family val="2"/>
      </rPr>
      <t>(7)</t>
    </r>
  </si>
  <si>
    <t>Permanently Restricted Net Assets</t>
  </si>
  <si>
    <t>Temporarily Restricted Net Assets</t>
  </si>
  <si>
    <r>
      <t xml:space="preserve">Automatic Calculations - GASB 63 Categories </t>
    </r>
    <r>
      <rPr>
        <b/>
        <u/>
        <vertAlign val="superscript"/>
        <sz val="10"/>
        <rFont val="Arial"/>
        <family val="2"/>
      </rPr>
      <t>(7)</t>
    </r>
  </si>
  <si>
    <t>Net investment in capital assets</t>
  </si>
  <si>
    <t>Capital assets, net</t>
  </si>
  <si>
    <t>Less: Capital leases payable</t>
  </si>
  <si>
    <t>Less: Notes payable - capital</t>
  </si>
  <si>
    <t>Less: Bonds payable - capital</t>
  </si>
  <si>
    <t>Add:  Amount of unspent proceeds - capital debt</t>
  </si>
  <si>
    <t>Restricted, expendable net position</t>
  </si>
  <si>
    <t>Temporarily restricted net assets (from above)</t>
  </si>
  <si>
    <t>Less: Restricted property/equipment, nondepreciable</t>
  </si>
  <si>
    <t>Less: Restricted property/equipment, depreciable, net</t>
  </si>
  <si>
    <t>Restricted, expendable net position per Exhibit D</t>
  </si>
  <si>
    <t>Unrestricted net position</t>
  </si>
  <si>
    <t>Total net assets per Exhibit A</t>
  </si>
  <si>
    <t>Less: Net investment in capital assets</t>
  </si>
  <si>
    <t>Less: Restricted, expendable net assets</t>
  </si>
  <si>
    <t>Less: Restricted, nonexpendable net assets</t>
  </si>
  <si>
    <t>Unrestricted net position per Exhibit D</t>
  </si>
  <si>
    <t>The "Analysis - ACFR Format" section provides additional details that are necessary to convert the</t>
  </si>
  <si>
    <t xml:space="preserve">financial statements of private foundations from the FASB 117 format, as amended by FASB Update </t>
  </si>
  <si>
    <t xml:space="preserve">2016-14, to the GASB 34 format (e.g.,breakdown of investments into restricted/other investments, </t>
  </si>
  <si>
    <t xml:space="preserve">long-term debt into current/noncurrent portions, capital assets into depreciable/nondepreciable portions, </t>
  </si>
  <si>
    <t>and gifts and donations into noncapital/capital gifts and additions to endowments).</t>
  </si>
  <si>
    <t xml:space="preserve">This breakdown is needed by OSC to reconcile the amounts reported as held by the UNC Investment </t>
  </si>
  <si>
    <t>Fund LLC to the amount reported by the foundation.</t>
  </si>
  <si>
    <t>Investments with university investment pool should only include amounts invested with the university's</t>
  </si>
  <si>
    <t>own pool (exclude amounts invested with UNC Investment Fund, LLC).  This breakdown is needed by</t>
  </si>
  <si>
    <t>OSC to reconcile total investments per the university ACFR worksheets to the financial statements.</t>
  </si>
  <si>
    <t>Property and equipment should be broken down between amounts that are included in unrestricted net</t>
  </si>
  <si>
    <t>assets and amounts that are included in temporarily restricted net assets on the foundation's balance</t>
  </si>
  <si>
    <t>sheet.  FASB 116 allows not-for-profits the option of recording gifts of capital assets as either unrestricted</t>
  </si>
  <si>
    <t>or temporarily restricted (Note: Under the temporarily restricted option, capital assets are reclassified to</t>
  </si>
  <si>
    <t>unrestricted as the asset is depreciated or over the term of the restriction, if shorter).  This breakdown is</t>
  </si>
  <si>
    <t>needed by OSC to properly calculate restricted net position per GASB 34, as amended by GASB 63.</t>
  </si>
  <si>
    <t>In the State's ACFR, universities and component unit foundations are presented in a single column.</t>
  </si>
  <si>
    <t>Therefore, to avoid overstating revenues, OSC will make an ACFR level entry to eliminate foundation</t>
  </si>
  <si>
    <t>payments to universities (per Exhibit B) and the related revenues recognized by universities. OSC</t>
  </si>
  <si>
    <t>needs this breakdown for the elimination entry.</t>
  </si>
  <si>
    <t>(6)</t>
  </si>
  <si>
    <t>Include the unspent debt proceeds (bonds/notes) related to outstanding capital and noncapital debt as of</t>
  </si>
  <si>
    <t>June 30.  As required by GASB 34, paragraph 33, the unspent portion of bonds and notes payable should</t>
  </si>
  <si>
    <t>reduce the net asset balance of the component that includes the unspent cash.  For example, if a foundation</t>
  </si>
  <si>
    <t>has unspent capital debt proceeds at year-end, the portion of the debt attributable to the unspent proceeds</t>
  </si>
  <si>
    <t>should not be included in the calculation of "net investment in capital assets".  Rather, that</t>
  </si>
  <si>
    <t>portion of the debt should be included in the same net position component as the unspent proceeds  (i.e.,</t>
  </si>
  <si>
    <t>"Unrestricted" under the FASB 117 model).</t>
  </si>
  <si>
    <t>(7)</t>
  </si>
  <si>
    <r>
      <t xml:space="preserve">On Exhibit A, Net Assets (with OR without donor restrictions) must be broken out into their expendable and nonexpendable portions for GASB-compliant presentation. Restricted Net Position in GASB statements have constraints on the use of resources that are externally enforceable. Restricted net position can include restrictions from grantors and creditors, in addition to donors. Nonexpendable net position is the portion of net assets (with OR without donor restrictions) that is required to be maintained in perpetuity. That is, it must be maintained intact indefinitely. [GASB 34, para. 35, as amended by GASB 63, para. 7-8]. Permanently Restricted Net Assets rolls directly to "Restricted nonexpendable-higher education" on Exhibit D. 
</t>
    </r>
    <r>
      <rPr>
        <b/>
        <sz val="10"/>
        <rFont val="Arial"/>
        <family val="2"/>
      </rPr>
      <t>*If you have any non-donor restricted net assets, please explain them further on the 'Comments' tab of this template. Such restrictions can be related to debt issued by the Foundation or certain restricted grants.*</t>
    </r>
  </si>
  <si>
    <t>(8)</t>
  </si>
  <si>
    <t>Notes and bonds payable are classified here as capital only if they are used to acquire capital assets for the</t>
  </si>
  <si>
    <r>
      <rPr>
        <b/>
        <sz val="10"/>
        <rFont val="Arial"/>
        <family val="2"/>
      </rPr>
      <t>foundation</t>
    </r>
    <r>
      <rPr>
        <sz val="10"/>
        <rFont val="Arial"/>
        <family val="2"/>
      </rPr>
      <t>, otherwise they are classified here as noncapital.</t>
    </r>
  </si>
  <si>
    <t>Exhibit D</t>
  </si>
  <si>
    <t>FCCS Entity</t>
  </si>
  <si>
    <t>*Enter FCCS equivalent Entity. Example - U20F</t>
  </si>
  <si>
    <t>Statement of Net Position - ACFR Format</t>
  </si>
  <si>
    <t>FCCS Agency</t>
  </si>
  <si>
    <t>*Enter FCCS equivalent Agency. Example - U200</t>
  </si>
  <si>
    <r>
      <t xml:space="preserve">With Prior Year Balances and Computed Variances </t>
    </r>
    <r>
      <rPr>
        <b/>
        <vertAlign val="superscript"/>
        <sz val="10"/>
        <rFont val="Arial"/>
        <family val="2"/>
      </rPr>
      <t>(2)</t>
    </r>
  </si>
  <si>
    <t>Current Year</t>
  </si>
  <si>
    <t>Prior Year Balance</t>
  </si>
  <si>
    <t>Variance (CY-PY)</t>
  </si>
  <si>
    <t>% Change</t>
  </si>
  <si>
    <t>ASSETS</t>
  </si>
  <si>
    <t>Due from the University</t>
  </si>
  <si>
    <t>Prepaid items</t>
  </si>
  <si>
    <t>Notes receivable, net</t>
  </si>
  <si>
    <t>Lease obligation receivable</t>
  </si>
  <si>
    <t>LeaseObRec</t>
  </si>
  <si>
    <t>Restricted investments</t>
  </si>
  <si>
    <t>Capital assets - nondepreciable</t>
  </si>
  <si>
    <t>Capital assets - depreciable, net</t>
  </si>
  <si>
    <t>LIABILITIES</t>
  </si>
  <si>
    <t>Accounts payable and accrued liabilities</t>
  </si>
  <si>
    <r>
      <t xml:space="preserve">Due to the University </t>
    </r>
    <r>
      <rPr>
        <vertAlign val="superscript"/>
        <sz val="10"/>
        <rFont val="Arial"/>
        <family val="2"/>
      </rPr>
      <t>(1)</t>
    </r>
  </si>
  <si>
    <r>
      <t>Grants payable to the University</t>
    </r>
    <r>
      <rPr>
        <vertAlign val="superscript"/>
        <sz val="10"/>
        <rFont val="Arial"/>
        <family val="2"/>
      </rPr>
      <t xml:space="preserve"> (1)</t>
    </r>
  </si>
  <si>
    <t>2127GRNT</t>
  </si>
  <si>
    <t>Long-term liabilities:</t>
  </si>
  <si>
    <t>Due within one year</t>
  </si>
  <si>
    <t>DueOneYear</t>
  </si>
  <si>
    <t>Due in more than one year</t>
  </si>
  <si>
    <t>DueMoreOneYear</t>
  </si>
  <si>
    <t>NET POSITION</t>
  </si>
  <si>
    <t>Net Investment in capital assets</t>
  </si>
  <si>
    <t>NetinvestmentCapitalAssets</t>
  </si>
  <si>
    <t>CapProjectsReno</t>
  </si>
  <si>
    <t>Restricted for:</t>
  </si>
  <si>
    <t>Nonexpendable:</t>
  </si>
  <si>
    <t>Higher education</t>
  </si>
  <si>
    <t>NonExpendable</t>
  </si>
  <si>
    <t>Higher Ed</t>
  </si>
  <si>
    <t>Expendable:</t>
  </si>
  <si>
    <t>Expendable</t>
  </si>
  <si>
    <t>Unrestricted</t>
  </si>
  <si>
    <t>UnRestricted</t>
  </si>
  <si>
    <t>No Function</t>
  </si>
  <si>
    <t>Total net position</t>
  </si>
  <si>
    <t>(Assets minus liabilities equals net position)</t>
  </si>
  <si>
    <t>OSC will make an ACFR level entry to eliminate the "grossing-up" of assets and liabilities between</t>
  </si>
  <si>
    <t>universities and their component unit foundations.</t>
  </si>
  <si>
    <t>Please perform analytical review as needed to ensure current year amounts are reasonable compared to the prior year,</t>
  </si>
  <si>
    <t>that amounts are keyed on the correct lines, any unusual or significant variances can be explained, etc.</t>
  </si>
  <si>
    <t>OSC does not require any written explanations; the variances are shown as a tool to aid in your own analytical review</t>
  </si>
  <si>
    <t>before submitting the template. The prior year balances are from the foundation template submitted to OSC.</t>
  </si>
  <si>
    <r>
      <rPr>
        <b/>
        <sz val="10"/>
        <rFont val="Arial"/>
        <family val="2"/>
      </rPr>
      <t>Note:</t>
    </r>
    <r>
      <rPr>
        <sz val="10"/>
        <rFont val="Arial"/>
        <family val="2"/>
      </rPr>
      <t xml:space="preserve"> This template does not include deferred outflows/inflows of resources (per GASB 65). Universities typically are </t>
    </r>
  </si>
  <si>
    <t xml:space="preserve">not expected to have amounts that would need to be reclassified from assets/liabilities to deferred outflows or </t>
  </si>
  <si>
    <t>deferred inflows of resources (e.g., donations/grants transmitted in advance where the only unmet eligibility requirement</t>
  </si>
  <si>
    <t>was a time requirement). If you become aware of assets/liabilities on the template that should be reclassified due to</t>
  </si>
  <si>
    <t>GASB 65, please contact your OSC analyst. Deferred charges reported in the prior year were reclassified to prepaid</t>
  </si>
  <si>
    <t>items.</t>
  </si>
  <si>
    <t>Exhibit E</t>
  </si>
  <si>
    <t>Statement of Activities - ACFR Format</t>
  </si>
  <si>
    <t>Revenues</t>
  </si>
  <si>
    <t>Noncapital grants</t>
  </si>
  <si>
    <t>NonCapitalGrants</t>
  </si>
  <si>
    <t>Rental and lease earnings</t>
  </si>
  <si>
    <t>Miscellaneous</t>
  </si>
  <si>
    <t>Expenses</t>
  </si>
  <si>
    <r>
      <t xml:space="preserve">Payments to University </t>
    </r>
    <r>
      <rPr>
        <sz val="8"/>
        <rFont val="Arial"/>
        <family val="2"/>
      </rPr>
      <t>(accrual)</t>
    </r>
    <r>
      <rPr>
        <sz val="10"/>
        <rFont val="Arial"/>
        <family val="2"/>
      </rPr>
      <t xml:space="preserve"> - student tuition/fees </t>
    </r>
    <r>
      <rPr>
        <vertAlign val="superscript"/>
        <sz val="10"/>
        <rFont val="Arial"/>
        <family val="2"/>
      </rPr>
      <t>(1)</t>
    </r>
  </si>
  <si>
    <t>PymtStuTuition</t>
  </si>
  <si>
    <r>
      <t xml:space="preserve">Payments to University </t>
    </r>
    <r>
      <rPr>
        <sz val="8"/>
        <rFont val="Arial"/>
        <family val="2"/>
      </rPr>
      <t>(accrual)</t>
    </r>
    <r>
      <rPr>
        <sz val="10"/>
        <rFont val="Arial"/>
        <family val="2"/>
      </rPr>
      <t xml:space="preserve"> - noncapital </t>
    </r>
    <r>
      <rPr>
        <vertAlign val="superscript"/>
        <sz val="10"/>
        <rFont val="Arial"/>
        <family val="2"/>
      </rPr>
      <t>(1)</t>
    </r>
  </si>
  <si>
    <t>PymtNonCapital</t>
  </si>
  <si>
    <r>
      <t xml:space="preserve">Payments to University </t>
    </r>
    <r>
      <rPr>
        <sz val="8"/>
        <rFont val="Arial"/>
        <family val="2"/>
      </rPr>
      <t>(accrual)</t>
    </r>
    <r>
      <rPr>
        <sz val="10"/>
        <rFont val="Arial"/>
        <family val="2"/>
      </rPr>
      <t xml:space="preserve"> - capital </t>
    </r>
    <r>
      <rPr>
        <vertAlign val="superscript"/>
        <sz val="10"/>
        <rFont val="Arial"/>
        <family val="2"/>
      </rPr>
      <t>(1)</t>
    </r>
  </si>
  <si>
    <t>PymntCapital</t>
  </si>
  <si>
    <t>Other expenses</t>
  </si>
  <si>
    <t>Increase (decrease) in net position</t>
  </si>
  <si>
    <t>Net position - beginning of year</t>
  </si>
  <si>
    <t>Restatement</t>
  </si>
  <si>
    <t>Net position - end of year</t>
  </si>
  <si>
    <t>(Ending net assets agree with Exhibit D)</t>
  </si>
  <si>
    <t>OSC will make an ACFR level entry to eliminate the "grossing-up" of revenues and expenses between</t>
  </si>
  <si>
    <t xml:space="preserve">(FYI:  A university is not required to present cash flows data for a discretely presented component unit within its basic financial statements (GASB </t>
  </si>
  <si>
    <t>Statement 34, paragraph 125; Comprehensive Implementation Guide - 2003, question 2.3).  Therefore, foundation cash flows data is not needed.)</t>
  </si>
  <si>
    <t>Comments and Suggestions for Foundation template for Universities</t>
  </si>
  <si>
    <t>Agency</t>
  </si>
  <si>
    <t>Ending Net Position</t>
  </si>
  <si>
    <t>Number</t>
  </si>
  <si>
    <t>University Name</t>
  </si>
  <si>
    <t>Per ACFR</t>
  </si>
  <si>
    <t>Equals "Net Assets/Net position - Beginning of Year" on Exhibit B and Exhibit E</t>
  </si>
  <si>
    <t>NCAS number</t>
  </si>
  <si>
    <t>NCFS Agency</t>
  </si>
  <si>
    <t>UNC System Office</t>
  </si>
  <si>
    <t>U100</t>
  </si>
  <si>
    <t>U20</t>
  </si>
  <si>
    <t>UNC - Chapel Hill</t>
  </si>
  <si>
    <t>U200</t>
  </si>
  <si>
    <t>U30</t>
  </si>
  <si>
    <t>North Carolina State University</t>
  </si>
  <si>
    <t>U300</t>
  </si>
  <si>
    <t>U40</t>
  </si>
  <si>
    <t>UNC - Greensboro</t>
  </si>
  <si>
    <t>U400</t>
  </si>
  <si>
    <t>U50</t>
  </si>
  <si>
    <t>UNC - Charlotte</t>
  </si>
  <si>
    <t>U500</t>
  </si>
  <si>
    <t>U55</t>
  </si>
  <si>
    <t>UNC - Asheville</t>
  </si>
  <si>
    <t>U550</t>
  </si>
  <si>
    <t>U60</t>
  </si>
  <si>
    <t>UNC - Wilmington</t>
  </si>
  <si>
    <t>U600</t>
  </si>
  <si>
    <t>U65</t>
  </si>
  <si>
    <t>East Carolina University</t>
  </si>
  <si>
    <t>U650</t>
  </si>
  <si>
    <t>U70</t>
  </si>
  <si>
    <t>North Carolina A&amp;T State University</t>
  </si>
  <si>
    <t>U700</t>
  </si>
  <si>
    <t>U75</t>
  </si>
  <si>
    <t>Western Carolina University</t>
  </si>
  <si>
    <t>U750</t>
  </si>
  <si>
    <t>U80</t>
  </si>
  <si>
    <t>Appalachian State University</t>
  </si>
  <si>
    <t>U800</t>
  </si>
  <si>
    <t>U82</t>
  </si>
  <si>
    <t>UNC - Pembroke</t>
  </si>
  <si>
    <t>U820</t>
  </si>
  <si>
    <t>U84</t>
  </si>
  <si>
    <t>Winston-Salem State University</t>
  </si>
  <si>
    <t>U840</t>
  </si>
  <si>
    <t>U86</t>
  </si>
  <si>
    <t>Elizabeth City State University</t>
  </si>
  <si>
    <t>U860</t>
  </si>
  <si>
    <t>U88</t>
  </si>
  <si>
    <t>Fayetteville State University</t>
  </si>
  <si>
    <t>U880</t>
  </si>
  <si>
    <t>U90</t>
  </si>
  <si>
    <t>North Carolina Central University</t>
  </si>
  <si>
    <t>U900</t>
  </si>
  <si>
    <t>U92</t>
  </si>
  <si>
    <t>UNC School of the Arts</t>
  </si>
  <si>
    <t>U920</t>
  </si>
  <si>
    <t>NC School of Science and Math</t>
  </si>
  <si>
    <t>8700</t>
  </si>
  <si>
    <t xml:space="preserve">Each year when the template is updated for the current year's ACFR, the OSC ACFR team enters  the ending net asset </t>
  </si>
  <si>
    <t xml:space="preserve">balances per the prior year ACFR workpapers in to this worksheet.  This is the source for the total </t>
  </si>
  <si>
    <t>beginning net asset balances on Exhibit B and Exhibit E for the current year Foundation template.</t>
  </si>
  <si>
    <t>Note for OSC - Go to PY Univ folder, ComboUnivF file, highlight Net assets end of year, copy, paste special - transpose and values</t>
  </si>
  <si>
    <t>U. N.C. System</t>
  </si>
  <si>
    <t>University Foundations Combining File</t>
  </si>
  <si>
    <t>U10F</t>
  </si>
  <si>
    <t>U20F</t>
  </si>
  <si>
    <t>U30F</t>
  </si>
  <si>
    <t>U40F</t>
  </si>
  <si>
    <t>U50F</t>
  </si>
  <si>
    <t>U55F</t>
  </si>
  <si>
    <t>U60F</t>
  </si>
  <si>
    <t>U65F</t>
  </si>
  <si>
    <t>U70F</t>
  </si>
  <si>
    <t>U75F</t>
  </si>
  <si>
    <t>U80F</t>
  </si>
  <si>
    <t>U82F</t>
  </si>
  <si>
    <t>U84F</t>
  </si>
  <si>
    <t>U86F</t>
  </si>
  <si>
    <t>U88F</t>
  </si>
  <si>
    <t>U90F</t>
  </si>
  <si>
    <t>U92F</t>
  </si>
  <si>
    <t>87F</t>
  </si>
  <si>
    <t>For Reference Only - Updated by OSC</t>
  </si>
  <si>
    <t>*</t>
  </si>
  <si>
    <t>GRAND</t>
  </si>
  <si>
    <t>UNC-GA</t>
  </si>
  <si>
    <t>UNC-Chapel Hill</t>
  </si>
  <si>
    <t>NC State Univ</t>
  </si>
  <si>
    <t>UNC-G</t>
  </si>
  <si>
    <t>UNC-Charlotte</t>
  </si>
  <si>
    <t>UNC-Asheville</t>
  </si>
  <si>
    <t>UNC-W</t>
  </si>
  <si>
    <t>ECU</t>
  </si>
  <si>
    <t>NC A&amp;T Univ</t>
  </si>
  <si>
    <t>WCU</t>
  </si>
  <si>
    <t>ASU</t>
  </si>
  <si>
    <t>UNC-Pembroke</t>
  </si>
  <si>
    <t>WSSU</t>
  </si>
  <si>
    <t>ECSU</t>
  </si>
  <si>
    <t>FSU</t>
  </si>
  <si>
    <t>NCCU</t>
  </si>
  <si>
    <t>NCS Arts</t>
  </si>
  <si>
    <t>NCSSM</t>
  </si>
  <si>
    <t>TOTAL</t>
  </si>
  <si>
    <t xml:space="preserve">Prepaid items </t>
  </si>
  <si>
    <t>Lease Obligation Receivable</t>
  </si>
  <si>
    <r>
      <t xml:space="preserve">Due to the University </t>
    </r>
    <r>
      <rPr>
        <i/>
        <vertAlign val="superscript"/>
        <sz val="10"/>
        <rFont val="Arial"/>
        <family val="2"/>
      </rPr>
      <t>(1)</t>
    </r>
  </si>
  <si>
    <r>
      <t>Grants payable to the University</t>
    </r>
    <r>
      <rPr>
        <i/>
        <vertAlign val="superscript"/>
        <sz val="9"/>
        <rFont val="Arial"/>
        <family val="2"/>
      </rPr>
      <t xml:space="preserve"> (1)</t>
    </r>
  </si>
  <si>
    <t>NET ASSETS</t>
  </si>
  <si>
    <t>Invested in capital assets, net of related debt</t>
  </si>
  <si>
    <t>See Instructions for Updating PY Balances word document</t>
  </si>
  <si>
    <t>located at K:\SASD\20CAFR\Statements\Component\Univ\Prior Year Balances</t>
  </si>
  <si>
    <t>Deferred charges reclassified to Prepaid items</t>
  </si>
  <si>
    <t xml:space="preserve">For Reference Only - Updated by OSC </t>
  </si>
  <si>
    <t>UNC-P</t>
  </si>
  <si>
    <t>NC Central Univ</t>
  </si>
  <si>
    <t>NC Sch of Arts</t>
  </si>
  <si>
    <t>Miscellaneous non op revenue</t>
  </si>
  <si>
    <r>
      <t xml:space="preserve">Payments to University - student tuition/fees </t>
    </r>
    <r>
      <rPr>
        <i/>
        <vertAlign val="superscript"/>
        <sz val="10"/>
        <rFont val="Arial"/>
        <family val="2"/>
      </rPr>
      <t>(1)</t>
    </r>
  </si>
  <si>
    <r>
      <t xml:space="preserve">Payments to University - noncapital </t>
    </r>
    <r>
      <rPr>
        <i/>
        <vertAlign val="superscript"/>
        <sz val="10"/>
        <rFont val="Arial"/>
        <family val="2"/>
      </rPr>
      <t>(1)</t>
    </r>
  </si>
  <si>
    <r>
      <t xml:space="preserve">Payments to University - capital </t>
    </r>
    <r>
      <rPr>
        <i/>
        <vertAlign val="superscript"/>
        <sz val="10"/>
        <rFont val="Arial"/>
        <family val="2"/>
      </rPr>
      <t>(1)</t>
    </r>
  </si>
  <si>
    <t>Increase (decrease) in net assets</t>
  </si>
  <si>
    <t>Net assets - beginning of year</t>
  </si>
  <si>
    <t>To DB File</t>
  </si>
  <si>
    <t>Foundation</t>
  </si>
  <si>
    <t>Foundation Plus</t>
  </si>
  <si>
    <t>UNIV Foundations</t>
  </si>
  <si>
    <t>Reclass entry # 1</t>
  </si>
  <si>
    <t>Reclass entry # 3</t>
  </si>
  <si>
    <t>Reclass entry # 4</t>
  </si>
  <si>
    <t>Reclass entries</t>
  </si>
  <si>
    <t>Found Reclass entries</t>
  </si>
  <si>
    <t>IN THOUSANDS</t>
  </si>
  <si>
    <t>Rounding</t>
  </si>
  <si>
    <t>will be eliminated on DB file</t>
  </si>
  <si>
    <t>Reclassification</t>
  </si>
  <si>
    <t>UNC-Wilmington</t>
  </si>
  <si>
    <t>Entry # 2</t>
  </si>
  <si>
    <t>Loss on sale of capital assets</t>
  </si>
  <si>
    <t>Miscellaneous non op exp</t>
  </si>
  <si>
    <t>SRJ 2020</t>
  </si>
  <si>
    <r>
      <t xml:space="preserve">Payments to University - student tuition/fees </t>
    </r>
    <r>
      <rPr>
        <i/>
        <vertAlign val="superscript"/>
        <sz val="9"/>
        <rFont val="Arial"/>
        <family val="2"/>
      </rPr>
      <t>(1)</t>
    </r>
  </si>
  <si>
    <t>Patcha Kidking at patcha.kidking@osc.nc.gov or (919) 707-0525.</t>
  </si>
  <si>
    <t>Filename: Foundation Combo File.xls</t>
  </si>
  <si>
    <t>Source: OSC Filename: Foundation Combo File.xls</t>
  </si>
  <si>
    <t>At Exh D and Exh E, ensure that current year numbers are correct when variance is higher than 15% or $15 million.</t>
  </si>
  <si>
    <t>Add Net Position Classification (if applicable)</t>
  </si>
  <si>
    <r>
      <t>Capital leases</t>
    </r>
    <r>
      <rPr>
        <sz val="8"/>
        <color rgb="FFFF0000"/>
        <rFont val="Arial"/>
        <family val="2"/>
      </rPr>
      <t xml:space="preserve"> </t>
    </r>
    <r>
      <rPr>
        <sz val="8"/>
        <rFont val="Arial"/>
        <family val="2"/>
      </rPr>
      <t>payable</t>
    </r>
  </si>
  <si>
    <t>SBITA liability</t>
  </si>
  <si>
    <t>For the State Fiscal Year Ended June 30, 2023</t>
  </si>
  <si>
    <t>For the Year Ended June 30, 2024</t>
  </si>
  <si>
    <t xml:space="preserve">Please upload the template to your entity's Sharepoint Year End ACFR 2024 document </t>
  </si>
  <si>
    <t>Due Date:  September 11, 2024 -  Thanks!</t>
  </si>
  <si>
    <t>State Fiscal Year June 30, 2024</t>
  </si>
  <si>
    <t>Date of Change</t>
  </si>
  <si>
    <t>Description of Change</t>
  </si>
  <si>
    <t xml:space="preserve">Worksheet </t>
  </si>
  <si>
    <t>For the State Fiscal Year Ended June 30, 2024</t>
  </si>
  <si>
    <t>Foundation 6/30/23</t>
  </si>
  <si>
    <t>Updated by PK 2/19/24</t>
  </si>
  <si>
    <t>SmartView Check</t>
  </si>
  <si>
    <t>Difference</t>
  </si>
  <si>
    <t>OK No classification in SmartView Combo File</t>
  </si>
  <si>
    <t>Updated by PK on 2/19/2024</t>
  </si>
  <si>
    <t>Ending Net Assets Agree to 'PriorYrExhD' tab</t>
  </si>
  <si>
    <t>Ending Net Assets Agree to 'PYExhE Data' tab</t>
  </si>
  <si>
    <t>Agree to Total Net Position at 'PYExhD Data' tab</t>
  </si>
  <si>
    <t>Agree to Ending Net Position at 'Net Assets' tab</t>
  </si>
  <si>
    <t>Kept for reference 2/19/24</t>
  </si>
  <si>
    <t>Select an account</t>
  </si>
  <si>
    <t>Package Updates made after May 10, 2024</t>
  </si>
  <si>
    <t>NEW FY2024</t>
  </si>
  <si>
    <t>Liabilities</t>
  </si>
  <si>
    <t xml:space="preserve">Instructions: </t>
  </si>
  <si>
    <t>A</t>
  </si>
  <si>
    <t>B</t>
  </si>
  <si>
    <t>C</t>
  </si>
  <si>
    <t>D</t>
  </si>
  <si>
    <t>E</t>
  </si>
  <si>
    <t>Row</t>
  </si>
  <si>
    <t>Net Position effect per GASB 63 categories</t>
  </si>
  <si>
    <t>OSC Use only</t>
  </si>
  <si>
    <r>
      <rPr>
        <b/>
        <sz val="10"/>
        <rFont val="Arial"/>
        <family val="2"/>
      </rPr>
      <t>Background:</t>
    </r>
    <r>
      <rPr>
        <sz val="10"/>
        <rFont val="Arial"/>
        <family val="2"/>
      </rPr>
      <t xml:space="preserve"> Per Implementation Guidance 2021-1 Sec 5.1 (Group Assets) and GASB 100 - Accounting Changes and Error Corrections, foundation is required to report the detail of restatement for additional disclosure.</t>
    </r>
  </si>
  <si>
    <t>What type of restatement?</t>
  </si>
  <si>
    <t>431 Reasons for Error Corrections</t>
  </si>
  <si>
    <t>Select Reason</t>
  </si>
  <si>
    <t>ER_Capital asset audit adj and other error corrections</t>
  </si>
  <si>
    <t>ER_Capital assets (prior year) entered after cut-off date</t>
  </si>
  <si>
    <t>ER_Capital assets - reclassification of asset type</t>
  </si>
  <si>
    <t>ER_Other asset audit adj and error corrections</t>
  </si>
  <si>
    <t>ER_Deferred outflows audit adj and other error corrections</t>
  </si>
  <si>
    <t>ER_Long-term liability audit adj and other error corrections</t>
  </si>
  <si>
    <t>ER_Other liability audit adj and error corrections</t>
  </si>
  <si>
    <t>ER_Deferred inflow audit adj and other error corrections</t>
  </si>
  <si>
    <t xml:space="preserve">ER_Revenues understated in prior year </t>
  </si>
  <si>
    <t>ER_Revenues overstated in prior year</t>
  </si>
  <si>
    <t>ER_Expenditures understated in prior year</t>
  </si>
  <si>
    <t>ER_Expenditures overstated in prior year</t>
  </si>
  <si>
    <t>431 Reasons for Change in Accounts Principle or Change to or in a Financial Reporting Entity</t>
  </si>
  <si>
    <t>O_Other change in accounting principle</t>
  </si>
  <si>
    <t>Reasons</t>
  </si>
  <si>
    <t>ER - Error Corrections</t>
  </si>
  <si>
    <t>O - Change in Accounts Principle or Change to or in a Financial Reporting Entity</t>
  </si>
  <si>
    <t>Increase (+); Decrease (-)    Note: An increase to an asset should be entered as a positive amount on the table but will calculate to increase net position.</t>
  </si>
  <si>
    <t>Decrease (+); Increase (-)    Note: An increase to a liability should be entered as a positive amount on the table but will calculate to decrease net position.</t>
  </si>
  <si>
    <t>Decrease (+); Increase (-)    Note: An increase to an expense should be entered as a positive amount on the table but will calculate to decrease net position.</t>
  </si>
  <si>
    <t>Increase (+); Decrease (-)    Note: An increase to a revenue should be entered as a positive amount on the table but will calculate to increase net position.</t>
  </si>
  <si>
    <t>ErrorCorr</t>
  </si>
  <si>
    <t>R_BegBalances</t>
  </si>
  <si>
    <t>R_EndBalance</t>
  </si>
  <si>
    <t>R_Cash and cash equivalents</t>
  </si>
  <si>
    <t>Macro Read account</t>
  </si>
  <si>
    <t>FCCS Account</t>
  </si>
  <si>
    <t>R_Pooled Cash</t>
  </si>
  <si>
    <t>R_Restricted Pooled Cash</t>
  </si>
  <si>
    <t>R_Investments</t>
  </si>
  <si>
    <t>R_Pooled Investments</t>
  </si>
  <si>
    <t>R_Securities Lending Collateral</t>
  </si>
  <si>
    <t>R_Accounts Receivable</t>
  </si>
  <si>
    <t>R_Intergovernmental receivables</t>
  </si>
  <si>
    <t>R_Interest Receivable</t>
  </si>
  <si>
    <t>R_Premiums receivable</t>
  </si>
  <si>
    <t>R_Contributions receivable</t>
  </si>
  <si>
    <t>R_Other receivables</t>
  </si>
  <si>
    <t>R_Due from other funds</t>
  </si>
  <si>
    <t>R_Notes receivables</t>
  </si>
  <si>
    <t>R_Inventories</t>
  </si>
  <si>
    <t>R_Prepaid items</t>
  </si>
  <si>
    <t>R_Lease receivable</t>
  </si>
  <si>
    <t>R_PPP asset receivable</t>
  </si>
  <si>
    <t>Select Caption</t>
  </si>
  <si>
    <t>R_Lease receivable_NC</t>
  </si>
  <si>
    <t>R_PPP asset receivable_NC</t>
  </si>
  <si>
    <t>Current Liabilities</t>
  </si>
  <si>
    <t>R_Accounts Payable</t>
  </si>
  <si>
    <t>R_Accrued payroll</t>
  </si>
  <si>
    <t>R_Intergovernmental payables</t>
  </si>
  <si>
    <t>R_Claims Payable</t>
  </si>
  <si>
    <t>R_Unemployment benefits payable</t>
  </si>
  <si>
    <t>R_Notes Payable</t>
  </si>
  <si>
    <t>R_Due to fiduciary funds</t>
  </si>
  <si>
    <t>R_Due to other funds</t>
  </si>
  <si>
    <t>R_Obligations under securities lending</t>
  </si>
  <si>
    <t>R_Lease Payable</t>
  </si>
  <si>
    <t>R_Subscription (SBITA) payable</t>
  </si>
  <si>
    <t>R_Bond &amp; similar debt payable</t>
  </si>
  <si>
    <t>R_Accrued interest payable</t>
  </si>
  <si>
    <t>R_Funds held for others</t>
  </si>
  <si>
    <t>R_Annuity &amp; life income payable</t>
  </si>
  <si>
    <t>R_Accrued vacation leave</t>
  </si>
  <si>
    <t>R_Unearned revenue</t>
  </si>
  <si>
    <t>Non-current liabilities</t>
  </si>
  <si>
    <t>R_Accounts Payable_NC</t>
  </si>
  <si>
    <t>R_Advances from other funds_NC</t>
  </si>
  <si>
    <t>R_Asset retirement obligation_NC</t>
  </si>
  <si>
    <t>R_Workers Compensation_NC</t>
  </si>
  <si>
    <t>R_Notes Payable_NC</t>
  </si>
  <si>
    <t>R_Lease Payable_NC</t>
  </si>
  <si>
    <t>R_Subscription (SBITA) Payable_NC</t>
  </si>
  <si>
    <t>R_Bond &amp; similar debt payable_NC</t>
  </si>
  <si>
    <t>R_Accrued interest payable_NC</t>
  </si>
  <si>
    <t>R_Annuity &amp; life income payable_NC</t>
  </si>
  <si>
    <t>R_Accrued vacation leave_NC</t>
  </si>
  <si>
    <t>R_Net OPEB liability_NC</t>
  </si>
  <si>
    <t>R_Net Pension Liability_NC</t>
  </si>
  <si>
    <t>Deferred outflows of resources</t>
  </si>
  <si>
    <t>R_Deferred loss on refunding</t>
  </si>
  <si>
    <t>R_Deferred outflows for ARO</t>
  </si>
  <si>
    <t>R_Deferred outflows for OPEB</t>
  </si>
  <si>
    <t>R_Deferred outflows for pension</t>
  </si>
  <si>
    <t>R_Other deferred outflows of resources</t>
  </si>
  <si>
    <t>Deferred inflows of resources</t>
  </si>
  <si>
    <t>R_Deferred inflows for OPEB</t>
  </si>
  <si>
    <t>R_Deferred inflows for pensions</t>
  </si>
  <si>
    <t>R_Deferred inflows for irrevocable split-interest agreements</t>
  </si>
  <si>
    <t>R_Deferred inflows for leases</t>
  </si>
  <si>
    <t>R_Deferred inflows for P3 arrangements</t>
  </si>
  <si>
    <t>R_Other deferred inflows of resources</t>
  </si>
  <si>
    <t>Additions</t>
  </si>
  <si>
    <t>Contributions</t>
  </si>
  <si>
    <t>R_Employer Contributions</t>
  </si>
  <si>
    <t>R_Members Contributions</t>
  </si>
  <si>
    <t>R_Trustee deposits</t>
  </si>
  <si>
    <t>R_Other contributions</t>
  </si>
  <si>
    <t>Investment income and pool share</t>
  </si>
  <si>
    <t>R_Investment earnings</t>
  </si>
  <si>
    <t>R_Investment expenses</t>
  </si>
  <si>
    <t>R_Reinvestment dividends</t>
  </si>
  <si>
    <t>R_Net share purchases (dedemptions)</t>
  </si>
  <si>
    <t>Other additions</t>
  </si>
  <si>
    <t>R_Propety tax collections</t>
  </si>
  <si>
    <t>R_Sales and use tax collections for local governments</t>
  </si>
  <si>
    <t>R_Participant deposits</t>
  </si>
  <si>
    <t>R_Child support deposits</t>
  </si>
  <si>
    <t>R_Sales and services</t>
  </si>
  <si>
    <t>R_Fees, licenses and fines</t>
  </si>
  <si>
    <t>R_Interest earnings on loans</t>
  </si>
  <si>
    <t>R_Miscellaneous</t>
  </si>
  <si>
    <t>Deductions</t>
  </si>
  <si>
    <t>R_Claims and benefits</t>
  </si>
  <si>
    <t>R_Medical insurance premiums</t>
  </si>
  <si>
    <t>R_Refund of contributions</t>
  </si>
  <si>
    <t>R_Distributions paid and payable</t>
  </si>
  <si>
    <t>R_Payments in accordance with trust arrangements</t>
  </si>
  <si>
    <t>R_Payments of property tax to local governments</t>
  </si>
  <si>
    <t>R_Payments of sales and use tax to local governments</t>
  </si>
  <si>
    <t>R_Payments in accordance with custodial arrangements</t>
  </si>
  <si>
    <t>R_Payments in accordance with child support arrangements</t>
  </si>
  <si>
    <t>R_Payments of grants to local governments</t>
  </si>
  <si>
    <t>R_Payments of refunds to grantors</t>
  </si>
  <si>
    <t>R_Administrative expenses</t>
  </si>
  <si>
    <t>R_Other deductions</t>
  </si>
  <si>
    <t>R_Restatements</t>
  </si>
  <si>
    <t>R_Net investment in capital assets</t>
  </si>
  <si>
    <t>R_Restricted - nonexpendable</t>
  </si>
  <si>
    <t>R_Restricted - expendable</t>
  </si>
  <si>
    <t>R_Unrestricted</t>
  </si>
  <si>
    <t>Payments to University (accrual) - student tuition/fees (1)</t>
  </si>
  <si>
    <t>Payments to University (accrual) - noncapital (1)</t>
  </si>
  <si>
    <t>Payments to University (accrual) - capital (1)</t>
  </si>
  <si>
    <t>R_Total expenses</t>
  </si>
  <si>
    <t>Restatement accounts (Exh D and Exh E)</t>
  </si>
  <si>
    <t>R_Contributions to endowments</t>
  </si>
  <si>
    <t>R_Noncapital contributions</t>
  </si>
  <si>
    <t>R_Unrestricted investment earnings</t>
  </si>
  <si>
    <t>R_Charges for services</t>
  </si>
  <si>
    <t>R_Other capital grants and contributions</t>
  </si>
  <si>
    <t xml:space="preserve">Due to the University </t>
  </si>
  <si>
    <t>Grants payable to the University</t>
  </si>
  <si>
    <t>200 Accrued expenses - Accrued vacation leave</t>
  </si>
  <si>
    <t>200 Accrued expenses - Accrued payroll</t>
  </si>
  <si>
    <t>200 Accrued expenses - Accrued interest payable</t>
  </si>
  <si>
    <t>Annuities payable - Noncurrent</t>
  </si>
  <si>
    <r>
      <t>Capital leases</t>
    </r>
    <r>
      <rPr>
        <sz val="8"/>
        <color rgb="FFFF0000"/>
        <rFont val="Arial"/>
        <family val="2"/>
      </rPr>
      <t xml:space="preserve"> </t>
    </r>
    <r>
      <rPr>
        <sz val="8"/>
        <rFont val="Arial"/>
        <family val="2"/>
      </rPr>
      <t>payable - Noncurrent</t>
    </r>
  </si>
  <si>
    <t>SBITA liability - Noncurrent</t>
  </si>
  <si>
    <t>Notes payable - Noncurrent</t>
  </si>
  <si>
    <t>Bonds payable - Noncurrent</t>
  </si>
  <si>
    <t>Accounts payable (Only)</t>
  </si>
  <si>
    <t>Annuities payable - Due in 1 year</t>
  </si>
  <si>
    <r>
      <t>Capital leases</t>
    </r>
    <r>
      <rPr>
        <sz val="8"/>
        <color rgb="FFFF0000"/>
        <rFont val="Arial"/>
        <family val="2"/>
      </rPr>
      <t xml:space="preserve"> </t>
    </r>
    <r>
      <rPr>
        <sz val="8"/>
        <rFont val="Arial"/>
        <family val="2"/>
      </rPr>
      <t>payable - Due in 1 year</t>
    </r>
  </si>
  <si>
    <t>SBITA liability - Due in 1 year</t>
  </si>
  <si>
    <t>Notes payable - Due in 1 year</t>
  </si>
  <si>
    <t>Bonds payable - Due in 1 year</t>
  </si>
  <si>
    <t>R_Split interest agreement obligations</t>
  </si>
  <si>
    <t>R_Restricted investments</t>
  </si>
  <si>
    <t>Capital Assets, net</t>
  </si>
  <si>
    <t>R_Art, lit &amp; oth artifacts - nondepr</t>
  </si>
  <si>
    <t>R_Construction in progress</t>
  </si>
  <si>
    <t>R_Computer software in development</t>
  </si>
  <si>
    <t>R_Other intang assets - nondepr</t>
  </si>
  <si>
    <t>R_Buildings</t>
  </si>
  <si>
    <t>R_Machinery &amp; equipment</t>
  </si>
  <si>
    <t>R_Art, lit &amp; oth artifacts - depr</t>
  </si>
  <si>
    <t>R_General infrastrucutre</t>
  </si>
  <si>
    <t>R_State highway system</t>
  </si>
  <si>
    <t>R_NC toll road system</t>
  </si>
  <si>
    <t>R_Computer software - depr</t>
  </si>
  <si>
    <t>R_Subscription asset</t>
  </si>
  <si>
    <t>R_Other intangible assets - depr</t>
  </si>
  <si>
    <t>R_RTU land &amp; perm easements</t>
  </si>
  <si>
    <t>R_RTU buildings</t>
  </si>
  <si>
    <t>R_RTU machinery &amp; equipment</t>
  </si>
  <si>
    <t>R_Accumulated depreciation</t>
  </si>
  <si>
    <t>20F</t>
  </si>
  <si>
    <t>30F</t>
  </si>
  <si>
    <t>50F</t>
  </si>
  <si>
    <t>55F</t>
  </si>
  <si>
    <t>65F</t>
  </si>
  <si>
    <t>70F</t>
  </si>
  <si>
    <t>84F</t>
  </si>
  <si>
    <t>90F</t>
  </si>
  <si>
    <t>92F</t>
  </si>
  <si>
    <t>140/145</t>
  </si>
  <si>
    <t>Accumulated depreciation</t>
  </si>
  <si>
    <t>Split interest agreement obligations - Due in 1 year</t>
  </si>
  <si>
    <t>R_Split interest agreement obligations_NC</t>
  </si>
  <si>
    <t>Split interest agreement obligations - Noncurrent</t>
  </si>
  <si>
    <t>R_Interest rate swap fair value liability</t>
  </si>
  <si>
    <t xml:space="preserve">Lease obligation receivable </t>
  </si>
  <si>
    <t>Total restatement from Exh E</t>
  </si>
  <si>
    <t>Column</t>
  </si>
  <si>
    <t>3. Provide restatement reason at column 4 and 5. Choose the main reason at Column 4 which is either an Error Correction (ER) or an Changes in Accounting Principles/Financial Reporting (O).</t>
  </si>
  <si>
    <t>At column 5 Choose a type of restatement under "ER" or "O" category.</t>
  </si>
  <si>
    <t>Check Total Restatement effect</t>
  </si>
  <si>
    <t>WILL DELETE</t>
  </si>
  <si>
    <t>For Reference</t>
  </si>
  <si>
    <t>For list at 'Restatement' tab at column B</t>
  </si>
  <si>
    <t>R_Nondepreciable assets</t>
  </si>
  <si>
    <t>R_Due from the University (EL)</t>
  </si>
  <si>
    <t>R_Due to the University (EL)</t>
  </si>
  <si>
    <t>R_Payments to University (EL)</t>
  </si>
  <si>
    <t xml:space="preserve">Payments to University (accrual) - student tuition/fees </t>
  </si>
  <si>
    <t xml:space="preserve">Payments to University (accrual) - noncapital </t>
  </si>
  <si>
    <t>Payments to University (accrual) - capital</t>
  </si>
  <si>
    <t>R_Grants Payable to the University</t>
  </si>
  <si>
    <t>R_Gain on sale of capital assets</t>
  </si>
  <si>
    <t>R_Noncapital gifts</t>
  </si>
  <si>
    <t>R_Depreciable assets</t>
  </si>
  <si>
    <t xml:space="preserve">DEPRECIABLE ASSETS </t>
  </si>
  <si>
    <t xml:space="preserve">NONDEPRECIABLE ASSETS </t>
  </si>
  <si>
    <t>R_Notes payable</t>
  </si>
  <si>
    <t>R_Deposits payable</t>
  </si>
  <si>
    <t>R_Accounts payable</t>
  </si>
  <si>
    <t>R_Notes receivable</t>
  </si>
  <si>
    <t>R_Accounts receivable</t>
  </si>
  <si>
    <t>R_Annuity &amp; life income payable due in 1 year</t>
  </si>
  <si>
    <t>R_Annuity &amp; life income payable_noncurrent</t>
  </si>
  <si>
    <t>R_Lease payable due in 1 year</t>
  </si>
  <si>
    <t>R_Lease payable_noncurrent</t>
  </si>
  <si>
    <t>R_Subscription liability due in 1 year</t>
  </si>
  <si>
    <t>R_Subscription liability_noncurrent</t>
  </si>
  <si>
    <t>R_Notes payable_noncurrent</t>
  </si>
  <si>
    <t>R_Bond &amp; similar debt payable_noncurrent</t>
  </si>
  <si>
    <t xml:space="preserve">O_IG 2021-1 Sec 5.1 Grouped Asset </t>
  </si>
  <si>
    <t>Update formulas</t>
  </si>
  <si>
    <t>Balance Sheet Change</t>
  </si>
  <si>
    <t>Operating Statement Change</t>
  </si>
  <si>
    <t>Total Net Position effect -Should agree to Total Restatements at Exhibit B and E</t>
  </si>
  <si>
    <t>Explanation (Refer to instruction at 430 narrative - Accounting Changes and Error Corrections)</t>
  </si>
  <si>
    <t>Click Here</t>
  </si>
  <si>
    <t>4. Provide explanation for disclosure at column 6 per instruction at Worksheet 430 - Accounting Changes and Error Corrections</t>
  </si>
  <si>
    <t>Check Total Restatement effect VS Total Restatement from Exh B and E</t>
  </si>
  <si>
    <t>Beginning Bal</t>
  </si>
  <si>
    <t>Column 6 - Explanation</t>
  </si>
  <si>
    <t>ERROR CHECK</t>
  </si>
  <si>
    <r>
      <t xml:space="preserve">Balance as of July 1, 2023
</t>
    </r>
    <r>
      <rPr>
        <b/>
        <sz val="10"/>
        <color theme="5" tint="-0.249977111117893"/>
        <rFont val="Arial"/>
        <family val="2"/>
      </rPr>
      <t>as Restated</t>
    </r>
  </si>
  <si>
    <t>Balance as of 
July 1, 2023</t>
  </si>
  <si>
    <t>1. Enter the net position effect per GASB 63 classifications at row A - the beginning balance (column 1) and the restatement amount (column 2).</t>
  </si>
  <si>
    <t>F</t>
  </si>
  <si>
    <t>Net Position Restatement (beginning restated)</t>
  </si>
  <si>
    <t>R_Net position (beginning restated)</t>
  </si>
  <si>
    <t>Increase (+); Decrease (-)    Note: An increase to a net position should be entered as a positive amount on the table but will calculate to increase net position.</t>
  </si>
  <si>
    <t>Net Position Restatement prior to FY2023</t>
  </si>
  <si>
    <t>Enter the beginning balance (column 1) and the restatement amount (column 2).</t>
  </si>
  <si>
    <r>
      <rPr>
        <u/>
        <sz val="10"/>
        <color rgb="FF7030A0"/>
        <rFont val="Arial"/>
        <family val="2"/>
      </rPr>
      <t>Note:</t>
    </r>
    <r>
      <rPr>
        <sz val="10"/>
        <color rgb="FF7030A0"/>
        <rFont val="Arial"/>
        <family val="2"/>
      </rPr>
      <t xml:space="preserve"> Row F - Restated Beginning Balance of Net Position before FY2023</t>
    </r>
  </si>
  <si>
    <t>Restatement Category</t>
  </si>
  <si>
    <t>Select Category</t>
  </si>
  <si>
    <t>Column 4 - Reason (1)</t>
  </si>
  <si>
    <t>Column 4 - Reason (2)</t>
  </si>
  <si>
    <t>Column 5 - Reason (1)</t>
  </si>
  <si>
    <t>Column 5 - Reason (2)</t>
  </si>
  <si>
    <t>2. Select an account(s) that is(are) affected by the restatements for 1) Balance Sheet at row B and/or C and 2) Operating Statement at row D and/or E, or Restated Beginning Balance of Net Position at row F.</t>
  </si>
  <si>
    <t>Row 45 - Calculation Net effect</t>
  </si>
  <si>
    <t>IF(C17&lt;&gt;0,IF(F49=0,IF(C17=E49,"OK",IF((E33-E44=0),0,"ERROR"))))</t>
  </si>
  <si>
    <t>Account (1)</t>
  </si>
  <si>
    <t>Account (2)</t>
  </si>
  <si>
    <t>Hide Columns G-J before publishing to the web.</t>
  </si>
  <si>
    <t>OSC Only</t>
  </si>
  <si>
    <t>Analyst</t>
  </si>
  <si>
    <t>Web Team Notified to Update SIG</t>
  </si>
  <si>
    <t>Revision Date for SIG</t>
  </si>
  <si>
    <t>Date Agencies Notified</t>
  </si>
  <si>
    <t>Patcha Kidking</t>
  </si>
  <si>
    <t>1) Add "R_Net position (beginning restated)" line and update formula to correctly capture total net position effect prior to FY 2023
2) Add Balance Sheet Change and Operating Statement Change line
3) Add error check at row 23.
4) Update formula at error check at row 46 &amp; 47
5) Update "note" column 6 to "Explanation (Refer to instruction at 430 narrative - Accounting Changes and Error Corrections)"
6) Revise instruction to include prior year restatement at #2 and link to narrative for column 6 - Explanation at #4</t>
  </si>
  <si>
    <t>Revised 6/26/2024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</si>
</sst>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0.00_);\(#,##0.00\);* \ \-\ \ \ \ \ "/>
    <numFmt numFmtId="166" formatCode="* #,###\ ;* \(#,###\);* \-\ \ \ \ \ \ "/>
    <numFmt numFmtId="167" formatCode="&quot;$&quot;* #,###\ ;&quot;$&quot;* \(#,###\);&quot;$&quot;* \-\ \ \ \ \ \ "/>
    <numFmt numFmtId="168" formatCode="* #,###\ ;* \(#,###\);\ \ @*."/>
    <numFmt numFmtId="169" formatCode="* #,###\ ;* \(#,###\);@*."/>
    <numFmt numFmtId="170" formatCode="mmmm\ d\,\ yyyy"/>
    <numFmt numFmtId="171" formatCode="0.00%\ ;\(0.00\)%"/>
    <numFmt numFmtId="172" formatCode="#,##0.00_);\(#,##0.00\);\—\ \ \ \ \ \ "/>
    <numFmt numFmtId="173" formatCode="_(* #,##0_);_(* \(#,##0\);_(* &quot;-&quot;??_);_(@_)"/>
    <numFmt numFmtId="174" formatCode="#,##0_);\(#,##0\);&quot;-       &quot;"/>
    <numFmt numFmtId="175" formatCode="mm/dd/yy;@"/>
    <numFmt numFmtId="176" formatCode="* #,###.00000\ ;* \(#,###.00000\);* \-\ \ \ \ \ \ "/>
  </numFmts>
  <fonts count="88" x14ac:knownFonts="1">
    <font>
      <sz val="10"/>
      <name val="Arial"/>
    </font>
    <font>
      <sz val="11"/>
      <color theme="1"/>
      <name val="Calibri"/>
      <family val="2"/>
      <scheme val="minor"/>
    </font>
    <font>
      <sz val="10"/>
      <name val="Arial"/>
      <family val="2"/>
    </font>
    <font>
      <b/>
      <sz val="10"/>
      <name val="Arial"/>
      <family val="2"/>
    </font>
    <font>
      <sz val="12"/>
      <name val="Arial"/>
      <family val="2"/>
    </font>
    <font>
      <sz val="10"/>
      <name val="Arial"/>
      <family val="2"/>
    </font>
    <font>
      <u/>
      <sz val="10"/>
      <name val="Arial"/>
      <family val="2"/>
    </font>
    <font>
      <i/>
      <sz val="10"/>
      <name val="Arial"/>
      <family val="2"/>
    </font>
    <font>
      <b/>
      <vertAlign val="superscript"/>
      <sz val="10"/>
      <name val="Arial"/>
      <family val="2"/>
    </font>
    <font>
      <sz val="8"/>
      <name val="Arial"/>
      <family val="2"/>
    </font>
    <font>
      <b/>
      <sz val="10"/>
      <color indexed="12"/>
      <name val="Arial"/>
      <family val="2"/>
    </font>
    <font>
      <vertAlign val="superscript"/>
      <sz val="10"/>
      <name val="Arial"/>
      <family val="2"/>
    </font>
    <font>
      <b/>
      <sz val="12"/>
      <name val="Arial"/>
      <family val="2"/>
    </font>
    <font>
      <i/>
      <sz val="10"/>
      <color indexed="12"/>
      <name val="Arial"/>
      <family val="2"/>
    </font>
    <font>
      <b/>
      <u/>
      <sz val="10"/>
      <name val="Arial"/>
      <family val="2"/>
    </font>
    <font>
      <b/>
      <sz val="11"/>
      <name val="Arial"/>
      <family val="2"/>
    </font>
    <font>
      <b/>
      <sz val="9"/>
      <color indexed="12"/>
      <name val="Arial"/>
      <family val="2"/>
    </font>
    <font>
      <sz val="9"/>
      <name val="Arial"/>
      <family val="2"/>
    </font>
    <font>
      <b/>
      <u/>
      <vertAlign val="superscript"/>
      <sz val="10"/>
      <name val="Arial"/>
      <family val="2"/>
    </font>
    <font>
      <b/>
      <sz val="8"/>
      <name val="Arial"/>
      <family val="2"/>
    </font>
    <font>
      <sz val="8"/>
      <name val="Arial"/>
      <family val="2"/>
    </font>
    <font>
      <i/>
      <sz val="10"/>
      <name val="Arial"/>
      <family val="2"/>
    </font>
    <font>
      <sz val="12"/>
      <name val="Book Antiqua"/>
      <family val="1"/>
    </font>
    <font>
      <b/>
      <sz val="12"/>
      <name val="Book Antiqua"/>
      <family val="1"/>
    </font>
    <font>
      <sz val="10"/>
      <name val="Book Antiqua"/>
      <family val="1"/>
    </font>
    <font>
      <sz val="10"/>
      <name val="Arial Narrow"/>
      <family val="2"/>
    </font>
    <font>
      <sz val="12"/>
      <name val="Times New Roman"/>
      <family val="1"/>
    </font>
    <font>
      <b/>
      <sz val="10"/>
      <name val="Times New Roman"/>
      <family val="1"/>
    </font>
    <font>
      <sz val="8"/>
      <name val="Times New Roman"/>
      <family val="1"/>
    </font>
    <font>
      <sz val="10"/>
      <name val="Times New Roman"/>
      <family val="1"/>
    </font>
    <font>
      <sz val="10"/>
      <color indexed="12"/>
      <name val="Arial"/>
      <family val="2"/>
    </font>
    <font>
      <b/>
      <sz val="10"/>
      <color indexed="10"/>
      <name val="Arial"/>
      <family val="2"/>
    </font>
    <font>
      <vertAlign val="superscript"/>
      <sz val="8"/>
      <name val="Arial"/>
      <family val="2"/>
    </font>
    <font>
      <i/>
      <sz val="8"/>
      <name val="Arial"/>
      <family val="2"/>
    </font>
    <font>
      <b/>
      <sz val="8"/>
      <color indexed="12"/>
      <name val="Arial"/>
      <family val="2"/>
    </font>
    <font>
      <u val="singleAccounting"/>
      <sz val="8"/>
      <name val="Arial"/>
      <family val="2"/>
    </font>
    <font>
      <sz val="8"/>
      <name val="Arial Narrow"/>
      <family val="2"/>
    </font>
    <font>
      <b/>
      <sz val="8"/>
      <name val="Arial Narrow"/>
      <family val="2"/>
    </font>
    <font>
      <b/>
      <sz val="8"/>
      <color indexed="10"/>
      <name val="Arial"/>
      <family val="2"/>
    </font>
    <font>
      <i/>
      <vertAlign val="superscript"/>
      <sz val="10"/>
      <name val="Arial"/>
      <family val="2"/>
    </font>
    <font>
      <i/>
      <sz val="8"/>
      <name val="Arial Narrow"/>
      <family val="2"/>
    </font>
    <font>
      <i/>
      <sz val="9"/>
      <name val="Arial"/>
      <family val="2"/>
    </font>
    <font>
      <i/>
      <vertAlign val="superscript"/>
      <sz val="9"/>
      <name val="Arial"/>
      <family val="2"/>
    </font>
    <font>
      <sz val="8"/>
      <name val="Arial"/>
      <family val="2"/>
    </font>
    <font>
      <sz val="8"/>
      <color rgb="FF000080"/>
      <name val="Arial Narrow"/>
      <family val="2"/>
    </font>
    <font>
      <b/>
      <sz val="10"/>
      <color rgb="FF0000FF"/>
      <name val="Arial"/>
      <family val="2"/>
    </font>
    <font>
      <sz val="8"/>
      <color rgb="FFFF0000"/>
      <name val="Arial"/>
      <family val="2"/>
    </font>
    <font>
      <sz val="10"/>
      <color rgb="FFFF0000"/>
      <name val="Arial"/>
      <family val="2"/>
    </font>
    <font>
      <b/>
      <sz val="10"/>
      <color rgb="FFFF0000"/>
      <name val="Arial"/>
      <family val="2"/>
    </font>
    <font>
      <b/>
      <u/>
      <sz val="8"/>
      <name val="Arial Narrow"/>
      <family val="2"/>
    </font>
    <font>
      <b/>
      <u val="singleAccounting"/>
      <sz val="8"/>
      <name val="Arial"/>
      <family val="2"/>
    </font>
    <font>
      <b/>
      <sz val="8"/>
      <color rgb="FFFF0000"/>
      <name val="Arial Narrow"/>
      <family val="2"/>
    </font>
    <font>
      <b/>
      <u val="singleAccounting"/>
      <sz val="8"/>
      <name val="Arial Narrow"/>
      <family val="2"/>
    </font>
    <font>
      <sz val="8"/>
      <color indexed="14"/>
      <name val="Arial Narrow"/>
      <family val="2"/>
    </font>
    <font>
      <sz val="8"/>
      <color indexed="8"/>
      <name val="Arial Narrow"/>
      <family val="2"/>
    </font>
    <font>
      <b/>
      <sz val="9"/>
      <color rgb="FFFF0000"/>
      <name val="Arial"/>
      <family val="2"/>
    </font>
    <font>
      <sz val="8"/>
      <color theme="0"/>
      <name val="Arial"/>
      <family val="2"/>
    </font>
    <font>
      <sz val="11"/>
      <name val="Calibri"/>
      <family val="2"/>
    </font>
    <font>
      <b/>
      <sz val="10"/>
      <color rgb="FF0066FF"/>
      <name val="Arial"/>
      <family val="2"/>
    </font>
    <font>
      <sz val="10"/>
      <color rgb="FF0066FF"/>
      <name val="Arial"/>
      <family val="2"/>
    </font>
    <font>
      <sz val="10"/>
      <name val="Arial"/>
      <family val="2"/>
    </font>
    <font>
      <b/>
      <sz val="14"/>
      <name val="Times New Roman"/>
      <family val="1"/>
    </font>
    <font>
      <u/>
      <sz val="10"/>
      <color indexed="12"/>
      <name val="Arial"/>
      <family val="2"/>
    </font>
    <font>
      <b/>
      <sz val="12"/>
      <color indexed="12"/>
      <name val="Arial"/>
      <family val="2"/>
    </font>
    <font>
      <sz val="11"/>
      <name val="Arial"/>
      <family val="2"/>
    </font>
    <font>
      <sz val="10"/>
      <color theme="9" tint="-0.249977111117893"/>
      <name val="Arial"/>
      <family val="2"/>
    </font>
    <font>
      <b/>
      <sz val="10"/>
      <color theme="0"/>
      <name val="Arial"/>
      <family val="2"/>
    </font>
    <font>
      <b/>
      <sz val="18"/>
      <color rgb="FFFF0000"/>
      <name val="Arial"/>
      <family val="2"/>
    </font>
    <font>
      <sz val="18"/>
      <color rgb="FFFF0000"/>
      <name val="Arial"/>
      <family val="2"/>
    </font>
    <font>
      <b/>
      <sz val="12"/>
      <name val="Times New Roman"/>
      <family val="1"/>
    </font>
    <font>
      <sz val="9.75"/>
      <name val="Helv"/>
    </font>
    <font>
      <sz val="10"/>
      <color rgb="FF0000FF"/>
      <name val="Helv"/>
    </font>
    <font>
      <b/>
      <sz val="9"/>
      <color indexed="81"/>
      <name val="Tahoma"/>
      <family val="2"/>
    </font>
    <font>
      <sz val="9"/>
      <color indexed="81"/>
      <name val="Tahoma"/>
      <family val="2"/>
    </font>
    <font>
      <sz val="8"/>
      <color rgb="FFFF0000"/>
      <name val="Arial"/>
      <family val="2"/>
    </font>
    <font>
      <sz val="10"/>
      <color rgb="FFFF0000"/>
      <name val="Arial"/>
      <family val="2"/>
    </font>
    <font>
      <u/>
      <sz val="10"/>
      <color theme="10"/>
      <name val="Arial"/>
      <family val="2"/>
    </font>
    <font>
      <sz val="10"/>
      <name val="MS Sans Serif"/>
    </font>
    <font>
      <sz val="10"/>
      <name val="MS Sans Serif"/>
      <family val="2"/>
    </font>
    <font>
      <sz val="12"/>
      <name val="MS Sans Serif"/>
      <family val="2"/>
    </font>
    <font>
      <sz val="12"/>
      <name val="Aptos"/>
      <family val="2"/>
    </font>
    <font>
      <sz val="12"/>
      <color rgb="FFFF0000"/>
      <name val="Aptos"/>
      <family val="2"/>
    </font>
    <font>
      <b/>
      <sz val="10"/>
      <color theme="5" tint="-0.249977111117893"/>
      <name val="Arial"/>
      <family val="2"/>
    </font>
    <font>
      <b/>
      <sz val="10"/>
      <color rgb="FF7030A0"/>
      <name val="Arial"/>
      <family val="2"/>
    </font>
    <font>
      <b/>
      <sz val="12"/>
      <name val="Aptos"/>
      <family val="2"/>
    </font>
    <font>
      <sz val="10"/>
      <color rgb="FF7030A0"/>
      <name val="Arial"/>
      <family val="2"/>
    </font>
    <font>
      <u/>
      <sz val="10"/>
      <color rgb="FF7030A0"/>
      <name val="Arial"/>
      <family val="2"/>
    </font>
    <font>
      <sz val="14"/>
      <color theme="5" tint="-0.249977111117893"/>
      <name val="Arial"/>
      <family val="2"/>
    </font>
  </fonts>
  <fills count="2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9CCFF"/>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gray125">
        <bgColor theme="0" tint="-0.14996795556505021"/>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7" tint="0.79998168889431442"/>
        <bgColor indexed="64"/>
      </patternFill>
    </fill>
  </fills>
  <borders count="26">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s>
  <cellStyleXfs count="45">
    <xf numFmtId="0" fontId="0" fillId="0" borderId="0"/>
    <xf numFmtId="43" fontId="2" fillId="0" borderId="0" applyFont="0" applyFill="0" applyBorder="0" applyAlignment="0" applyProtection="0"/>
    <xf numFmtId="0" fontId="21" fillId="0" borderId="1">
      <alignment horizontal="right"/>
      <protection locked="0"/>
    </xf>
    <xf numFmtId="0" fontId="22" fillId="0" borderId="2" applyBorder="0">
      <protection locked="0"/>
    </xf>
    <xf numFmtId="0" fontId="23" fillId="0" borderId="0">
      <protection locked="0"/>
    </xf>
    <xf numFmtId="15" fontId="24" fillId="0" borderId="1" applyNumberFormat="0" applyBorder="0">
      <protection locked="0"/>
    </xf>
    <xf numFmtId="166" fontId="43" fillId="0" borderId="0">
      <protection locked="0"/>
    </xf>
    <xf numFmtId="166" fontId="9" fillId="0" borderId="0">
      <protection locked="0"/>
    </xf>
    <xf numFmtId="166" fontId="20" fillId="0" borderId="0">
      <protection locked="0"/>
    </xf>
    <xf numFmtId="167" fontId="20" fillId="0" borderId="0">
      <protection locked="0"/>
    </xf>
    <xf numFmtId="166" fontId="20" fillId="0" borderId="0">
      <protection locked="0"/>
    </xf>
    <xf numFmtId="167" fontId="20" fillId="0" borderId="3">
      <protection locked="0"/>
    </xf>
    <xf numFmtId="166" fontId="20" fillId="0" borderId="4">
      <protection locked="0"/>
    </xf>
    <xf numFmtId="165" fontId="20" fillId="0" borderId="0"/>
    <xf numFmtId="165" fontId="9" fillId="0" borderId="0"/>
    <xf numFmtId="165" fontId="20" fillId="0" borderId="3"/>
    <xf numFmtId="165" fontId="9" fillId="0" borderId="3"/>
    <xf numFmtId="165" fontId="20" fillId="0" borderId="4"/>
    <xf numFmtId="165" fontId="9" fillId="0" borderId="4"/>
    <xf numFmtId="44" fontId="60" fillId="0" borderId="0" applyFont="0" applyFill="0" applyBorder="0" applyAlignment="0" applyProtection="0"/>
    <xf numFmtId="0" fontId="2" fillId="0" borderId="0"/>
    <xf numFmtId="0" fontId="62" fillId="0" borderId="0" applyNumberFormat="0" applyFill="0" applyBorder="0" applyAlignment="0" applyProtection="0">
      <alignment vertical="top"/>
      <protection locked="0"/>
    </xf>
    <xf numFmtId="0" fontId="70" fillId="0" borderId="0"/>
    <xf numFmtId="0" fontId="7" fillId="0" borderId="1">
      <alignment horizontal="right"/>
      <protection locked="0"/>
    </xf>
    <xf numFmtId="166" fontId="9" fillId="0" borderId="0">
      <protection locked="0"/>
    </xf>
    <xf numFmtId="0" fontId="2" fillId="0" borderId="0"/>
    <xf numFmtId="0" fontId="2" fillId="0" borderId="0"/>
    <xf numFmtId="167" fontId="9" fillId="0" borderId="0">
      <protection locked="0"/>
    </xf>
    <xf numFmtId="166" fontId="9" fillId="0" borderId="0">
      <protection locked="0"/>
    </xf>
    <xf numFmtId="167" fontId="9" fillId="0" borderId="3">
      <protection locked="0"/>
    </xf>
    <xf numFmtId="166" fontId="9" fillId="0" borderId="4">
      <protection locked="0"/>
    </xf>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76" fillId="0" borderId="0" applyNumberFormat="0" applyFill="0" applyBorder="0" applyAlignment="0" applyProtection="0"/>
    <xf numFmtId="0" fontId="2" fillId="0" borderId="0"/>
    <xf numFmtId="0" fontId="1" fillId="0" borderId="0"/>
    <xf numFmtId="0" fontId="1" fillId="0" borderId="0"/>
    <xf numFmtId="0" fontId="1" fillId="0" borderId="0"/>
    <xf numFmtId="0" fontId="77" fillId="0" borderId="0"/>
    <xf numFmtId="0" fontId="2" fillId="0" borderId="0"/>
    <xf numFmtId="0" fontId="77" fillId="0" borderId="0"/>
    <xf numFmtId="0" fontId="78" fillId="0" borderId="0"/>
    <xf numFmtId="0" fontId="78" fillId="0" borderId="0"/>
    <xf numFmtId="0" fontId="78" fillId="0" borderId="0"/>
  </cellStyleXfs>
  <cellXfs count="522">
    <xf numFmtId="0" fontId="0" fillId="0" borderId="0" xfId="0"/>
    <xf numFmtId="0" fontId="3" fillId="0" borderId="0" xfId="0" applyFont="1"/>
    <xf numFmtId="0" fontId="0" fillId="0" borderId="0" xfId="0" applyAlignment="1">
      <alignment horizontal="left" indent="2"/>
    </xf>
    <xf numFmtId="0" fontId="0" fillId="0" borderId="0" xfId="0" applyAlignment="1">
      <alignment horizontal="left" indent="1"/>
    </xf>
    <xf numFmtId="0" fontId="0" fillId="0" borderId="1" xfId="0" applyBorder="1" applyAlignment="1">
      <alignment horizontal="center"/>
    </xf>
    <xf numFmtId="0" fontId="4" fillId="0" borderId="0" xfId="0" applyFont="1"/>
    <xf numFmtId="41" fontId="0" fillId="0" borderId="0" xfId="1" applyNumberFormat="1" applyFont="1"/>
    <xf numFmtId="41" fontId="0" fillId="0" borderId="1" xfId="1" applyNumberFormat="1" applyFont="1" applyBorder="1"/>
    <xf numFmtId="41" fontId="0" fillId="0" borderId="4" xfId="1" applyNumberFormat="1" applyFont="1" applyBorder="1"/>
    <xf numFmtId="42" fontId="0" fillId="0" borderId="0" xfId="1" applyNumberFormat="1" applyFont="1"/>
    <xf numFmtId="41" fontId="0" fillId="0" borderId="1" xfId="0" applyNumberFormat="1" applyBorder="1"/>
    <xf numFmtId="42" fontId="0" fillId="0" borderId="3" xfId="0" applyNumberFormat="1" applyBorder="1"/>
    <xf numFmtId="41" fontId="0" fillId="0" borderId="0" xfId="0" applyNumberFormat="1"/>
    <xf numFmtId="0" fontId="5" fillId="0" borderId="0" xfId="0" applyFont="1"/>
    <xf numFmtId="0" fontId="0" fillId="2" borderId="0" xfId="0" applyFill="1"/>
    <xf numFmtId="0" fontId="3" fillId="2" borderId="0" xfId="0" applyFont="1" applyFill="1" applyAlignment="1">
      <alignment horizontal="left"/>
    </xf>
    <xf numFmtId="0" fontId="0" fillId="2" borderId="0" xfId="0" applyFill="1" applyAlignment="1">
      <alignment horizontal="left" indent="1"/>
    </xf>
    <xf numFmtId="0" fontId="0" fillId="2" borderId="0" xfId="0" applyFill="1" applyAlignment="1">
      <alignment horizontal="left" indent="2"/>
    </xf>
    <xf numFmtId="41" fontId="0" fillId="2" borderId="0" xfId="0" applyNumberFormat="1" applyFill="1"/>
    <xf numFmtId="41" fontId="0" fillId="2" borderId="1" xfId="0" applyNumberFormat="1" applyFill="1" applyBorder="1"/>
    <xf numFmtId="41" fontId="0" fillId="2" borderId="4" xfId="0" applyNumberFormat="1" applyFill="1" applyBorder="1"/>
    <xf numFmtId="41" fontId="0" fillId="0" borderId="4" xfId="0" applyNumberFormat="1" applyBorder="1"/>
    <xf numFmtId="0" fontId="3" fillId="2" borderId="0" xfId="0" applyFont="1" applyFill="1"/>
    <xf numFmtId="0" fontId="7" fillId="0" borderId="0" xfId="0" applyFont="1"/>
    <xf numFmtId="0" fontId="0" fillId="0" borderId="0" xfId="0" applyAlignment="1">
      <alignment horizontal="left" indent="3"/>
    </xf>
    <xf numFmtId="0" fontId="6" fillId="0" borderId="0" xfId="0" applyFont="1"/>
    <xf numFmtId="0" fontId="0" fillId="0" borderId="0" xfId="0" applyAlignment="1">
      <alignment horizontal="left"/>
    </xf>
    <xf numFmtId="0" fontId="0" fillId="0" borderId="0" xfId="0" applyAlignment="1">
      <alignment horizontal="center"/>
    </xf>
    <xf numFmtId="42" fontId="0" fillId="0" borderId="0" xfId="0" applyNumberFormat="1"/>
    <xf numFmtId="0" fontId="6" fillId="2" borderId="0" xfId="0" applyFont="1" applyFill="1" applyAlignment="1">
      <alignment horizontal="left"/>
    </xf>
    <xf numFmtId="42" fontId="0" fillId="2" borderId="0" xfId="0" applyNumberFormat="1" applyFill="1"/>
    <xf numFmtId="0" fontId="3" fillId="0" borderId="0" xfId="0" applyFont="1" applyAlignment="1">
      <alignment horizontal="right"/>
    </xf>
    <xf numFmtId="0" fontId="9" fillId="0" borderId="0" xfId="0" applyFont="1"/>
    <xf numFmtId="0" fontId="9" fillId="0" borderId="0" xfId="0" applyFont="1" applyAlignment="1">
      <alignment horizontal="center"/>
    </xf>
    <xf numFmtId="0" fontId="9" fillId="0" borderId="0" xfId="0" quotePrefix="1" applyFont="1" applyAlignment="1">
      <alignment horizontal="center"/>
    </xf>
    <xf numFmtId="0" fontId="10" fillId="0" borderId="0" xfId="0" applyFont="1" applyAlignment="1">
      <alignment horizontal="center"/>
    </xf>
    <xf numFmtId="41" fontId="0" fillId="0" borderId="4" xfId="0" applyNumberFormat="1" applyBorder="1" applyAlignment="1">
      <alignment horizontal="center"/>
    </xf>
    <xf numFmtId="0" fontId="0" fillId="0" borderId="0" xfId="0" quotePrefix="1" applyAlignment="1">
      <alignment horizontal="center"/>
    </xf>
    <xf numFmtId="0" fontId="12" fillId="0" borderId="0" xfId="0" applyFont="1" applyAlignment="1">
      <alignment horizontal="center"/>
    </xf>
    <xf numFmtId="15" fontId="12" fillId="0" borderId="0" xfId="0" quotePrefix="1" applyNumberFormat="1" applyFont="1" applyAlignment="1">
      <alignment horizontal="center"/>
    </xf>
    <xf numFmtId="15" fontId="3" fillId="0" borderId="0" xfId="0" quotePrefix="1" applyNumberFormat="1" applyFont="1" applyAlignment="1">
      <alignment horizontal="center"/>
    </xf>
    <xf numFmtId="0" fontId="9" fillId="0" borderId="1" xfId="0" applyFont="1" applyBorder="1" applyAlignment="1">
      <alignment horizontal="center"/>
    </xf>
    <xf numFmtId="15" fontId="4" fillId="0" borderId="0" xfId="0" quotePrefix="1" applyNumberFormat="1" applyFont="1" applyAlignment="1">
      <alignment horizontal="center"/>
    </xf>
    <xf numFmtId="0" fontId="16" fillId="0" borderId="0" xfId="0" applyFont="1" applyAlignment="1">
      <alignment horizontal="center"/>
    </xf>
    <xf numFmtId="0" fontId="17" fillId="0" borderId="0" xfId="0" applyFont="1"/>
    <xf numFmtId="0" fontId="17" fillId="0" borderId="0" xfId="0" applyFont="1" applyAlignment="1">
      <alignment horizontal="center"/>
    </xf>
    <xf numFmtId="0" fontId="3" fillId="0" borderId="0" xfId="0" applyFont="1" applyAlignment="1">
      <alignment horizontal="center"/>
    </xf>
    <xf numFmtId="0" fontId="0" fillId="0" borderId="0" xfId="0" quotePrefix="1"/>
    <xf numFmtId="0" fontId="0" fillId="3" borderId="0" xfId="0" applyFill="1" applyAlignment="1" applyProtection="1">
      <alignment horizontal="left"/>
      <protection locked="0"/>
    </xf>
    <xf numFmtId="42" fontId="0" fillId="0" borderId="0" xfId="1" applyNumberFormat="1" applyFont="1" applyProtection="1">
      <protection locked="0"/>
    </xf>
    <xf numFmtId="41" fontId="0" fillId="0" borderId="0" xfId="1" applyNumberFormat="1" applyFont="1" applyProtection="1">
      <protection locked="0"/>
    </xf>
    <xf numFmtId="41" fontId="0" fillId="0" borderId="1" xfId="1" applyNumberFormat="1" applyFont="1" applyBorder="1" applyProtection="1">
      <protection locked="0"/>
    </xf>
    <xf numFmtId="41" fontId="0" fillId="0" borderId="0" xfId="0" applyNumberFormat="1" applyProtection="1">
      <protection locked="0"/>
    </xf>
    <xf numFmtId="41" fontId="0" fillId="0" borderId="1" xfId="0" applyNumberFormat="1" applyBorder="1" applyProtection="1">
      <protection locked="0"/>
    </xf>
    <xf numFmtId="164" fontId="0" fillId="0" borderId="1" xfId="0" applyNumberFormat="1" applyBorder="1" applyAlignment="1" applyProtection="1">
      <alignment horizontal="center"/>
      <protection locked="0"/>
    </xf>
    <xf numFmtId="0" fontId="0" fillId="3" borderId="0" xfId="0" quotePrefix="1" applyFill="1" applyAlignment="1" applyProtection="1">
      <alignment horizontal="left"/>
      <protection locked="0"/>
    </xf>
    <xf numFmtId="0" fontId="3" fillId="3" borderId="0" xfId="0" applyFont="1" applyFill="1" applyAlignment="1">
      <alignment horizontal="left"/>
    </xf>
    <xf numFmtId="166" fontId="20" fillId="0" borderId="0" xfId="8" applyProtection="1"/>
    <xf numFmtId="166" fontId="25" fillId="0" borderId="0" xfId="8" applyFont="1" applyProtection="1"/>
    <xf numFmtId="4" fontId="20" fillId="0" borderId="0" xfId="8" applyNumberFormat="1" applyProtection="1"/>
    <xf numFmtId="49" fontId="26" fillId="0" borderId="0" xfId="0" applyNumberFormat="1" applyFont="1"/>
    <xf numFmtId="0" fontId="26" fillId="0" borderId="0" xfId="0" applyFont="1"/>
    <xf numFmtId="166" fontId="27" fillId="0" borderId="0" xfId="8" applyFont="1" applyAlignment="1" applyProtection="1">
      <alignment horizontal="center"/>
    </xf>
    <xf numFmtId="166" fontId="27" fillId="0" borderId="1" xfId="8" applyFont="1" applyBorder="1" applyAlignment="1" applyProtection="1">
      <alignment horizontal="center"/>
    </xf>
    <xf numFmtId="4" fontId="27" fillId="0" borderId="0" xfId="8" applyNumberFormat="1" applyFont="1" applyAlignment="1" applyProtection="1">
      <alignment horizontal="center"/>
    </xf>
    <xf numFmtId="4" fontId="27" fillId="0" borderId="1" xfId="8" applyNumberFormat="1" applyFont="1" applyBorder="1" applyAlignment="1" applyProtection="1">
      <alignment horizontal="center"/>
    </xf>
    <xf numFmtId="166" fontId="28" fillId="0" borderId="0" xfId="8" applyFont="1" applyProtection="1"/>
    <xf numFmtId="166" fontId="29" fillId="0" borderId="0" xfId="8" applyFont="1" applyProtection="1"/>
    <xf numFmtId="41" fontId="30" fillId="4" borderId="0" xfId="1" applyNumberFormat="1" applyFont="1" applyFill="1"/>
    <xf numFmtId="0" fontId="31" fillId="0" borderId="0" xfId="0" applyFont="1" applyAlignment="1">
      <alignment horizontal="right"/>
    </xf>
    <xf numFmtId="0" fontId="33" fillId="0" borderId="0" xfId="0" applyFont="1"/>
    <xf numFmtId="0" fontId="34" fillId="0" borderId="0" xfId="0" applyFont="1" applyAlignment="1">
      <alignment horizontal="center"/>
    </xf>
    <xf numFmtId="164" fontId="0" fillId="0" borderId="0" xfId="0" applyNumberFormat="1" applyAlignment="1" applyProtection="1">
      <alignment horizontal="center"/>
      <protection locked="0"/>
    </xf>
    <xf numFmtId="0" fontId="3" fillId="0" borderId="0" xfId="0" applyFont="1" applyAlignment="1">
      <alignment horizontal="left"/>
    </xf>
    <xf numFmtId="0" fontId="0" fillId="0" borderId="0" xfId="0" applyProtection="1">
      <protection locked="0"/>
    </xf>
    <xf numFmtId="0" fontId="0" fillId="0" borderId="0" xfId="0" applyAlignment="1" applyProtection="1">
      <alignment horizontal="center"/>
      <protection locked="0"/>
    </xf>
    <xf numFmtId="0" fontId="3" fillId="6" borderId="5" xfId="0" applyFont="1" applyFill="1" applyBorder="1"/>
    <xf numFmtId="166" fontId="9" fillId="0" borderId="0" xfId="8" applyFont="1" applyProtection="1"/>
    <xf numFmtId="166" fontId="35" fillId="0" borderId="0" xfId="8" applyFont="1" applyProtection="1"/>
    <xf numFmtId="1" fontId="36" fillId="0" borderId="0" xfId="0" applyNumberFormat="1" applyFont="1" applyAlignment="1">
      <alignment horizontal="center"/>
    </xf>
    <xf numFmtId="166" fontId="36" fillId="0" borderId="0" xfId="0" applyNumberFormat="1" applyFont="1"/>
    <xf numFmtId="166" fontId="19" fillId="0" borderId="0" xfId="0" applyNumberFormat="1" applyFont="1" applyAlignment="1">
      <alignment horizontal="center"/>
    </xf>
    <xf numFmtId="166" fontId="37" fillId="0" borderId="0" xfId="0" applyNumberFormat="1" applyFont="1" applyAlignment="1">
      <alignment horizontal="center"/>
    </xf>
    <xf numFmtId="1" fontId="37" fillId="0" borderId="0" xfId="0" applyNumberFormat="1" applyFont="1" applyAlignment="1">
      <alignment horizontal="center"/>
    </xf>
    <xf numFmtId="166" fontId="19" fillId="5" borderId="0" xfId="0" applyNumberFormat="1" applyFont="1" applyFill="1" applyAlignment="1">
      <alignment horizontal="center"/>
    </xf>
    <xf numFmtId="166" fontId="3" fillId="0" borderId="0" xfId="0" applyNumberFormat="1" applyFont="1" applyAlignment="1">
      <alignment horizontal="center"/>
    </xf>
    <xf numFmtId="170" fontId="19" fillId="0" borderId="0" xfId="0" applyNumberFormat="1" applyFont="1" applyAlignment="1">
      <alignment horizontal="center"/>
    </xf>
    <xf numFmtId="165" fontId="37" fillId="0" borderId="0" xfId="13" applyFont="1" applyAlignment="1">
      <alignment horizontal="center"/>
    </xf>
    <xf numFmtId="165" fontId="38" fillId="0" borderId="0" xfId="13" applyFont="1" applyAlignment="1">
      <alignment horizontal="center"/>
    </xf>
    <xf numFmtId="166" fontId="37" fillId="0" borderId="1" xfId="0" applyNumberFormat="1" applyFont="1" applyBorder="1" applyAlignment="1">
      <alignment horizontal="center"/>
    </xf>
    <xf numFmtId="169" fontId="36" fillId="0" borderId="0" xfId="0" applyNumberFormat="1" applyFont="1"/>
    <xf numFmtId="169" fontId="36" fillId="0" borderId="0" xfId="0" applyNumberFormat="1" applyFont="1" applyAlignment="1">
      <alignment horizontal="left"/>
    </xf>
    <xf numFmtId="166" fontId="36" fillId="0" borderId="0" xfId="0" applyNumberFormat="1" applyFont="1" applyAlignment="1">
      <alignment horizontal="left"/>
    </xf>
    <xf numFmtId="168" fontId="36" fillId="0" borderId="0" xfId="0" applyNumberFormat="1" applyFont="1"/>
    <xf numFmtId="165" fontId="36" fillId="0" borderId="0" xfId="13" applyFont="1"/>
    <xf numFmtId="168" fontId="40" fillId="5" borderId="0" xfId="0" applyNumberFormat="1" applyFont="1" applyFill="1" applyAlignment="1">
      <alignment horizontal="left"/>
    </xf>
    <xf numFmtId="168" fontId="36" fillId="0" borderId="0" xfId="0" applyNumberFormat="1" applyFont="1" applyAlignment="1">
      <alignment horizontal="left"/>
    </xf>
    <xf numFmtId="165" fontId="36" fillId="0" borderId="1" xfId="13" applyFont="1" applyBorder="1"/>
    <xf numFmtId="165" fontId="36" fillId="0" borderId="0" xfId="0" applyNumberFormat="1" applyFont="1"/>
    <xf numFmtId="165" fontId="37" fillId="0" borderId="0" xfId="0" applyNumberFormat="1" applyFont="1" applyAlignment="1">
      <alignment horizontal="center"/>
    </xf>
    <xf numFmtId="165" fontId="37" fillId="0" borderId="1" xfId="0" applyNumberFormat="1" applyFont="1" applyBorder="1" applyAlignment="1">
      <alignment horizontal="center"/>
    </xf>
    <xf numFmtId="165" fontId="36" fillId="0" borderId="1" xfId="0" applyNumberFormat="1" applyFont="1" applyBorder="1"/>
    <xf numFmtId="165" fontId="40" fillId="5" borderId="0" xfId="0" applyNumberFormat="1" applyFont="1" applyFill="1"/>
    <xf numFmtId="0" fontId="3" fillId="0" borderId="0" xfId="0" quotePrefix="1" applyFont="1"/>
    <xf numFmtId="171" fontId="44" fillId="0" borderId="0" xfId="0" applyNumberFormat="1" applyFont="1"/>
    <xf numFmtId="172" fontId="44" fillId="0" borderId="0" xfId="0" applyNumberFormat="1" applyFont="1"/>
    <xf numFmtId="166" fontId="3" fillId="0" borderId="0" xfId="0" applyNumberFormat="1" applyFont="1"/>
    <xf numFmtId="166" fontId="9" fillId="0" borderId="0" xfId="0" applyNumberFormat="1" applyFont="1" applyAlignment="1">
      <alignment horizontal="center"/>
    </xf>
    <xf numFmtId="1" fontId="0" fillId="0" borderId="0" xfId="0" applyNumberFormat="1"/>
    <xf numFmtId="166" fontId="0" fillId="0" borderId="0" xfId="0" applyNumberFormat="1"/>
    <xf numFmtId="166" fontId="7" fillId="5" borderId="0" xfId="0" applyNumberFormat="1" applyFont="1" applyFill="1" applyAlignment="1">
      <alignment horizontal="center"/>
    </xf>
    <xf numFmtId="166" fontId="7" fillId="5" borderId="0" xfId="0" applyNumberFormat="1" applyFont="1" applyFill="1"/>
    <xf numFmtId="166" fontId="33" fillId="5" borderId="0" xfId="0" applyNumberFormat="1" applyFont="1" applyFill="1"/>
    <xf numFmtId="165" fontId="36" fillId="0" borderId="0" xfId="13" applyFont="1" applyAlignment="1">
      <alignment horizontal="center"/>
    </xf>
    <xf numFmtId="0" fontId="45" fillId="0" borderId="0" xfId="0" applyFont="1"/>
    <xf numFmtId="0" fontId="36" fillId="0" borderId="0" xfId="0" applyFont="1"/>
    <xf numFmtId="0" fontId="19" fillId="0" borderId="0" xfId="0" applyFont="1" applyAlignment="1">
      <alignment horizontal="center"/>
    </xf>
    <xf numFmtId="0" fontId="37" fillId="0" borderId="0" xfId="0" applyFont="1" applyAlignment="1">
      <alignment horizontal="center"/>
    </xf>
    <xf numFmtId="0" fontId="19" fillId="5" borderId="0" xfId="0" applyFont="1" applyFill="1" applyAlignment="1">
      <alignment horizontal="center"/>
    </xf>
    <xf numFmtId="0" fontId="37" fillId="0" borderId="1" xfId="0" applyFont="1" applyBorder="1" applyAlignment="1">
      <alignment horizontal="center"/>
    </xf>
    <xf numFmtId="0" fontId="36" fillId="0" borderId="4" xfId="0" applyFont="1" applyBorder="1" applyAlignment="1">
      <alignment horizontal="center"/>
    </xf>
    <xf numFmtId="0" fontId="9" fillId="0" borderId="0" xfId="0" applyFont="1" applyAlignment="1" applyProtection="1">
      <alignment horizontal="center"/>
      <protection locked="0"/>
    </xf>
    <xf numFmtId="165" fontId="40" fillId="5" borderId="0" xfId="13" applyFont="1" applyFill="1"/>
    <xf numFmtId="165" fontId="36" fillId="0" borderId="0" xfId="15" applyFont="1" applyBorder="1"/>
    <xf numFmtId="165" fontId="36" fillId="0" borderId="1" xfId="15" applyFont="1" applyBorder="1"/>
    <xf numFmtId="165" fontId="36" fillId="0" borderId="3" xfId="13" applyFont="1" applyBorder="1"/>
    <xf numFmtId="0" fontId="37" fillId="0" borderId="0" xfId="0" applyFont="1"/>
    <xf numFmtId="165" fontId="37" fillId="0" borderId="0" xfId="15" applyFont="1" applyBorder="1" applyAlignment="1">
      <alignment horizontal="center"/>
    </xf>
    <xf numFmtId="4" fontId="36" fillId="0" borderId="0" xfId="0" applyNumberFormat="1" applyFont="1"/>
    <xf numFmtId="166" fontId="36" fillId="0" borderId="4" xfId="0" applyNumberFormat="1" applyFont="1" applyBorder="1" applyAlignment="1">
      <alignment horizontal="right"/>
    </xf>
    <xf numFmtId="166" fontId="36" fillId="0" borderId="0" xfId="13" applyNumberFormat="1" applyFont="1" applyAlignment="1">
      <alignment horizontal="right"/>
    </xf>
    <xf numFmtId="166" fontId="36" fillId="0" borderId="1" xfId="13" applyNumberFormat="1" applyFont="1" applyBorder="1" applyAlignment="1">
      <alignment horizontal="right"/>
    </xf>
    <xf numFmtId="166" fontId="36" fillId="0" borderId="3" xfId="13" applyNumberFormat="1" applyFont="1" applyBorder="1" applyAlignment="1">
      <alignment horizontal="right"/>
    </xf>
    <xf numFmtId="170" fontId="37" fillId="7" borderId="0" xfId="0" applyNumberFormat="1" applyFont="1" applyFill="1" applyAlignment="1">
      <alignment horizontal="center"/>
    </xf>
    <xf numFmtId="0" fontId="33" fillId="5" borderId="0" xfId="0" applyFont="1" applyFill="1" applyAlignment="1">
      <alignment horizontal="center"/>
    </xf>
    <xf numFmtId="0" fontId="7" fillId="5" borderId="0" xfId="0" applyFont="1" applyFill="1" applyAlignment="1">
      <alignment horizontal="left" indent="1"/>
    </xf>
    <xf numFmtId="0" fontId="41" fillId="5" borderId="0" xfId="0" applyFont="1" applyFill="1" applyAlignment="1">
      <alignment horizontal="left" indent="1"/>
    </xf>
    <xf numFmtId="0" fontId="19" fillId="0" borderId="0" xfId="0" applyFont="1"/>
    <xf numFmtId="0" fontId="9" fillId="0" borderId="0" xfId="0" applyFont="1" applyAlignment="1" applyProtection="1">
      <alignment horizontal="left"/>
      <protection locked="0"/>
    </xf>
    <xf numFmtId="0" fontId="41" fillId="0" borderId="0" xfId="0" applyFont="1"/>
    <xf numFmtId="166" fontId="36" fillId="0" borderId="0" xfId="7" applyFont="1" applyProtection="1"/>
    <xf numFmtId="166" fontId="36" fillId="0" borderId="1" xfId="7" applyFont="1" applyBorder="1" applyProtection="1"/>
    <xf numFmtId="0" fontId="47" fillId="0" borderId="0" xfId="0" applyFont="1"/>
    <xf numFmtId="166" fontId="9" fillId="8" borderId="0" xfId="7" applyFill="1">
      <protection locked="0"/>
    </xf>
    <xf numFmtId="166" fontId="9" fillId="8" borderId="1" xfId="7" applyFill="1" applyBorder="1">
      <protection locked="0"/>
    </xf>
    <xf numFmtId="166" fontId="36" fillId="8" borderId="0" xfId="7" applyFont="1" applyFill="1" applyProtection="1"/>
    <xf numFmtId="166" fontId="36" fillId="8" borderId="1" xfId="7" applyFont="1" applyFill="1" applyBorder="1" applyProtection="1"/>
    <xf numFmtId="166" fontId="20" fillId="8" borderId="0" xfId="8" applyFill="1" applyProtection="1"/>
    <xf numFmtId="166" fontId="46" fillId="0" borderId="0" xfId="8" applyFont="1" applyProtection="1"/>
    <xf numFmtId="1" fontId="36" fillId="0" borderId="0" xfId="0" applyNumberFormat="1" applyFont="1" applyAlignment="1">
      <alignment horizontal="left"/>
    </xf>
    <xf numFmtId="168" fontId="40" fillId="9" borderId="0" xfId="0" applyNumberFormat="1" applyFont="1" applyFill="1" applyAlignment="1">
      <alignment horizontal="left"/>
    </xf>
    <xf numFmtId="0" fontId="2" fillId="0" borderId="0" xfId="0" applyFont="1" applyAlignment="1">
      <alignment horizontal="center"/>
    </xf>
    <xf numFmtId="0" fontId="48" fillId="0" borderId="0" xfId="0" applyFont="1"/>
    <xf numFmtId="0" fontId="2" fillId="0" borderId="0" xfId="0" quotePrefix="1" applyFont="1"/>
    <xf numFmtId="0" fontId="2" fillId="0" borderId="0" xfId="0" applyFont="1"/>
    <xf numFmtId="165" fontId="37" fillId="0" borderId="0" xfId="14" applyFont="1" applyAlignment="1">
      <alignment horizontal="center"/>
    </xf>
    <xf numFmtId="0" fontId="50" fillId="0" borderId="0" xfId="0" applyFont="1" applyAlignment="1" applyProtection="1">
      <alignment horizontal="center"/>
      <protection locked="0"/>
    </xf>
    <xf numFmtId="170" fontId="37" fillId="0" borderId="0" xfId="0" applyNumberFormat="1" applyFont="1" applyAlignment="1">
      <alignment horizontal="center"/>
    </xf>
    <xf numFmtId="0" fontId="51" fillId="0" borderId="0" xfId="0" applyFont="1" applyAlignment="1">
      <alignment horizontal="center"/>
    </xf>
    <xf numFmtId="0" fontId="19" fillId="0" borderId="0" xfId="0" applyFont="1" applyAlignment="1" applyProtection="1">
      <alignment horizontal="center"/>
      <protection locked="0"/>
    </xf>
    <xf numFmtId="165" fontId="38" fillId="0" borderId="0" xfId="14" applyFont="1" applyAlignment="1">
      <alignment horizontal="center"/>
    </xf>
    <xf numFmtId="165" fontId="52" fillId="0" borderId="0" xfId="0" applyNumberFormat="1" applyFont="1" applyAlignment="1">
      <alignment horizontal="center"/>
    </xf>
    <xf numFmtId="0" fontId="3"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left" indent="1"/>
      <protection locked="0"/>
    </xf>
    <xf numFmtId="165" fontId="36" fillId="0" borderId="0" xfId="0" applyNumberFormat="1" applyFont="1" applyAlignment="1">
      <alignment horizontal="right"/>
    </xf>
    <xf numFmtId="165" fontId="36" fillId="0" borderId="0" xfId="14" applyFont="1"/>
    <xf numFmtId="169" fontId="36" fillId="9" borderId="0" xfId="0" applyNumberFormat="1" applyFont="1" applyFill="1" applyAlignment="1">
      <alignment horizontal="left"/>
    </xf>
    <xf numFmtId="0" fontId="53" fillId="0" borderId="0" xfId="0" applyFont="1"/>
    <xf numFmtId="0" fontId="36" fillId="0" borderId="0" xfId="0" applyFont="1" applyAlignment="1">
      <alignment horizontal="left"/>
    </xf>
    <xf numFmtId="0" fontId="33" fillId="5" borderId="0" xfId="0" applyFont="1" applyFill="1" applyAlignment="1" applyProtection="1">
      <alignment horizontal="center"/>
      <protection locked="0"/>
    </xf>
    <xf numFmtId="0" fontId="7" fillId="5" borderId="0" xfId="0" applyFont="1" applyFill="1" applyAlignment="1" applyProtection="1">
      <alignment horizontal="left" indent="1"/>
      <protection locked="0"/>
    </xf>
    <xf numFmtId="0" fontId="41" fillId="5" borderId="0" xfId="0" applyFont="1" applyFill="1" applyAlignment="1" applyProtection="1">
      <alignment horizontal="left" indent="1"/>
      <protection locked="0"/>
    </xf>
    <xf numFmtId="0" fontId="2" fillId="0" borderId="0" xfId="0" applyFont="1" applyAlignment="1" applyProtection="1">
      <alignment horizontal="left" indent="2"/>
      <protection locked="0"/>
    </xf>
    <xf numFmtId="0" fontId="2" fillId="0" borderId="0" xfId="0" applyFont="1" applyProtection="1">
      <protection locked="0"/>
    </xf>
    <xf numFmtId="165" fontId="36" fillId="0" borderId="0" xfId="14" applyFont="1" applyAlignment="1">
      <alignment horizontal="center"/>
    </xf>
    <xf numFmtId="165" fontId="37" fillId="0" borderId="0" xfId="16" applyFont="1" applyBorder="1" applyAlignment="1">
      <alignment horizontal="center"/>
    </xf>
    <xf numFmtId="0" fontId="0" fillId="0" borderId="0" xfId="0" applyAlignment="1" applyProtection="1">
      <alignment horizontal="left"/>
      <protection locked="0"/>
    </xf>
    <xf numFmtId="173" fontId="36" fillId="0" borderId="0" xfId="1" applyNumberFormat="1" applyFont="1" applyAlignment="1">
      <alignment horizontal="center"/>
    </xf>
    <xf numFmtId="173" fontId="37" fillId="0" borderId="0" xfId="1" applyNumberFormat="1" applyFont="1" applyAlignment="1">
      <alignment horizontal="center"/>
    </xf>
    <xf numFmtId="173" fontId="36" fillId="0" borderId="0" xfId="1" applyNumberFormat="1" applyFont="1"/>
    <xf numFmtId="173" fontId="36" fillId="0" borderId="0" xfId="1" applyNumberFormat="1" applyFont="1" applyAlignment="1">
      <alignment horizontal="right"/>
    </xf>
    <xf numFmtId="173" fontId="36" fillId="9" borderId="0" xfId="1" applyNumberFormat="1" applyFont="1" applyFill="1" applyAlignment="1">
      <alignment horizontal="center"/>
    </xf>
    <xf numFmtId="173" fontId="36" fillId="9" borderId="0" xfId="1" applyNumberFormat="1" applyFont="1" applyFill="1"/>
    <xf numFmtId="173" fontId="36" fillId="9" borderId="0" xfId="1" applyNumberFormat="1" applyFont="1" applyFill="1" applyAlignment="1">
      <alignment horizontal="right"/>
    </xf>
    <xf numFmtId="173" fontId="36" fillId="0" borderId="1" xfId="1" applyNumberFormat="1" applyFont="1" applyBorder="1"/>
    <xf numFmtId="173" fontId="36" fillId="0" borderId="1" xfId="1" applyNumberFormat="1" applyFont="1" applyBorder="1" applyAlignment="1">
      <alignment horizontal="right"/>
    </xf>
    <xf numFmtId="173" fontId="36" fillId="0" borderId="4" xfId="1" applyNumberFormat="1" applyFont="1" applyBorder="1" applyAlignment="1">
      <alignment horizontal="center"/>
    </xf>
    <xf numFmtId="173" fontId="36" fillId="0" borderId="4" xfId="1" applyNumberFormat="1" applyFont="1" applyBorder="1"/>
    <xf numFmtId="173" fontId="36" fillId="0" borderId="4" xfId="1" applyNumberFormat="1" applyFont="1" applyBorder="1" applyAlignment="1">
      <alignment horizontal="right"/>
    </xf>
    <xf numFmtId="173" fontId="36" fillId="0" borderId="0" xfId="1" applyNumberFormat="1" applyFont="1" applyBorder="1"/>
    <xf numFmtId="173" fontId="40" fillId="5" borderId="0" xfId="1" applyNumberFormat="1" applyFont="1" applyFill="1" applyAlignment="1">
      <alignment horizontal="center"/>
    </xf>
    <xf numFmtId="173" fontId="40" fillId="5" borderId="0" xfId="1" applyNumberFormat="1" applyFont="1" applyFill="1"/>
    <xf numFmtId="173" fontId="40" fillId="5" borderId="0" xfId="1" applyNumberFormat="1" applyFont="1" applyFill="1" applyAlignment="1">
      <alignment horizontal="right"/>
    </xf>
    <xf numFmtId="173" fontId="36" fillId="0" borderId="1" xfId="1" applyNumberFormat="1" applyFont="1" applyBorder="1" applyAlignment="1">
      <alignment horizontal="center"/>
    </xf>
    <xf numFmtId="173" fontId="36" fillId="0" borderId="3" xfId="1" applyNumberFormat="1" applyFont="1" applyBorder="1"/>
    <xf numFmtId="173" fontId="36" fillId="0" borderId="3" xfId="1" applyNumberFormat="1" applyFont="1" applyBorder="1" applyAlignment="1">
      <alignment horizontal="right"/>
    </xf>
    <xf numFmtId="1" fontId="0" fillId="0" borderId="0" xfId="0" applyNumberFormat="1" applyProtection="1">
      <protection locked="0"/>
    </xf>
    <xf numFmtId="0" fontId="2" fillId="0" borderId="0" xfId="0" applyFont="1" applyAlignment="1" applyProtection="1">
      <alignment horizontal="left"/>
      <protection locked="0"/>
    </xf>
    <xf numFmtId="0" fontId="0" fillId="7" borderId="0" xfId="0" applyFill="1" applyProtection="1">
      <protection locked="0"/>
    </xf>
    <xf numFmtId="0" fontId="9" fillId="7" borderId="0" xfId="0" applyFont="1" applyFill="1" applyProtection="1">
      <protection locked="0"/>
    </xf>
    <xf numFmtId="0" fontId="7" fillId="5" borderId="0" xfId="0" applyFont="1" applyFill="1" applyAlignment="1" applyProtection="1">
      <alignment horizontal="center"/>
      <protection locked="0"/>
    </xf>
    <xf numFmtId="0" fontId="41" fillId="5" borderId="0" xfId="0" applyFont="1" applyFill="1" applyProtection="1">
      <protection locked="0"/>
    </xf>
    <xf numFmtId="0" fontId="7" fillId="5" borderId="0" xfId="0" applyFont="1" applyFill="1" applyProtection="1">
      <protection locked="0"/>
    </xf>
    <xf numFmtId="173" fontId="54" fillId="0" borderId="0" xfId="1" applyNumberFormat="1" applyFont="1"/>
    <xf numFmtId="173" fontId="33" fillId="5" borderId="0" xfId="1" applyNumberFormat="1" applyFont="1" applyFill="1" applyProtection="1">
      <protection locked="0"/>
    </xf>
    <xf numFmtId="173" fontId="9" fillId="0" borderId="0" xfId="1" applyNumberFormat="1" applyFont="1"/>
    <xf numFmtId="0" fontId="9" fillId="0" borderId="0" xfId="0" applyFont="1" applyProtection="1">
      <protection locked="0"/>
    </xf>
    <xf numFmtId="173" fontId="9" fillId="0" borderId="0" xfId="1" applyNumberFormat="1" applyFont="1" applyProtection="1">
      <protection locked="0"/>
    </xf>
    <xf numFmtId="173" fontId="9" fillId="0" borderId="4" xfId="1" applyNumberFormat="1" applyFont="1" applyBorder="1" applyProtection="1">
      <protection locked="0"/>
    </xf>
    <xf numFmtId="173" fontId="9" fillId="0" borderId="1" xfId="1" applyNumberFormat="1" applyFont="1" applyBorder="1" applyProtection="1">
      <protection locked="0"/>
    </xf>
    <xf numFmtId="173" fontId="9" fillId="0" borderId="3" xfId="1" applyNumberFormat="1" applyFont="1" applyBorder="1" applyProtection="1">
      <protection locked="0"/>
    </xf>
    <xf numFmtId="0" fontId="0" fillId="0" borderId="0" xfId="0" quotePrefix="1" applyAlignment="1">
      <alignment horizontal="center" vertical="center"/>
    </xf>
    <xf numFmtId="0" fontId="2" fillId="10" borderId="0" xfId="0" applyFont="1" applyFill="1" applyAlignment="1">
      <alignment horizontal="left" indent="1"/>
    </xf>
    <xf numFmtId="0" fontId="0" fillId="10" borderId="0" xfId="0" applyFill="1"/>
    <xf numFmtId="41" fontId="0" fillId="10" borderId="0" xfId="0" applyNumberFormat="1" applyFill="1"/>
    <xf numFmtId="0" fontId="55" fillId="0" borderId="0" xfId="0" applyFont="1" applyAlignment="1">
      <alignment horizontal="center"/>
    </xf>
    <xf numFmtId="0" fontId="2" fillId="0" borderId="0" xfId="0" applyFont="1" applyAlignment="1">
      <alignment horizontal="left" indent="1"/>
    </xf>
    <xf numFmtId="173" fontId="17" fillId="0" borderId="4" xfId="1" applyNumberFormat="1" applyFont="1" applyFill="1" applyBorder="1" applyAlignment="1">
      <alignment horizontal="center"/>
    </xf>
    <xf numFmtId="43" fontId="17" fillId="0" borderId="4" xfId="1" applyFont="1" applyFill="1" applyBorder="1" applyAlignment="1">
      <alignment horizontal="center"/>
    </xf>
    <xf numFmtId="173" fontId="2" fillId="0" borderId="4" xfId="0" applyNumberFormat="1" applyFont="1" applyBorder="1"/>
    <xf numFmtId="43" fontId="17" fillId="0" borderId="0" xfId="1" applyFont="1" applyFill="1" applyBorder="1" applyAlignment="1" applyProtection="1">
      <alignment horizontal="center"/>
      <protection locked="0"/>
    </xf>
    <xf numFmtId="43" fontId="17" fillId="0" borderId="1" xfId="1" applyFont="1" applyFill="1" applyBorder="1" applyAlignment="1" applyProtection="1">
      <alignment horizontal="center"/>
      <protection locked="0"/>
    </xf>
    <xf numFmtId="173" fontId="2" fillId="0" borderId="0" xfId="0" applyNumberFormat="1" applyFont="1"/>
    <xf numFmtId="173" fontId="2" fillId="0" borderId="1" xfId="0" applyNumberFormat="1" applyFont="1" applyBorder="1"/>
    <xf numFmtId="0" fontId="56" fillId="0" borderId="0" xfId="0" applyFont="1"/>
    <xf numFmtId="0" fontId="0" fillId="0" borderId="0" xfId="0" applyAlignment="1">
      <alignment horizontal="center" vertical="center"/>
    </xf>
    <xf numFmtId="0" fontId="58" fillId="0" borderId="0" xfId="0" applyFont="1" applyAlignment="1">
      <alignment horizontal="left" vertical="center"/>
    </xf>
    <xf numFmtId="0" fontId="37" fillId="0" borderId="0" xfId="0" applyFont="1" applyAlignment="1">
      <alignment horizontal="center" vertical="center"/>
    </xf>
    <xf numFmtId="0" fontId="59" fillId="0" borderId="0" xfId="0" applyFont="1" applyAlignment="1">
      <alignment horizontal="center" vertical="center"/>
    </xf>
    <xf numFmtId="0" fontId="59" fillId="0" borderId="0" xfId="0" applyFont="1"/>
    <xf numFmtId="0" fontId="57" fillId="11" borderId="7" xfId="0" applyFont="1" applyFill="1" applyBorder="1"/>
    <xf numFmtId="170" fontId="27" fillId="7" borderId="0" xfId="8" applyNumberFormat="1" applyFont="1" applyFill="1" applyAlignment="1" applyProtection="1">
      <alignment horizontal="center"/>
    </xf>
    <xf numFmtId="0" fontId="37" fillId="0" borderId="1" xfId="0" applyFont="1" applyBorder="1" applyAlignment="1">
      <alignment horizontal="center" wrapText="1"/>
    </xf>
    <xf numFmtId="0" fontId="15" fillId="0" borderId="0" xfId="0" applyFont="1" applyAlignment="1">
      <alignment horizontal="center"/>
    </xf>
    <xf numFmtId="0" fontId="14" fillId="0" borderId="0" xfId="0" applyFont="1" applyAlignment="1">
      <alignment horizontal="center"/>
    </xf>
    <xf numFmtId="0" fontId="2" fillId="0" borderId="0" xfId="0" applyFont="1" applyAlignment="1">
      <alignment horizontal="left"/>
    </xf>
    <xf numFmtId="42" fontId="9" fillId="0" borderId="0" xfId="1" applyNumberFormat="1" applyFont="1" applyProtection="1">
      <protection locked="0"/>
    </xf>
    <xf numFmtId="42" fontId="9" fillId="0" borderId="0" xfId="1" applyNumberFormat="1" applyFont="1"/>
    <xf numFmtId="41" fontId="9" fillId="0" borderId="0" xfId="1" applyNumberFormat="1" applyFont="1" applyProtection="1">
      <protection locked="0"/>
    </xf>
    <xf numFmtId="41" fontId="9" fillId="0" borderId="0" xfId="1" applyNumberFormat="1" applyFont="1"/>
    <xf numFmtId="41" fontId="9" fillId="0" borderId="1" xfId="1" applyNumberFormat="1" applyFont="1" applyBorder="1" applyProtection="1">
      <protection locked="0"/>
    </xf>
    <xf numFmtId="41" fontId="9" fillId="0" borderId="1" xfId="1" applyNumberFormat="1" applyFont="1" applyBorder="1"/>
    <xf numFmtId="0" fontId="9" fillId="0" borderId="0" xfId="0" applyFont="1" applyAlignment="1">
      <alignment horizontal="left" indent="2"/>
    </xf>
    <xf numFmtId="41" fontId="9" fillId="0" borderId="4" xfId="1" applyNumberFormat="1" applyFont="1" applyBorder="1"/>
    <xf numFmtId="42" fontId="9" fillId="0" borderId="3" xfId="1" applyNumberFormat="1" applyFont="1" applyBorder="1"/>
    <xf numFmtId="0" fontId="2" fillId="0" borderId="0" xfId="0" quotePrefix="1" applyFont="1" applyAlignment="1">
      <alignment horizontal="center"/>
    </xf>
    <xf numFmtId="0" fontId="30" fillId="6" borderId="0" xfId="0" applyFont="1" applyFill="1" applyAlignment="1">
      <alignment horizontal="left"/>
    </xf>
    <xf numFmtId="0" fontId="30" fillId="0" borderId="0" xfId="0" applyFont="1" applyAlignment="1">
      <alignment horizontal="left"/>
    </xf>
    <xf numFmtId="0" fontId="2" fillId="0" borderId="1" xfId="0" applyFont="1" applyBorder="1"/>
    <xf numFmtId="0" fontId="2" fillId="0" borderId="0" xfId="0" applyFont="1" applyAlignment="1">
      <alignment horizontal="left" indent="2"/>
    </xf>
    <xf numFmtId="173" fontId="2" fillId="0" borderId="3" xfId="1" applyNumberFormat="1" applyFont="1" applyBorder="1"/>
    <xf numFmtId="173" fontId="2" fillId="0" borderId="0" xfId="1" applyNumberFormat="1" applyFont="1"/>
    <xf numFmtId="166" fontId="2" fillId="0" borderId="0" xfId="0" applyNumberFormat="1" applyFont="1" applyAlignment="1">
      <alignment horizontal="center"/>
    </xf>
    <xf numFmtId="166" fontId="2" fillId="0" borderId="0" xfId="0" applyNumberFormat="1" applyFont="1" applyAlignment="1">
      <alignment horizontal="left"/>
    </xf>
    <xf numFmtId="166" fontId="2" fillId="0" borderId="0" xfId="0" applyNumberFormat="1" applyFont="1" applyAlignment="1">
      <alignment horizontal="left" indent="2"/>
    </xf>
    <xf numFmtId="166" fontId="2" fillId="0" borderId="0" xfId="0" applyNumberFormat="1" applyFont="1"/>
    <xf numFmtId="173" fontId="0" fillId="0" borderId="0" xfId="0" applyNumberFormat="1" applyProtection="1">
      <protection locked="0"/>
    </xf>
    <xf numFmtId="173" fontId="46" fillId="0" borderId="0" xfId="1" applyNumberFormat="1" applyFont="1" applyProtection="1">
      <protection locked="0"/>
    </xf>
    <xf numFmtId="173" fontId="36" fillId="0" borderId="0" xfId="1" applyNumberFormat="1" applyFont="1" applyFill="1" applyAlignment="1">
      <alignment horizontal="center"/>
    </xf>
    <xf numFmtId="173" fontId="9" fillId="0" borderId="0" xfId="1" applyNumberFormat="1" applyFont="1" applyProtection="1"/>
    <xf numFmtId="173" fontId="9" fillId="0" borderId="0" xfId="1" applyNumberFormat="1" applyFont="1" applyFill="1" applyProtection="1"/>
    <xf numFmtId="173" fontId="9" fillId="0" borderId="4" xfId="1" applyNumberFormat="1" applyFont="1" applyBorder="1" applyProtection="1"/>
    <xf numFmtId="173" fontId="33" fillId="5" borderId="0" xfId="1" applyNumberFormat="1" applyFont="1" applyFill="1" applyProtection="1"/>
    <xf numFmtId="173" fontId="9" fillId="0" borderId="1" xfId="1" applyNumberFormat="1" applyFont="1" applyBorder="1" applyProtection="1"/>
    <xf numFmtId="173" fontId="33" fillId="0" borderId="1" xfId="1" applyNumberFormat="1" applyFont="1" applyBorder="1" applyProtection="1"/>
    <xf numFmtId="173" fontId="9" fillId="0" borderId="3" xfId="1" applyNumberFormat="1" applyFont="1" applyBorder="1" applyProtection="1"/>
    <xf numFmtId="166" fontId="9" fillId="8" borderId="0" xfId="7" applyFill="1" applyProtection="1"/>
    <xf numFmtId="166" fontId="9" fillId="0" borderId="0" xfId="7" applyProtection="1"/>
    <xf numFmtId="166" fontId="9" fillId="0" borderId="0" xfId="0" applyNumberFormat="1" applyFont="1"/>
    <xf numFmtId="166" fontId="0" fillId="0" borderId="4" xfId="0" applyNumberFormat="1" applyBorder="1"/>
    <xf numFmtId="166" fontId="9" fillId="0" borderId="4" xfId="0" applyNumberFormat="1" applyFont="1" applyBorder="1"/>
    <xf numFmtId="166" fontId="33" fillId="8" borderId="0" xfId="0" applyNumberFormat="1" applyFont="1" applyFill="1"/>
    <xf numFmtId="166" fontId="0" fillId="8" borderId="1" xfId="0" applyNumberFormat="1" applyFill="1" applyBorder="1"/>
    <xf numFmtId="166" fontId="9" fillId="0" borderId="1" xfId="7" applyBorder="1" applyProtection="1"/>
    <xf numFmtId="166" fontId="9" fillId="8" borderId="1" xfId="7" applyFill="1" applyBorder="1" applyProtection="1"/>
    <xf numFmtId="166" fontId="9" fillId="0" borderId="1" xfId="0" applyNumberFormat="1" applyFont="1" applyBorder="1"/>
    <xf numFmtId="166" fontId="0" fillId="0" borderId="1" xfId="0" applyNumberFormat="1" applyBorder="1"/>
    <xf numFmtId="166" fontId="0" fillId="8" borderId="0" xfId="0" applyNumberFormat="1" applyFill="1"/>
    <xf numFmtId="166" fontId="0" fillId="0" borderId="3" xfId="0" applyNumberFormat="1" applyBorder="1"/>
    <xf numFmtId="166" fontId="9" fillId="0" borderId="3" xfId="0" applyNumberFormat="1" applyFont="1" applyBorder="1"/>
    <xf numFmtId="166" fontId="0" fillId="0" borderId="0" xfId="0" applyNumberFormat="1" applyAlignment="1">
      <alignment horizontal="center"/>
    </xf>
    <xf numFmtId="0" fontId="3" fillId="0" borderId="0" xfId="0" applyFont="1" applyAlignment="1">
      <alignment vertical="top"/>
    </xf>
    <xf numFmtId="0" fontId="64" fillId="0" borderId="0" xfId="0" applyFont="1" applyAlignment="1">
      <alignment horizontal="left"/>
    </xf>
    <xf numFmtId="0" fontId="64" fillId="0" borderId="0" xfId="0" applyFont="1"/>
    <xf numFmtId="175" fontId="64" fillId="0" borderId="0" xfId="0" applyNumberFormat="1" applyFont="1" applyAlignment="1">
      <alignment horizontal="center"/>
    </xf>
    <xf numFmtId="0" fontId="15" fillId="0" borderId="2" xfId="0" applyFont="1" applyBorder="1" applyAlignment="1">
      <alignment horizontal="center" wrapText="1"/>
    </xf>
    <xf numFmtId="0" fontId="15" fillId="0" borderId="2" xfId="0" applyFont="1" applyBorder="1" applyAlignment="1">
      <alignment horizontal="center"/>
    </xf>
    <xf numFmtId="14" fontId="64" fillId="0" borderId="0" xfId="0" applyNumberFormat="1" applyFont="1" applyAlignment="1">
      <alignment horizontal="center"/>
    </xf>
    <xf numFmtId="0" fontId="64" fillId="0" borderId="0" xfId="0" applyFont="1" applyAlignment="1">
      <alignment horizontal="center"/>
    </xf>
    <xf numFmtId="49" fontId="64" fillId="0" borderId="0" xfId="0" applyNumberFormat="1" applyFont="1" applyAlignment="1">
      <alignment horizontal="left" wrapText="1"/>
    </xf>
    <xf numFmtId="49" fontId="64" fillId="0" borderId="0" xfId="0" applyNumberFormat="1" applyFont="1" applyAlignment="1">
      <alignment horizontal="center" wrapText="1"/>
    </xf>
    <xf numFmtId="0" fontId="65" fillId="0" borderId="0" xfId="0" applyFont="1" applyProtection="1">
      <protection locked="0"/>
    </xf>
    <xf numFmtId="0" fontId="0" fillId="0" borderId="0" xfId="0" applyAlignment="1">
      <alignment horizontal="center" vertical="center" wrapText="1"/>
    </xf>
    <xf numFmtId="0" fontId="0" fillId="0" borderId="0" xfId="0" applyAlignment="1">
      <alignment vertical="center"/>
    </xf>
    <xf numFmtId="0" fontId="65" fillId="0" borderId="0" xfId="0" applyFont="1" applyAlignment="1" applyProtection="1">
      <alignment vertical="top"/>
      <protection locked="0"/>
    </xf>
    <xf numFmtId="166" fontId="9" fillId="0" borderId="0" xfId="6" applyFont="1" applyProtection="1"/>
    <xf numFmtId="166" fontId="9" fillId="8" borderId="0" xfId="6" applyFont="1" applyFill="1" applyProtection="1"/>
    <xf numFmtId="166" fontId="9" fillId="8" borderId="0" xfId="8" applyFont="1" applyFill="1" applyProtection="1"/>
    <xf numFmtId="173" fontId="37" fillId="0" borderId="0" xfId="0" applyNumberFormat="1" applyFont="1" applyAlignment="1">
      <alignment horizontal="center"/>
    </xf>
    <xf numFmtId="43" fontId="0" fillId="0" borderId="0" xfId="1" applyFont="1" applyProtection="1">
      <protection locked="0"/>
    </xf>
    <xf numFmtId="173" fontId="36" fillId="0" borderId="4" xfId="1" applyNumberFormat="1" applyFont="1" applyFill="1" applyBorder="1" applyAlignment="1">
      <alignment horizontal="center"/>
    </xf>
    <xf numFmtId="173" fontId="36" fillId="0" borderId="0" xfId="1" applyNumberFormat="1" applyFont="1" applyFill="1"/>
    <xf numFmtId="173" fontId="36" fillId="0" borderId="1" xfId="1" applyNumberFormat="1" applyFont="1" applyFill="1" applyBorder="1" applyAlignment="1">
      <alignment horizontal="center"/>
    </xf>
    <xf numFmtId="173" fontId="36" fillId="0" borderId="1" xfId="1" applyNumberFormat="1" applyFont="1" applyFill="1" applyBorder="1"/>
    <xf numFmtId="173" fontId="36" fillId="0" borderId="3" xfId="1" applyNumberFormat="1" applyFont="1" applyFill="1" applyBorder="1"/>
    <xf numFmtId="2" fontId="0" fillId="0" borderId="0" xfId="0" applyNumberFormat="1"/>
    <xf numFmtId="176" fontId="0" fillId="0" borderId="0" xfId="0" applyNumberFormat="1"/>
    <xf numFmtId="173" fontId="40" fillId="9" borderId="0" xfId="1" applyNumberFormat="1" applyFont="1" applyFill="1" applyAlignment="1">
      <alignment horizontal="center"/>
    </xf>
    <xf numFmtId="0" fontId="3" fillId="6" borderId="6" xfId="0" applyFont="1" applyFill="1" applyBorder="1"/>
    <xf numFmtId="0" fontId="2" fillId="3" borderId="0" xfId="0" applyFont="1" applyFill="1" applyAlignment="1" applyProtection="1">
      <alignment horizontal="center"/>
      <protection locked="0"/>
    </xf>
    <xf numFmtId="0" fontId="0" fillId="3" borderId="0" xfId="0" applyFill="1" applyAlignment="1" applyProtection="1">
      <alignment horizontal="left" wrapText="1"/>
      <protection locked="0"/>
    </xf>
    <xf numFmtId="0" fontId="0" fillId="0" borderId="0" xfId="0" applyAlignment="1">
      <alignment wrapText="1"/>
    </xf>
    <xf numFmtId="0" fontId="0" fillId="3" borderId="0" xfId="0" quotePrefix="1" applyFill="1" applyAlignment="1" applyProtection="1">
      <alignment horizontal="left" wrapText="1"/>
      <protection locked="0"/>
    </xf>
    <xf numFmtId="0" fontId="0" fillId="0" borderId="0" xfId="0" quotePrefix="1" applyAlignment="1">
      <alignment wrapText="1"/>
    </xf>
    <xf numFmtId="0" fontId="9"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vertical="center" wrapText="1"/>
    </xf>
    <xf numFmtId="0" fontId="16" fillId="0" borderId="0" xfId="0" applyFont="1" applyAlignment="1">
      <alignment horizontal="center" vertical="center" wrapText="1"/>
    </xf>
    <xf numFmtId="0" fontId="48" fillId="0" borderId="0" xfId="0" applyFont="1" applyAlignment="1">
      <alignment vertical="center" wrapText="1"/>
    </xf>
    <xf numFmtId="0" fontId="9" fillId="0" borderId="0" xfId="0" applyFont="1" applyAlignment="1">
      <alignment horizontal="left"/>
    </xf>
    <xf numFmtId="0" fontId="3" fillId="20" borderId="0" xfId="0" applyFont="1" applyFill="1" applyAlignment="1">
      <alignment horizontal="center" vertical="center" wrapText="1"/>
    </xf>
    <xf numFmtId="0" fontId="3" fillId="21" borderId="7" xfId="0" applyFont="1" applyFill="1" applyBorder="1" applyAlignment="1">
      <alignment vertical="center"/>
    </xf>
    <xf numFmtId="0" fontId="68" fillId="0" borderId="0" xfId="0" applyFont="1"/>
    <xf numFmtId="0" fontId="48" fillId="0" borderId="0" xfId="0" applyFont="1" applyAlignment="1">
      <alignment horizontal="center" vertical="center" wrapText="1"/>
    </xf>
    <xf numFmtId="44" fontId="48" fillId="0" borderId="0" xfId="19" applyFont="1" applyFill="1" applyBorder="1" applyAlignment="1" applyProtection="1">
      <alignment horizontal="center" vertical="center" wrapText="1"/>
    </xf>
    <xf numFmtId="0" fontId="2" fillId="13" borderId="7" xfId="0" applyFont="1" applyFill="1" applyBorder="1" applyAlignment="1">
      <alignment horizontal="center" vertical="center" wrapText="1"/>
    </xf>
    <xf numFmtId="0" fontId="69" fillId="0" borderId="0" xfId="0" applyFont="1" applyProtection="1">
      <protection hidden="1"/>
    </xf>
    <xf numFmtId="0" fontId="26" fillId="0" borderId="0" xfId="0" applyFont="1" applyProtection="1">
      <protection hidden="1"/>
    </xf>
    <xf numFmtId="0" fontId="3" fillId="0" borderId="0" xfId="0" applyFont="1" applyAlignment="1">
      <alignment horizontal="left" indent="1"/>
    </xf>
    <xf numFmtId="0" fontId="2" fillId="0" borderId="7" xfId="0" applyFont="1" applyBorder="1" applyAlignment="1">
      <alignment vertical="center"/>
    </xf>
    <xf numFmtId="44" fontId="2" fillId="0" borderId="11" xfId="19" applyFont="1" applyFill="1" applyBorder="1" applyAlignment="1" applyProtection="1">
      <alignment horizontal="left" vertical="center" wrapText="1"/>
      <protection locked="0"/>
    </xf>
    <xf numFmtId="0" fontId="2" fillId="17" borderId="7" xfId="0" applyFont="1" applyFill="1" applyBorder="1" applyAlignment="1">
      <alignment vertical="center"/>
    </xf>
    <xf numFmtId="0" fontId="3" fillId="8" borderId="7" xfId="0" applyFont="1" applyFill="1" applyBorder="1" applyAlignment="1">
      <alignment vertical="center"/>
    </xf>
    <xf numFmtId="0" fontId="2" fillId="17" borderId="7" xfId="0" applyFont="1" applyFill="1" applyBorder="1" applyAlignment="1">
      <alignment horizontal="center" vertical="center"/>
    </xf>
    <xf numFmtId="0" fontId="3" fillId="8" borderId="9" xfId="0" applyFont="1" applyFill="1" applyBorder="1" applyAlignment="1">
      <alignment horizontal="center" vertical="center"/>
    </xf>
    <xf numFmtId="0" fontId="2" fillId="0" borderId="7" xfId="0" applyFont="1" applyBorder="1" applyAlignment="1" applyProtection="1">
      <alignment horizontal="left" vertical="center" wrapText="1"/>
      <protection locked="0"/>
    </xf>
    <xf numFmtId="43" fontId="2" fillId="0" borderId="7" xfId="1" applyFont="1" applyBorder="1" applyAlignment="1" applyProtection="1">
      <alignment vertical="center" wrapText="1"/>
      <protection locked="0"/>
    </xf>
    <xf numFmtId="44" fontId="48" fillId="0" borderId="0" xfId="0" applyNumberFormat="1" applyFont="1" applyAlignment="1">
      <alignment horizontal="center" vertical="center"/>
    </xf>
    <xf numFmtId="0" fontId="3" fillId="8" borderId="9" xfId="0" applyFont="1" applyFill="1" applyBorder="1" applyAlignment="1">
      <alignment horizontal="center" vertical="center" wrapText="1"/>
    </xf>
    <xf numFmtId="0" fontId="0" fillId="0" borderId="0" xfId="25" applyFont="1"/>
    <xf numFmtId="0" fontId="9" fillId="0" borderId="0" xfId="25" applyFont="1"/>
    <xf numFmtId="41" fontId="0" fillId="0" borderId="0" xfId="25" applyNumberFormat="1" applyFont="1" applyProtection="1">
      <protection locked="0"/>
    </xf>
    <xf numFmtId="41" fontId="0" fillId="0" borderId="0" xfId="25" applyNumberFormat="1" applyFont="1"/>
    <xf numFmtId="41" fontId="0" fillId="0" borderId="1" xfId="25" applyNumberFormat="1" applyFont="1" applyBorder="1" applyProtection="1">
      <protection locked="0"/>
    </xf>
    <xf numFmtId="173" fontId="17" fillId="0" borderId="0" xfId="1" applyNumberFormat="1" applyFont="1" applyAlignment="1" applyProtection="1">
      <alignment horizontal="center"/>
      <protection locked="0"/>
    </xf>
    <xf numFmtId="173" fontId="17" fillId="0" borderId="1" xfId="1" applyNumberFormat="1" applyFont="1" applyBorder="1" applyAlignment="1" applyProtection="1">
      <alignment horizontal="center"/>
      <protection locked="0"/>
    </xf>
    <xf numFmtId="43" fontId="17" fillId="0" borderId="0" xfId="1" applyFont="1" applyAlignment="1" applyProtection="1">
      <alignment horizontal="center"/>
      <protection locked="0"/>
    </xf>
    <xf numFmtId="43" fontId="17" fillId="0" borderId="1" xfId="1" applyFont="1" applyBorder="1" applyAlignment="1" applyProtection="1">
      <alignment horizontal="center"/>
      <protection locked="0"/>
    </xf>
    <xf numFmtId="0" fontId="74" fillId="0" borderId="0" xfId="0" applyFont="1" applyAlignment="1">
      <alignment horizontal="center"/>
    </xf>
    <xf numFmtId="0" fontId="75" fillId="0" borderId="0" xfId="0" applyFont="1"/>
    <xf numFmtId="0" fontId="9" fillId="7" borderId="0" xfId="0" applyFont="1" applyFill="1"/>
    <xf numFmtId="0" fontId="0" fillId="7" borderId="0" xfId="0" applyFill="1"/>
    <xf numFmtId="0" fontId="0" fillId="21" borderId="0" xfId="0" applyFill="1"/>
    <xf numFmtId="0" fontId="26" fillId="21" borderId="0" xfId="0" applyFont="1" applyFill="1" applyProtection="1">
      <protection hidden="1"/>
    </xf>
    <xf numFmtId="0" fontId="26" fillId="7" borderId="0" xfId="0" applyFont="1" applyFill="1" applyProtection="1">
      <protection hidden="1"/>
    </xf>
    <xf numFmtId="0" fontId="3" fillId="16" borderId="14" xfId="0" applyFont="1" applyFill="1" applyBorder="1" applyAlignment="1">
      <alignment horizontal="center"/>
    </xf>
    <xf numFmtId="0" fontId="3" fillId="16" borderId="2" xfId="0" applyFont="1" applyFill="1" applyBorder="1" applyAlignment="1">
      <alignment horizontal="center"/>
    </xf>
    <xf numFmtId="0" fontId="3" fillId="16" borderId="15" xfId="0" applyFont="1" applyFill="1" applyBorder="1" applyAlignment="1">
      <alignment horizontal="center"/>
    </xf>
    <xf numFmtId="0" fontId="3" fillId="15" borderId="0" xfId="0" applyFont="1" applyFill="1" applyAlignment="1">
      <alignment horizontal="left" indent="3"/>
    </xf>
    <xf numFmtId="41" fontId="3" fillId="15" borderId="0" xfId="0" applyNumberFormat="1" applyFont="1" applyFill="1"/>
    <xf numFmtId="41" fontId="3" fillId="15" borderId="18" xfId="0" applyNumberFormat="1" applyFont="1" applyFill="1" applyBorder="1"/>
    <xf numFmtId="41" fontId="0" fillId="15" borderId="16" xfId="0" applyNumberFormat="1" applyFill="1" applyBorder="1"/>
    <xf numFmtId="41" fontId="0" fillId="15" borderId="17" xfId="0" applyNumberFormat="1" applyFill="1" applyBorder="1"/>
    <xf numFmtId="41" fontId="0" fillId="15" borderId="18" xfId="0" applyNumberFormat="1" applyFill="1" applyBorder="1"/>
    <xf numFmtId="0" fontId="3" fillId="8" borderId="8" xfId="0" applyFont="1" applyFill="1" applyBorder="1" applyAlignment="1">
      <alignment vertical="center"/>
    </xf>
    <xf numFmtId="0" fontId="3" fillId="8" borderId="4" xfId="0" applyFont="1" applyFill="1" applyBorder="1" applyAlignment="1">
      <alignment vertical="center"/>
    </xf>
    <xf numFmtId="0" fontId="2" fillId="12" borderId="19" xfId="0" quotePrefix="1" applyFont="1" applyFill="1" applyBorder="1" applyAlignment="1">
      <alignment vertical="center"/>
    </xf>
    <xf numFmtId="0" fontId="2" fillId="23" borderId="8" xfId="0" applyFont="1" applyFill="1" applyBorder="1" applyAlignment="1">
      <alignment vertical="center"/>
    </xf>
    <xf numFmtId="0" fontId="2" fillId="23" borderId="4" xfId="0" applyFont="1" applyFill="1" applyBorder="1" applyAlignment="1">
      <alignment vertical="center"/>
    </xf>
    <xf numFmtId="44" fontId="2" fillId="0" borderId="11" xfId="19" applyFont="1" applyFill="1" applyBorder="1" applyAlignment="1" applyProtection="1">
      <alignment horizontal="center" vertical="center"/>
    </xf>
    <xf numFmtId="43" fontId="2" fillId="0" borderId="7" xfId="1" applyFont="1" applyBorder="1" applyAlignment="1" applyProtection="1">
      <alignment vertical="center"/>
    </xf>
    <xf numFmtId="44" fontId="2" fillId="16" borderId="11" xfId="19" applyFont="1" applyFill="1" applyBorder="1" applyAlignment="1" applyProtection="1">
      <alignment horizontal="center" vertical="center"/>
      <protection locked="0"/>
    </xf>
    <xf numFmtId="43" fontId="2" fillId="16" borderId="7" xfId="1" applyFont="1" applyFill="1" applyBorder="1" applyAlignment="1" applyProtection="1">
      <alignment vertical="center"/>
      <protection locked="0"/>
    </xf>
    <xf numFmtId="0" fontId="0" fillId="6" borderId="0" xfId="0" applyFill="1"/>
    <xf numFmtId="0" fontId="26" fillId="6" borderId="0" xfId="0" applyFont="1" applyFill="1" applyProtection="1">
      <protection hidden="1"/>
    </xf>
    <xf numFmtId="0" fontId="69" fillId="6" borderId="0" xfId="0" applyFont="1" applyFill="1" applyProtection="1">
      <protection hidden="1"/>
    </xf>
    <xf numFmtId="0" fontId="9" fillId="6" borderId="0" xfId="0" applyFont="1" applyFill="1" applyAlignment="1">
      <alignment horizontal="center"/>
    </xf>
    <xf numFmtId="0" fontId="0" fillId="6" borderId="0" xfId="0" applyFill="1" applyAlignment="1">
      <alignment horizontal="left" indent="1"/>
    </xf>
    <xf numFmtId="0" fontId="75" fillId="6" borderId="0" xfId="0" applyFont="1" applyFill="1"/>
    <xf numFmtId="0" fontId="5" fillId="11" borderId="0" xfId="0" applyFont="1" applyFill="1"/>
    <xf numFmtId="0" fontId="0" fillId="11" borderId="0" xfId="0" applyFill="1"/>
    <xf numFmtId="0" fontId="0" fillId="19" borderId="0" xfId="0" applyFill="1"/>
    <xf numFmtId="0" fontId="9" fillId="19" borderId="0" xfId="0" applyFont="1" applyFill="1" applyAlignment="1">
      <alignment horizontal="center"/>
    </xf>
    <xf numFmtId="0" fontId="9" fillId="19" borderId="0" xfId="0" applyFont="1" applyFill="1"/>
    <xf numFmtId="0" fontId="9" fillId="19" borderId="0" xfId="0" quotePrefix="1" applyFont="1" applyFill="1" applyAlignment="1">
      <alignment horizontal="center"/>
    </xf>
    <xf numFmtId="0" fontId="3" fillId="13" borderId="7" xfId="0" applyFont="1" applyFill="1" applyBorder="1" applyAlignment="1">
      <alignment horizontal="center" vertical="center" wrapText="1"/>
    </xf>
    <xf numFmtId="44" fontId="3" fillId="16" borderId="11" xfId="19" applyFont="1" applyFill="1" applyBorder="1" applyAlignment="1" applyProtection="1">
      <alignment horizontal="center" vertical="center"/>
      <protection locked="0"/>
    </xf>
    <xf numFmtId="43" fontId="3" fillId="16" borderId="7" xfId="1" applyFont="1" applyFill="1" applyBorder="1" applyAlignment="1" applyProtection="1">
      <alignment vertical="center"/>
      <protection locked="0"/>
    </xf>
    <xf numFmtId="44" fontId="3" fillId="21" borderId="7" xfId="19" applyFont="1" applyFill="1" applyBorder="1" applyAlignment="1">
      <alignment vertical="center"/>
    </xf>
    <xf numFmtId="0" fontId="9" fillId="21" borderId="0" xfId="0" applyFont="1" applyFill="1"/>
    <xf numFmtId="0" fontId="0" fillId="0" borderId="0" xfId="0" applyAlignment="1" applyProtection="1">
      <alignment vertical="center" wrapText="1"/>
      <protection locked="0"/>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14" fontId="64" fillId="0" borderId="0" xfId="0" applyNumberFormat="1" applyFont="1" applyAlignment="1">
      <alignment horizontal="center" vertical="center"/>
    </xf>
    <xf numFmtId="0" fontId="64" fillId="0" borderId="0" xfId="0" applyFont="1" applyAlignment="1">
      <alignment vertical="center"/>
    </xf>
    <xf numFmtId="0" fontId="64" fillId="0" borderId="0" xfId="0" applyFont="1" applyAlignment="1">
      <alignment horizontal="center" vertical="center"/>
    </xf>
    <xf numFmtId="49" fontId="64" fillId="0" borderId="0" xfId="0" applyNumberFormat="1" applyFont="1" applyAlignment="1">
      <alignment horizontal="left" vertical="center" wrapText="1"/>
    </xf>
    <xf numFmtId="43" fontId="2" fillId="24" borderId="4" xfId="1" applyFont="1" applyFill="1" applyBorder="1" applyAlignment="1" applyProtection="1">
      <alignment vertical="center"/>
    </xf>
    <xf numFmtId="43" fontId="2" fillId="24" borderId="8" xfId="1" applyFont="1" applyFill="1" applyBorder="1" applyAlignment="1" applyProtection="1">
      <alignment vertical="center"/>
    </xf>
    <xf numFmtId="0" fontId="67" fillId="0" borderId="0" xfId="0" applyFont="1" applyAlignment="1">
      <alignment vertical="center"/>
    </xf>
    <xf numFmtId="0" fontId="4" fillId="0" borderId="0" xfId="42"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2" fillId="0" borderId="0" xfId="0" quotePrefix="1" applyFont="1" applyAlignment="1">
      <alignment vertical="center"/>
    </xf>
    <xf numFmtId="0" fontId="0" fillId="0" borderId="0" xfId="42" applyFont="1" applyAlignment="1">
      <alignment vertical="center"/>
    </xf>
    <xf numFmtId="0" fontId="2" fillId="12" borderId="20" xfId="0" applyFont="1" applyFill="1" applyBorder="1" applyAlignment="1">
      <alignment vertical="center"/>
    </xf>
    <xf numFmtId="0" fontId="3" fillId="12" borderId="20" xfId="0" applyFont="1" applyFill="1" applyBorder="1" applyAlignment="1">
      <alignment horizontal="right" vertical="center"/>
    </xf>
    <xf numFmtId="0" fontId="5" fillId="12" borderId="6" xfId="0" applyFont="1" applyFill="1" applyBorder="1" applyAlignment="1">
      <alignment vertical="center"/>
    </xf>
    <xf numFmtId="0" fontId="2" fillId="12" borderId="12" xfId="0" quotePrefix="1" applyFont="1" applyFill="1" applyBorder="1" applyAlignment="1">
      <alignment vertical="center"/>
    </xf>
    <xf numFmtId="0" fontId="5" fillId="12" borderId="13" xfId="0" applyFont="1" applyFill="1" applyBorder="1" applyAlignment="1">
      <alignment vertical="center"/>
    </xf>
    <xf numFmtId="0" fontId="2" fillId="12" borderId="14" xfId="0" quotePrefix="1" applyFont="1" applyFill="1" applyBorder="1" applyAlignment="1">
      <alignment vertical="center"/>
    </xf>
    <xf numFmtId="0" fontId="2" fillId="12" borderId="2" xfId="0" applyFont="1" applyFill="1" applyBorder="1" applyAlignment="1">
      <alignment vertical="center"/>
    </xf>
    <xf numFmtId="0" fontId="5" fillId="12" borderId="15" xfId="0" applyFont="1" applyFill="1" applyBorder="1" applyAlignment="1">
      <alignment vertical="center"/>
    </xf>
    <xf numFmtId="0" fontId="3" fillId="0" borderId="0" xfId="0" applyFont="1" applyAlignment="1">
      <alignment horizontal="center" vertical="center"/>
    </xf>
    <xf numFmtId="0" fontId="71" fillId="0" borderId="0" xfId="22" applyFont="1" applyAlignment="1">
      <alignment horizontal="center" vertical="center"/>
    </xf>
    <xf numFmtId="0" fontId="71" fillId="0" borderId="0" xfId="22" applyFont="1" applyAlignment="1">
      <alignment vertical="center"/>
    </xf>
    <xf numFmtId="0" fontId="66" fillId="14" borderId="4" xfId="0" applyFont="1" applyFill="1" applyBorder="1" applyAlignment="1">
      <alignment horizontal="center" vertical="center"/>
    </xf>
    <xf numFmtId="0" fontId="66" fillId="14" borderId="8" xfId="0" applyFont="1" applyFill="1" applyBorder="1" applyAlignment="1">
      <alignment horizontal="center" vertical="center"/>
    </xf>
    <xf numFmtId="0" fontId="66" fillId="14" borderId="9" xfId="0" applyFont="1" applyFill="1" applyBorder="1" applyAlignment="1">
      <alignment horizontal="center" vertical="center"/>
    </xf>
    <xf numFmtId="0" fontId="71" fillId="0" borderId="7" xfId="22" applyFont="1" applyBorder="1" applyAlignment="1">
      <alignment vertical="center"/>
    </xf>
    <xf numFmtId="0" fontId="71" fillId="0" borderId="7" xfId="22" applyFont="1" applyBorder="1" applyAlignment="1">
      <alignment vertical="center" wrapText="1"/>
    </xf>
    <xf numFmtId="0" fontId="0" fillId="0" borderId="0" xfId="43" applyFont="1" applyAlignment="1" applyProtection="1">
      <alignment vertical="center"/>
      <protection hidden="1"/>
    </xf>
    <xf numFmtId="0" fontId="0" fillId="0" borderId="0" xfId="44" applyFont="1" applyAlignment="1" applyProtection="1">
      <alignment vertical="center"/>
      <protection hidden="1"/>
    </xf>
    <xf numFmtId="0" fontId="9" fillId="0" borderId="0" xfId="0" applyFont="1" applyAlignment="1">
      <alignment horizontal="center" vertical="center"/>
    </xf>
    <xf numFmtId="43" fontId="0" fillId="0" borderId="0" xfId="1" applyFont="1" applyAlignment="1">
      <alignment vertical="center"/>
    </xf>
    <xf numFmtId="0" fontId="79" fillId="0" borderId="0" xfId="42" applyFont="1" applyAlignment="1">
      <alignment vertical="center"/>
    </xf>
    <xf numFmtId="0" fontId="62" fillId="12" borderId="2" xfId="21" applyFill="1" applyBorder="1" applyAlignment="1" applyProtection="1">
      <alignment vertical="center"/>
    </xf>
    <xf numFmtId="0" fontId="2" fillId="13" borderId="21" xfId="0" applyFont="1" applyFill="1" applyBorder="1" applyAlignment="1">
      <alignment horizontal="center" vertical="center" wrapText="1"/>
    </xf>
    <xf numFmtId="0" fontId="0" fillId="0" borderId="7" xfId="0" applyBorder="1" applyAlignment="1" applyProtection="1">
      <alignment horizontal="left" vertical="center" wrapText="1"/>
      <protection locked="0"/>
    </xf>
    <xf numFmtId="44" fontId="48" fillId="0" borderId="0" xfId="0" applyNumberFormat="1" applyFont="1" applyAlignment="1">
      <alignment horizontal="left" vertical="center"/>
    </xf>
    <xf numFmtId="43" fontId="3" fillId="16" borderId="21" xfId="1" applyFont="1" applyFill="1" applyBorder="1" applyAlignment="1" applyProtection="1">
      <alignment vertical="center"/>
      <protection locked="0"/>
    </xf>
    <xf numFmtId="0" fontId="3" fillId="8" borderId="1" xfId="0" applyFont="1" applyFill="1" applyBorder="1" applyAlignment="1">
      <alignment vertical="center"/>
    </xf>
    <xf numFmtId="0" fontId="2" fillId="17" borderId="21" xfId="0" applyFont="1" applyFill="1" applyBorder="1" applyAlignment="1">
      <alignment horizontal="center" vertical="center"/>
    </xf>
    <xf numFmtId="0" fontId="81" fillId="21" borderId="5" xfId="0" applyFont="1" applyFill="1" applyBorder="1" applyAlignment="1">
      <alignment horizontal="center" vertical="center" wrapText="1"/>
    </xf>
    <xf numFmtId="44" fontId="48" fillId="21" borderId="5" xfId="19" applyFont="1" applyFill="1" applyBorder="1" applyAlignment="1" applyProtection="1">
      <alignment horizontal="center" vertical="center" wrapText="1"/>
    </xf>
    <xf numFmtId="44" fontId="48" fillId="21" borderId="5" xfId="19" applyFont="1" applyFill="1" applyBorder="1" applyAlignment="1">
      <alignment horizontal="center" vertical="center" wrapText="1"/>
    </xf>
    <xf numFmtId="0" fontId="48" fillId="21" borderId="5" xfId="0" applyFont="1" applyFill="1" applyBorder="1" applyAlignment="1">
      <alignment horizontal="center" vertical="center" wrapText="1"/>
    </xf>
    <xf numFmtId="0" fontId="48" fillId="13" borderId="5" xfId="0" applyFont="1" applyFill="1" applyBorder="1" applyAlignment="1">
      <alignment horizontal="center" vertical="center" wrapText="1"/>
    </xf>
    <xf numFmtId="0" fontId="83" fillId="0" borderId="0" xfId="0" applyFont="1" applyAlignment="1">
      <alignment horizontal="center" vertical="center" wrapText="1"/>
    </xf>
    <xf numFmtId="43" fontId="12" fillId="24" borderId="5" xfId="1" applyFont="1" applyFill="1" applyBorder="1" applyAlignment="1" applyProtection="1">
      <alignment vertical="center"/>
      <protection locked="0"/>
    </xf>
    <xf numFmtId="43" fontId="84" fillId="22" borderId="16" xfId="0" applyNumberFormat="1" applyFont="1" applyFill="1" applyBorder="1" applyAlignment="1">
      <alignment vertical="center"/>
    </xf>
    <xf numFmtId="0" fontId="2" fillId="19" borderId="0" xfId="0" applyFont="1" applyFill="1" applyAlignment="1">
      <alignment horizontal="center" vertical="center"/>
    </xf>
    <xf numFmtId="0" fontId="85" fillId="12" borderId="12" xfId="0" quotePrefix="1" applyFont="1" applyFill="1" applyBorder="1" applyAlignment="1">
      <alignment vertical="center"/>
    </xf>
    <xf numFmtId="0" fontId="71" fillId="0" borderId="21" xfId="22" applyFont="1" applyBorder="1" applyAlignment="1">
      <alignment vertical="center" wrapText="1"/>
    </xf>
    <xf numFmtId="43" fontId="2" fillId="16" borderId="21" xfId="1" applyFont="1" applyFill="1" applyBorder="1" applyAlignment="1" applyProtection="1">
      <alignment vertical="center"/>
      <protection locked="0"/>
    </xf>
    <xf numFmtId="43" fontId="2" fillId="0" borderId="21" xfId="1" applyFont="1" applyBorder="1" applyAlignment="1" applyProtection="1">
      <alignment vertical="center"/>
    </xf>
    <xf numFmtId="0" fontId="2" fillId="16" borderId="7" xfId="0" applyFont="1" applyFill="1" applyBorder="1" applyAlignment="1" applyProtection="1">
      <alignment horizontal="left" vertical="center" wrapText="1"/>
      <protection locked="0"/>
    </xf>
    <xf numFmtId="0" fontId="2" fillId="16" borderId="22" xfId="0" applyFont="1" applyFill="1" applyBorder="1" applyAlignment="1" applyProtection="1">
      <alignment horizontal="left" vertical="center" wrapText="1"/>
      <protection locked="0"/>
    </xf>
    <xf numFmtId="0" fontId="15" fillId="0" borderId="0" xfId="0" applyFont="1" applyAlignment="1">
      <alignment horizontal="center"/>
    </xf>
    <xf numFmtId="0" fontId="2" fillId="0" borderId="0" xfId="0" applyFont="1" applyAlignment="1">
      <alignment horizontal="center"/>
    </xf>
    <xf numFmtId="0" fontId="61" fillId="0" borderId="0" xfId="20" applyFont="1" applyAlignment="1">
      <alignment horizontal="center"/>
    </xf>
    <xf numFmtId="174" fontId="63" fillId="0" borderId="0" xfId="21" applyNumberFormat="1" applyFont="1" applyAlignment="1" applyProtection="1">
      <alignment horizontal="center"/>
    </xf>
    <xf numFmtId="0" fontId="9" fillId="0" borderId="0" xfId="0" applyFont="1" applyAlignment="1">
      <alignment horizontal="center" wrapText="1"/>
    </xf>
    <xf numFmtId="0" fontId="9" fillId="0" borderId="1" xfId="0" applyFont="1" applyBorder="1" applyAlignment="1">
      <alignment horizontal="center" wrapText="1"/>
    </xf>
    <xf numFmtId="0" fontId="2"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center"/>
    </xf>
    <xf numFmtId="0" fontId="2" fillId="19" borderId="10" xfId="0" applyFont="1" applyFill="1" applyBorder="1" applyAlignment="1">
      <alignment horizontal="center" vertical="center"/>
    </xf>
    <xf numFmtId="0" fontId="2" fillId="23" borderId="7" xfId="0" applyFont="1" applyFill="1" applyBorder="1" applyAlignment="1">
      <alignment horizontal="center" vertical="center"/>
    </xf>
    <xf numFmtId="0" fontId="3" fillId="18" borderId="8" xfId="0" applyFont="1" applyFill="1" applyBorder="1" applyAlignment="1">
      <alignment horizontal="center" vertical="center"/>
    </xf>
    <xf numFmtId="0" fontId="3" fillId="18" borderId="4" xfId="0" applyFont="1" applyFill="1" applyBorder="1" applyAlignment="1">
      <alignment horizontal="center" vertical="center"/>
    </xf>
    <xf numFmtId="0" fontId="3" fillId="22" borderId="22" xfId="0" applyFont="1" applyFill="1" applyBorder="1" applyAlignment="1">
      <alignment horizontal="center" vertical="center"/>
    </xf>
    <xf numFmtId="0" fontId="3" fillId="22" borderId="4" xfId="0" applyFont="1" applyFill="1" applyBorder="1" applyAlignment="1">
      <alignment horizontal="center" vertical="center"/>
    </xf>
    <xf numFmtId="0" fontId="3" fillId="22" borderId="23" xfId="0" applyFont="1" applyFill="1" applyBorder="1" applyAlignment="1">
      <alignment horizontal="center" vertical="center"/>
    </xf>
    <xf numFmtId="44" fontId="0" fillId="16" borderId="4" xfId="19" applyFont="1" applyFill="1" applyBorder="1" applyAlignment="1">
      <alignment horizontal="center" vertical="center" wrapText="1"/>
    </xf>
    <xf numFmtId="44" fontId="0" fillId="16" borderId="23" xfId="19" applyFont="1" applyFill="1" applyBorder="1" applyAlignment="1">
      <alignment horizontal="center" vertical="center" wrapText="1"/>
    </xf>
    <xf numFmtId="44" fontId="0" fillId="16" borderId="24" xfId="19" applyFont="1" applyFill="1" applyBorder="1" applyAlignment="1">
      <alignment horizontal="center" vertical="center" wrapText="1"/>
    </xf>
    <xf numFmtId="165" fontId="49" fillId="0" borderId="0" xfId="0" applyNumberFormat="1" applyFont="1" applyAlignment="1">
      <alignment horizontal="center"/>
    </xf>
    <xf numFmtId="0" fontId="0" fillId="6" borderId="0" xfId="0" applyFill="1"/>
    <xf numFmtId="0" fontId="0" fillId="6" borderId="0" xfId="0" applyFill="1" applyAlignment="1">
      <alignment horizontal="center"/>
    </xf>
    <xf numFmtId="0" fontId="3" fillId="16" borderId="19" xfId="0" applyFont="1" applyFill="1" applyBorder="1" applyAlignment="1">
      <alignment horizontal="center"/>
    </xf>
    <xf numFmtId="0" fontId="3" fillId="16" borderId="20" xfId="0" applyFont="1" applyFill="1" applyBorder="1" applyAlignment="1">
      <alignment horizontal="center"/>
    </xf>
    <xf numFmtId="0" fontId="3" fillId="16" borderId="6" xfId="0" applyFont="1" applyFill="1" applyBorder="1" applyAlignment="1">
      <alignment horizontal="center"/>
    </xf>
    <xf numFmtId="0" fontId="2" fillId="13" borderId="0" xfId="0" applyFont="1" applyFill="1" applyAlignment="1">
      <alignment horizontal="center" vertical="center"/>
    </xf>
    <xf numFmtId="0" fontId="0" fillId="13" borderId="0" xfId="0" applyFill="1" applyAlignment="1">
      <alignment vertical="center"/>
    </xf>
    <xf numFmtId="0" fontId="0" fillId="13" borderId="0" xfId="43" applyFont="1" applyFill="1" applyAlignment="1" applyProtection="1">
      <alignment vertical="center"/>
      <protection hidden="1"/>
    </xf>
    <xf numFmtId="0" fontId="0" fillId="13" borderId="0" xfId="44" applyFont="1" applyFill="1" applyAlignment="1" applyProtection="1">
      <alignment vertical="center"/>
      <protection hidden="1"/>
    </xf>
    <xf numFmtId="0" fontId="2" fillId="12" borderId="0" xfId="0" applyFont="1" applyFill="1" applyAlignment="1">
      <alignment horizontal="center" vertical="center"/>
    </xf>
    <xf numFmtId="0" fontId="0" fillId="12" borderId="0" xfId="0" applyFill="1" applyAlignment="1">
      <alignment vertical="center"/>
    </xf>
    <xf numFmtId="0" fontId="0" fillId="12" borderId="0" xfId="43" applyFont="1" applyFill="1" applyAlignment="1" applyProtection="1">
      <alignment vertical="center"/>
      <protection hidden="1"/>
    </xf>
    <xf numFmtId="0" fontId="0" fillId="12" borderId="0" xfId="44" applyFont="1" applyFill="1" applyAlignment="1" applyProtection="1">
      <alignment vertical="center"/>
      <protection hidden="1"/>
    </xf>
    <xf numFmtId="0" fontId="0" fillId="0" borderId="0" xfId="0" applyFill="1" applyAlignment="1">
      <alignment vertical="center"/>
    </xf>
    <xf numFmtId="0" fontId="2" fillId="18" borderId="0" xfId="0" applyFont="1" applyFill="1" applyAlignment="1">
      <alignment horizontal="center" vertical="center"/>
    </xf>
    <xf numFmtId="0" fontId="0" fillId="18" borderId="0" xfId="42" applyFont="1" applyFill="1" applyAlignment="1">
      <alignment vertical="center"/>
    </xf>
    <xf numFmtId="0" fontId="0" fillId="18" borderId="0" xfId="44" applyFont="1" applyFill="1" applyAlignment="1" applyProtection="1">
      <alignment vertical="center"/>
      <protection hidden="1"/>
    </xf>
    <xf numFmtId="0" fontId="2" fillId="25" borderId="0" xfId="0" applyFont="1" applyFill="1" applyAlignment="1">
      <alignment horizontal="center" vertical="center"/>
    </xf>
    <xf numFmtId="0" fontId="0" fillId="25" borderId="0" xfId="0" applyFill="1" applyAlignment="1">
      <alignment vertical="center"/>
    </xf>
    <xf numFmtId="0" fontId="2" fillId="25" borderId="0" xfId="0" applyFont="1" applyFill="1" applyAlignment="1">
      <alignment vertical="center"/>
    </xf>
    <xf numFmtId="0" fontId="0" fillId="25" borderId="0" xfId="43" applyFont="1" applyFill="1" applyAlignment="1" applyProtection="1">
      <alignment vertical="center"/>
      <protection hidden="1"/>
    </xf>
    <xf numFmtId="0" fontId="0" fillId="25" borderId="0" xfId="44" applyFont="1" applyFill="1" applyAlignment="1" applyProtection="1">
      <alignment vertical="center"/>
      <protection hidden="1"/>
    </xf>
    <xf numFmtId="44" fontId="48" fillId="0" borderId="0" xfId="19" applyFont="1" applyFill="1" applyBorder="1" applyAlignment="1" applyProtection="1">
      <alignment horizontal="left" vertical="center"/>
    </xf>
    <xf numFmtId="0" fontId="80" fillId="22" borderId="7" xfId="0" applyFont="1" applyFill="1" applyBorder="1" applyAlignment="1">
      <alignment horizontal="center" vertical="center"/>
    </xf>
    <xf numFmtId="0" fontId="47" fillId="13" borderId="0" xfId="0" applyFont="1" applyFill="1" applyAlignment="1">
      <alignment vertical="center"/>
    </xf>
    <xf numFmtId="0" fontId="47" fillId="12" borderId="0" xfId="43" applyFont="1" applyFill="1" applyAlignment="1" applyProtection="1">
      <alignment vertical="center"/>
      <protection hidden="1"/>
    </xf>
    <xf numFmtId="0" fontId="47" fillId="12" borderId="0" xfId="0" applyFont="1" applyFill="1" applyAlignment="1">
      <alignment vertical="center"/>
    </xf>
    <xf numFmtId="43" fontId="2" fillId="24" borderId="7" xfId="1" applyFont="1" applyFill="1" applyBorder="1" applyAlignment="1" applyProtection="1">
      <alignment horizontal="left" vertical="center"/>
    </xf>
    <xf numFmtId="43" fontId="87" fillId="24" borderId="4" xfId="1" applyFont="1" applyFill="1" applyBorder="1" applyAlignment="1" applyProtection="1">
      <alignment vertical="center"/>
    </xf>
    <xf numFmtId="43" fontId="87" fillId="24" borderId="4" xfId="1" applyFont="1" applyFill="1" applyBorder="1" applyAlignment="1" applyProtection="1">
      <alignment horizontal="center" vertical="center"/>
    </xf>
    <xf numFmtId="43" fontId="87" fillId="24" borderId="25" xfId="1" applyFont="1" applyFill="1" applyBorder="1" applyAlignment="1" applyProtection="1">
      <alignment horizontal="center" vertical="center"/>
    </xf>
    <xf numFmtId="0" fontId="47" fillId="25" borderId="0" xfId="0" applyFont="1" applyFill="1" applyAlignment="1">
      <alignment horizontal="center" vertical="center"/>
    </xf>
    <xf numFmtId="0" fontId="26" fillId="0" borderId="0" xfId="20" applyFont="1" applyAlignment="1" applyProtection="1">
      <alignment vertical="center"/>
      <protection locked="0"/>
    </xf>
    <xf numFmtId="0" fontId="69" fillId="7" borderId="0" xfId="20" applyFont="1" applyFill="1" applyAlignment="1" applyProtection="1">
      <alignment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4" fontId="0" fillId="0" borderId="0" xfId="0" applyNumberFormat="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3" fillId="12" borderId="12" xfId="0" quotePrefix="1" applyFont="1" applyFill="1" applyBorder="1" applyAlignment="1">
      <alignment vertical="center"/>
    </xf>
    <xf numFmtId="0" fontId="2" fillId="12" borderId="0" xfId="0" applyFont="1" applyFill="1" applyBorder="1" applyAlignment="1">
      <alignment vertical="center"/>
    </xf>
    <xf numFmtId="0" fontId="3" fillId="12" borderId="0" xfId="0" applyFont="1" applyFill="1" applyBorder="1" applyAlignment="1">
      <alignment horizontal="right" vertical="center"/>
    </xf>
    <xf numFmtId="0" fontId="5" fillId="12" borderId="0" xfId="0" applyFont="1" applyFill="1" applyBorder="1" applyAlignment="1">
      <alignment vertical="center"/>
    </xf>
    <xf numFmtId="0" fontId="5" fillId="12" borderId="2" xfId="0" applyFont="1" applyFill="1" applyBorder="1" applyAlignment="1">
      <alignment vertical="center"/>
    </xf>
    <xf numFmtId="0" fontId="71" fillId="0" borderId="7" xfId="22" applyFont="1" applyBorder="1" applyAlignment="1" applyProtection="1">
      <alignment vertical="center" wrapText="1"/>
      <protection locked="0"/>
    </xf>
    <xf numFmtId="0" fontId="5" fillId="12" borderId="20" xfId="0" applyFont="1" applyFill="1" applyBorder="1" applyAlignment="1">
      <alignment vertical="center"/>
    </xf>
    <xf numFmtId="0" fontId="2" fillId="23" borderId="21" xfId="0" applyFont="1" applyFill="1" applyBorder="1" applyAlignment="1">
      <alignment horizontal="center" vertical="center" wrapText="1"/>
    </xf>
    <xf numFmtId="0" fontId="2" fillId="23" borderId="11" xfId="0" applyFont="1" applyFill="1" applyBorder="1" applyAlignment="1">
      <alignment horizontal="center" vertical="center" wrapText="1"/>
    </xf>
  </cellXfs>
  <cellStyles count="45">
    <cellStyle name="Comma" xfId="1" builtinId="3"/>
    <cellStyle name="Comma 2" xfId="31" xr:uid="{E67B16D0-57DF-4E7E-868B-5D51AF8EE8D6}"/>
    <cellStyle name="Comma 2 2" xfId="32" xr:uid="{6D33978A-C471-4361-AF60-4EA0C77E678A}"/>
    <cellStyle name="Currency" xfId="19" builtinId="4"/>
    <cellStyle name="Currency 2" xfId="33" xr:uid="{6788BA29-6520-47C8-B0B8-F9872A03D649}"/>
    <cellStyle name="Exhibit No." xfId="2" xr:uid="{00000000-0005-0000-0000-000001000000}"/>
    <cellStyle name="Exhibit No. 2" xfId="23" xr:uid="{BF8C2F79-8752-40F7-BDDF-F4DE6F0485A2}"/>
    <cellStyle name="HeadStateofNC" xfId="3" xr:uid="{00000000-0005-0000-0000-000002000000}"/>
    <cellStyle name="HeadTitles" xfId="4" xr:uid="{00000000-0005-0000-0000-000003000000}"/>
    <cellStyle name="HeadYE_Date" xfId="5" xr:uid="{00000000-0005-0000-0000-000004000000}"/>
    <cellStyle name="Hyperlink" xfId="21" builtinId="8"/>
    <cellStyle name="Hyperlink 2" xfId="34" xr:uid="{147B15EC-75DE-44E5-BDA4-0547ED8AB35E}"/>
    <cellStyle name="Normal" xfId="0" builtinId="0"/>
    <cellStyle name="Normal 2" xfId="6" xr:uid="{00000000-0005-0000-0000-000006000000}"/>
    <cellStyle name="Normal 2 2" xfId="24" xr:uid="{F90864D7-F56F-4073-B77F-055AD0CB8677}"/>
    <cellStyle name="Normal 2 5" xfId="35" xr:uid="{690DC7DD-9428-4EFD-A5D3-D8E201E84BB6}"/>
    <cellStyle name="Normal 2 5 2" xfId="36" xr:uid="{BF8AE0AB-6B7B-4397-9DC2-7E5BFC1822B2}"/>
    <cellStyle name="Normal 21 2" xfId="37" xr:uid="{D7468FF5-3260-4172-A6E4-C71D2BE8AC96}"/>
    <cellStyle name="Normal 3" xfId="7" xr:uid="{00000000-0005-0000-0000-000007000000}"/>
    <cellStyle name="Normal 31" xfId="38" xr:uid="{01562886-B5BF-4835-A3C6-AE5E901A2169}"/>
    <cellStyle name="Normal 39 2" xfId="39" xr:uid="{85B05F96-4664-4840-BC4F-D9652377AA46}"/>
    <cellStyle name="Normal 4" xfId="25" xr:uid="{76F91116-5042-48E5-AC6F-2BECF626CE8D}"/>
    <cellStyle name="Normal 4 2" xfId="40" xr:uid="{EF11CDA9-2D10-45D8-BFC4-B2CFF596E7C0}"/>
    <cellStyle name="Normal 42" xfId="41" xr:uid="{2B976D9A-9E00-41DC-B32C-343A4DE6A993}"/>
    <cellStyle name="Normal 5" xfId="26" xr:uid="{9B533839-DE61-47AD-9A69-60B01297AB59}"/>
    <cellStyle name="Normal_2005Collproforma" xfId="8" xr:uid="{00000000-0005-0000-0000-000008000000}"/>
    <cellStyle name="Normal_a3p04" xfId="22" xr:uid="{7AEEA345-6193-48B5-A76A-6F3F6545BE35}"/>
    <cellStyle name="Normal_a7p01" xfId="44" xr:uid="{F4BA0B6A-1DD8-44AE-8914-B83A6712EBD8}"/>
    <cellStyle name="Normal_a7p02" xfId="43" xr:uid="{E4A8F067-BD9F-4A07-B2BE-7DE919DA9F97}"/>
    <cellStyle name="Normal_a7p03" xfId="42" xr:uid="{0BF91504-316A-470A-9A0C-2EF47E67EC16}"/>
    <cellStyle name="Normal_UnivExcl" xfId="20" xr:uid="{E98B5035-D4D4-44A1-B1B5-15EEFC3F3A62}"/>
    <cellStyle name="Number$ -" xfId="9" xr:uid="{00000000-0005-0000-0000-000009000000}"/>
    <cellStyle name="Number$ - 2" xfId="27" xr:uid="{FFD6F856-809D-4797-BDAC-9EC43A50F9AB}"/>
    <cellStyle name="Number-no $ -" xfId="10" xr:uid="{00000000-0005-0000-0000-00000A000000}"/>
    <cellStyle name="Number-no $ - 2" xfId="28" xr:uid="{24D97F03-5427-4C4B-A506-434AAE1E2996}"/>
    <cellStyle name="NumberTotal$ -" xfId="11" xr:uid="{00000000-0005-0000-0000-00000B000000}"/>
    <cellStyle name="NumberTotal$ - 2" xfId="29" xr:uid="{05310F0B-FF79-493D-901B-F5843B532597}"/>
    <cellStyle name="NumberTotal-no $ -" xfId="12" xr:uid="{00000000-0005-0000-0000-00000C000000}"/>
    <cellStyle name="NumberTotal-no $ - 2" xfId="30" xr:uid="{5BE08BA5-BAFA-463B-9618-F8825A75936E}"/>
    <cellStyle name="NumNo$" xfId="13" xr:uid="{00000000-0005-0000-0000-00000D000000}"/>
    <cellStyle name="NumNo$ 2" xfId="14" xr:uid="{00000000-0005-0000-0000-00000E000000}"/>
    <cellStyle name="NumTotD" xfId="15" xr:uid="{00000000-0005-0000-0000-00000F000000}"/>
    <cellStyle name="NumTotD 2" xfId="16" xr:uid="{00000000-0005-0000-0000-000010000000}"/>
    <cellStyle name="NumTotNo$" xfId="17" xr:uid="{00000000-0005-0000-0000-000011000000}"/>
    <cellStyle name="NumTotNo$ 2" xfId="18" xr:uid="{00000000-0005-0000-0000-000012000000}"/>
  </cellStyles>
  <dxfs count="24">
    <dxf>
      <fill>
        <patternFill>
          <bgColor theme="5" tint="0.59996337778862885"/>
        </patternFill>
      </fill>
    </dxf>
    <dxf>
      <font>
        <color rgb="FF9C0006"/>
      </font>
      <fill>
        <patternFill>
          <bgColor rgb="FFFFC7CE"/>
        </patternFill>
      </fill>
    </dxf>
    <dxf>
      <fill>
        <patternFill>
          <fgColor theme="9" tint="0.39994506668294322"/>
          <bgColor rgb="FFFFC000"/>
        </patternFill>
      </fill>
    </dxf>
    <dxf>
      <fill>
        <patternFill>
          <bgColor rgb="FFFFCC99"/>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rgb="FFFF0000"/>
      </font>
    </dxf>
    <dxf>
      <font>
        <b/>
        <i val="0"/>
        <color rgb="FFFF0000"/>
      </font>
    </dxf>
    <dxf>
      <font>
        <b/>
        <i val="0"/>
        <color rgb="FFFF0000"/>
      </font>
    </dxf>
    <dxf>
      <font>
        <b/>
        <i val="0"/>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lor rgb="FF9C0006"/>
      </font>
      <fill>
        <patternFill>
          <bgColor rgb="FFFFC7CE"/>
        </patternFill>
      </fill>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7CE"/>
      <color rgb="FFFFCC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1314450</xdr:colOff>
      <xdr:row>16</xdr:row>
      <xdr:rowOff>85725</xdr:rowOff>
    </xdr:from>
    <xdr:to>
      <xdr:col>2</xdr:col>
      <xdr:colOff>1838325</xdr:colOff>
      <xdr:row>16</xdr:row>
      <xdr:rowOff>85725</xdr:rowOff>
    </xdr:to>
    <xdr:sp macro="" textlink="">
      <xdr:nvSpPr>
        <xdr:cNvPr id="14670" name="Line 3">
          <a:extLst>
            <a:ext uri="{FF2B5EF4-FFF2-40B4-BE49-F238E27FC236}">
              <a16:creationId xmlns:a16="http://schemas.microsoft.com/office/drawing/2014/main" id="{00000000-0008-0000-0100-00004E390000}"/>
            </a:ext>
          </a:extLst>
        </xdr:cNvPr>
        <xdr:cNvSpPr>
          <a:spLocks noChangeShapeType="1"/>
        </xdr:cNvSpPr>
      </xdr:nvSpPr>
      <xdr:spPr bwMode="auto">
        <a:xfrm>
          <a:off x="2343150" y="21812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18</xdr:row>
      <xdr:rowOff>85725</xdr:rowOff>
    </xdr:from>
    <xdr:to>
      <xdr:col>2</xdr:col>
      <xdr:colOff>1838325</xdr:colOff>
      <xdr:row>18</xdr:row>
      <xdr:rowOff>85725</xdr:rowOff>
    </xdr:to>
    <xdr:sp macro="" textlink="">
      <xdr:nvSpPr>
        <xdr:cNvPr id="14671" name="Line 4">
          <a:extLst>
            <a:ext uri="{FF2B5EF4-FFF2-40B4-BE49-F238E27FC236}">
              <a16:creationId xmlns:a16="http://schemas.microsoft.com/office/drawing/2014/main" id="{00000000-0008-0000-0100-00004F390000}"/>
            </a:ext>
          </a:extLst>
        </xdr:cNvPr>
        <xdr:cNvSpPr>
          <a:spLocks noChangeShapeType="1"/>
        </xdr:cNvSpPr>
      </xdr:nvSpPr>
      <xdr:spPr bwMode="auto">
        <a:xfrm>
          <a:off x="2343150" y="24003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20</xdr:row>
      <xdr:rowOff>85725</xdr:rowOff>
    </xdr:from>
    <xdr:to>
      <xdr:col>2</xdr:col>
      <xdr:colOff>1838325</xdr:colOff>
      <xdr:row>20</xdr:row>
      <xdr:rowOff>85725</xdr:rowOff>
    </xdr:to>
    <xdr:sp macro="" textlink="">
      <xdr:nvSpPr>
        <xdr:cNvPr id="14672" name="Line 5">
          <a:extLst>
            <a:ext uri="{FF2B5EF4-FFF2-40B4-BE49-F238E27FC236}">
              <a16:creationId xmlns:a16="http://schemas.microsoft.com/office/drawing/2014/main" id="{00000000-0008-0000-0100-000050390000}"/>
            </a:ext>
          </a:extLst>
        </xdr:cNvPr>
        <xdr:cNvSpPr>
          <a:spLocks noChangeShapeType="1"/>
        </xdr:cNvSpPr>
      </xdr:nvSpPr>
      <xdr:spPr bwMode="auto">
        <a:xfrm>
          <a:off x="2343150" y="26193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22</xdr:row>
      <xdr:rowOff>85725</xdr:rowOff>
    </xdr:from>
    <xdr:to>
      <xdr:col>2</xdr:col>
      <xdr:colOff>1838325</xdr:colOff>
      <xdr:row>22</xdr:row>
      <xdr:rowOff>85725</xdr:rowOff>
    </xdr:to>
    <xdr:sp macro="" textlink="">
      <xdr:nvSpPr>
        <xdr:cNvPr id="14673" name="Line 6">
          <a:extLst>
            <a:ext uri="{FF2B5EF4-FFF2-40B4-BE49-F238E27FC236}">
              <a16:creationId xmlns:a16="http://schemas.microsoft.com/office/drawing/2014/main" id="{00000000-0008-0000-0100-000051390000}"/>
            </a:ext>
          </a:extLst>
        </xdr:cNvPr>
        <xdr:cNvSpPr>
          <a:spLocks noChangeShapeType="1"/>
        </xdr:cNvSpPr>
      </xdr:nvSpPr>
      <xdr:spPr bwMode="auto">
        <a:xfrm>
          <a:off x="2343150" y="28384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24</xdr:row>
      <xdr:rowOff>85725</xdr:rowOff>
    </xdr:from>
    <xdr:to>
      <xdr:col>2</xdr:col>
      <xdr:colOff>1838325</xdr:colOff>
      <xdr:row>24</xdr:row>
      <xdr:rowOff>85725</xdr:rowOff>
    </xdr:to>
    <xdr:sp macro="" textlink="">
      <xdr:nvSpPr>
        <xdr:cNvPr id="14674" name="Line 7">
          <a:extLst>
            <a:ext uri="{FF2B5EF4-FFF2-40B4-BE49-F238E27FC236}">
              <a16:creationId xmlns:a16="http://schemas.microsoft.com/office/drawing/2014/main" id="{00000000-0008-0000-0100-000052390000}"/>
            </a:ext>
          </a:extLst>
        </xdr:cNvPr>
        <xdr:cNvSpPr>
          <a:spLocks noChangeShapeType="1"/>
        </xdr:cNvSpPr>
      </xdr:nvSpPr>
      <xdr:spPr bwMode="auto">
        <a:xfrm>
          <a:off x="2343150" y="30575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6</xdr:row>
      <xdr:rowOff>85725</xdr:rowOff>
    </xdr:from>
    <xdr:to>
      <xdr:col>2</xdr:col>
      <xdr:colOff>1838325</xdr:colOff>
      <xdr:row>6</xdr:row>
      <xdr:rowOff>85725</xdr:rowOff>
    </xdr:to>
    <xdr:sp macro="" textlink="">
      <xdr:nvSpPr>
        <xdr:cNvPr id="14675" name="Line 9">
          <a:extLst>
            <a:ext uri="{FF2B5EF4-FFF2-40B4-BE49-F238E27FC236}">
              <a16:creationId xmlns:a16="http://schemas.microsoft.com/office/drawing/2014/main" id="{00000000-0008-0000-0100-000053390000}"/>
            </a:ext>
          </a:extLst>
        </xdr:cNvPr>
        <xdr:cNvSpPr>
          <a:spLocks noChangeShapeType="1"/>
        </xdr:cNvSpPr>
      </xdr:nvSpPr>
      <xdr:spPr bwMode="auto">
        <a:xfrm>
          <a:off x="2343150" y="9429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76" name="Line 10">
          <a:extLst>
            <a:ext uri="{FF2B5EF4-FFF2-40B4-BE49-F238E27FC236}">
              <a16:creationId xmlns:a16="http://schemas.microsoft.com/office/drawing/2014/main" id="{00000000-0008-0000-0100-000054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77" name="Line 11">
          <a:extLst>
            <a:ext uri="{FF2B5EF4-FFF2-40B4-BE49-F238E27FC236}">
              <a16:creationId xmlns:a16="http://schemas.microsoft.com/office/drawing/2014/main" id="{00000000-0008-0000-0100-000055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78" name="Line 12">
          <a:extLst>
            <a:ext uri="{FF2B5EF4-FFF2-40B4-BE49-F238E27FC236}">
              <a16:creationId xmlns:a16="http://schemas.microsoft.com/office/drawing/2014/main" id="{00000000-0008-0000-0100-000056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79" name="Line 13">
          <a:extLst>
            <a:ext uri="{FF2B5EF4-FFF2-40B4-BE49-F238E27FC236}">
              <a16:creationId xmlns:a16="http://schemas.microsoft.com/office/drawing/2014/main" id="{00000000-0008-0000-0100-000057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0" name="Line 14">
          <a:extLst>
            <a:ext uri="{FF2B5EF4-FFF2-40B4-BE49-F238E27FC236}">
              <a16:creationId xmlns:a16="http://schemas.microsoft.com/office/drawing/2014/main" id="{00000000-0008-0000-0100-000058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1" name="Line 15">
          <a:extLst>
            <a:ext uri="{FF2B5EF4-FFF2-40B4-BE49-F238E27FC236}">
              <a16:creationId xmlns:a16="http://schemas.microsoft.com/office/drawing/2014/main" id="{00000000-0008-0000-0100-000059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82" name="Line 16">
          <a:extLst>
            <a:ext uri="{FF2B5EF4-FFF2-40B4-BE49-F238E27FC236}">
              <a16:creationId xmlns:a16="http://schemas.microsoft.com/office/drawing/2014/main" id="{00000000-0008-0000-0100-00005A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83" name="Line 17">
          <a:extLst>
            <a:ext uri="{FF2B5EF4-FFF2-40B4-BE49-F238E27FC236}">
              <a16:creationId xmlns:a16="http://schemas.microsoft.com/office/drawing/2014/main" id="{00000000-0008-0000-0100-00005B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84" name="Line 18">
          <a:extLst>
            <a:ext uri="{FF2B5EF4-FFF2-40B4-BE49-F238E27FC236}">
              <a16:creationId xmlns:a16="http://schemas.microsoft.com/office/drawing/2014/main" id="{00000000-0008-0000-0100-00005C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4685" name="Line 19">
          <a:extLst>
            <a:ext uri="{FF2B5EF4-FFF2-40B4-BE49-F238E27FC236}">
              <a16:creationId xmlns:a16="http://schemas.microsoft.com/office/drawing/2014/main" id="{00000000-0008-0000-0100-00005D390000}"/>
            </a:ext>
          </a:extLst>
        </xdr:cNvPr>
        <xdr:cNvSpPr>
          <a:spLocks noChangeShapeType="1"/>
        </xdr:cNvSpPr>
      </xdr:nvSpPr>
      <xdr:spPr bwMode="auto">
        <a:xfrm>
          <a:off x="2343150" y="15621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6" name="Line 20">
          <a:extLst>
            <a:ext uri="{FF2B5EF4-FFF2-40B4-BE49-F238E27FC236}">
              <a16:creationId xmlns:a16="http://schemas.microsoft.com/office/drawing/2014/main" id="{00000000-0008-0000-0100-00005E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7" name="Line 21">
          <a:extLst>
            <a:ext uri="{FF2B5EF4-FFF2-40B4-BE49-F238E27FC236}">
              <a16:creationId xmlns:a16="http://schemas.microsoft.com/office/drawing/2014/main" id="{00000000-0008-0000-0100-00005F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8" name="Line 22">
          <a:extLst>
            <a:ext uri="{FF2B5EF4-FFF2-40B4-BE49-F238E27FC236}">
              <a16:creationId xmlns:a16="http://schemas.microsoft.com/office/drawing/2014/main" id="{00000000-0008-0000-0100-000060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4689" name="Line 23">
          <a:extLst>
            <a:ext uri="{FF2B5EF4-FFF2-40B4-BE49-F238E27FC236}">
              <a16:creationId xmlns:a16="http://schemas.microsoft.com/office/drawing/2014/main" id="{00000000-0008-0000-0100-000061390000}"/>
            </a:ext>
          </a:extLst>
        </xdr:cNvPr>
        <xdr:cNvSpPr>
          <a:spLocks noChangeShapeType="1"/>
        </xdr:cNvSpPr>
      </xdr:nvSpPr>
      <xdr:spPr bwMode="auto">
        <a:xfrm>
          <a:off x="2343150" y="13430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90" name="Line 24">
          <a:extLst>
            <a:ext uri="{FF2B5EF4-FFF2-40B4-BE49-F238E27FC236}">
              <a16:creationId xmlns:a16="http://schemas.microsoft.com/office/drawing/2014/main" id="{00000000-0008-0000-0100-000062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4691" name="Line 25">
          <a:extLst>
            <a:ext uri="{FF2B5EF4-FFF2-40B4-BE49-F238E27FC236}">
              <a16:creationId xmlns:a16="http://schemas.microsoft.com/office/drawing/2014/main" id="{00000000-0008-0000-0100-000063390000}"/>
            </a:ext>
          </a:extLst>
        </xdr:cNvPr>
        <xdr:cNvSpPr>
          <a:spLocks noChangeShapeType="1"/>
        </xdr:cNvSpPr>
      </xdr:nvSpPr>
      <xdr:spPr bwMode="auto">
        <a:xfrm>
          <a:off x="2343150" y="17811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4692" name="Line 26">
          <a:extLst>
            <a:ext uri="{FF2B5EF4-FFF2-40B4-BE49-F238E27FC236}">
              <a16:creationId xmlns:a16="http://schemas.microsoft.com/office/drawing/2014/main" id="{00000000-0008-0000-0100-000064390000}"/>
            </a:ext>
          </a:extLst>
        </xdr:cNvPr>
        <xdr:cNvSpPr>
          <a:spLocks noChangeShapeType="1"/>
        </xdr:cNvSpPr>
      </xdr:nvSpPr>
      <xdr:spPr bwMode="auto">
        <a:xfrm>
          <a:off x="2343150" y="7810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Kidking, Patcha" id="{EE8641C3-51BC-4E49-94E4-94D22833E2B4}" userId="Kidking, Patcha" providerId="None"/>
  <person displayName="Patcha Kidking" id="{EB74FBF6-7850-4633-A40A-4BDCBA4A3313}" userId="S::Patcha.Kidking@ncosc.gov::0db6f355-e063-4309-9c07-978053f7f62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0" dT="2023-03-16T18:31:23.32" personId="{EE8641C3-51BC-4E49-94E4-94D22833E2B4}" id="{86689C96-5053-445A-A6EC-7D4E42AC93AF}">
    <text>This is the same account as "Lease liability" in NFCS package</text>
  </threadedComment>
  <threadedComment ref="B41" dT="2023-03-16T18:51:10.03" personId="{EE8641C3-51BC-4E49-94E4-94D22833E2B4}" id="{EF2CEEE9-B99E-4A89-898F-E5B37D3F4EF1}">
    <text>New account in FY2023 (account number 21410000 and 242000).</text>
  </threadedComment>
</ThreadedComments>
</file>

<file path=xl/threadedComments/threadedComment2.xml><?xml version="1.0" encoding="utf-8"?>
<ThreadedComments xmlns="http://schemas.microsoft.com/office/spreadsheetml/2018/threadedcomments" xmlns:x="http://schemas.openxmlformats.org/spreadsheetml/2006/main">
  <threadedComment ref="O18" dT="2024-06-25T21:59:53.18" personId="{EB74FBF6-7850-4633-A40A-4BDCBA4A3313}" id="{5F9E99E9-2D6E-412A-8489-87F9D90AF0DD}">
    <text>Check if an account is not chosen at the line with restatement.</text>
  </threadedComment>
  <threadedComment ref="P18" dT="2024-06-25T21:59:39.60" personId="{EB74FBF6-7850-4633-A40A-4BDCBA4A3313}" id="{A4736A38-E5F2-4C1B-A48A-E556B85885B9}">
    <text>Check if an account is chosen at the line without restatement amount.</text>
  </threadedComment>
  <threadedComment ref="Q18" dT="2024-06-25T21:31:54.50" personId="{EB74FBF6-7850-4633-A40A-4BDCBA4A3313}" id="{B69B7F3F-8B55-4DF7-974A-1D42735F2CB9}">
    <text>Check if Category is not chosen at the line with restatement.</text>
  </threadedComment>
  <threadedComment ref="R18" dT="2024-06-25T21:31:38.53" personId="{EB74FBF6-7850-4633-A40A-4BDCBA4A3313}" id="{BD5ABEA8-84AD-45C1-B1B9-7421468FF916}">
    <text>Check if Category is chosen at the line without restatement amount.</text>
  </threadedComment>
  <threadedComment ref="S18" dT="2024-06-25T21:35:54.92" personId="{EB74FBF6-7850-4633-A40A-4BDCBA4A3313}" id="{B462DD32-B897-4236-89D9-4614E718CFD4}">
    <text>Check if Restatement reason is not chosen at the line with restatement.</text>
  </threadedComment>
  <threadedComment ref="T18" dT="2024-06-25T21:36:14.02" personId="{EB74FBF6-7850-4633-A40A-4BDCBA4A3313}" id="{5AB5ACE9-0D1B-473E-BD2F-46A8DC0BD76C}">
    <text>Check if Category is chosen at the line without restatement amount.</text>
  </threadedComment>
  <threadedComment ref="U18" dT="2024-06-25T21:50:33.54" personId="{EB74FBF6-7850-4633-A40A-4BDCBA4A3313}" id="{0E719F0B-32E0-4AB4-998F-7194E8440AD3}">
    <text>Check Explanation column if foundation enters at the correct line.</text>
  </threadedComment>
  <threadedComment ref="O19" dT="2024-06-26T15:25:51.82" personId="{EB74FBF6-7850-4633-A40A-4BDCBA4A3313}" id="{68912E55-D28B-4E2B-A36C-D881946E136B}">
    <text xml:space="preserve">Cell O19 to T22 = Keep as is for now because this doesn't negatively affect the error check at row 46 &amp; 47. May update formula later if needed be. </text>
  </threadedComment>
  <threadedComment ref="M46" dT="2024-05-07T16:29:23.24" personId="{EB74FBF6-7850-4633-A40A-4BDCBA4A3313}" id="{721F4BD8-9D3D-426F-B244-CD7C93609002}">
    <text>IF(SUM(D16:D19)&lt;&gt;0,IF(SUM(D22:D36)=0,"ERROR - Enter the beginning balance of row B, C, D or E","OK"))</text>
  </threadedComment>
</ThreadedComments>
</file>

<file path=xl/threadedComments/threadedComment3.xml><?xml version="1.0" encoding="utf-8"?>
<ThreadedComments xmlns="http://schemas.microsoft.com/office/spreadsheetml/2018/threadedcomments" xmlns:x="http://schemas.openxmlformats.org/spreadsheetml/2006/main">
  <threadedComment ref="X41" dT="2023-03-16T15:26:46.86" personId="{EE8641C3-51BC-4E49-94E4-94D22833E2B4}" id="{32073AB9-F32A-4453-9201-969EAAA4F8A2}">
    <text>Agree to FY2022 WTB file at 'Offline SOA' tab and 2023 Beg Balance file</text>
  </threadedComment>
</ThreadedComments>
</file>

<file path=xl/threadedComments/threadedComment4.xml><?xml version="1.0" encoding="utf-8"?>
<ThreadedComments xmlns="http://schemas.microsoft.com/office/spreadsheetml/2018/threadedcomments" xmlns:x="http://schemas.openxmlformats.org/spreadsheetml/2006/main">
  <threadedComment ref="AI8" dT="2024-02-19T17:58:11.50" personId="{EE8641C3-51BC-4E49-94E4-94D22833E2B4}" id="{64D292E4-A099-4236-8DBF-D4250B8C8010}">
    <text>Minus AJE21</text>
  </threadedComment>
  <threadedComment ref="AI15" dT="2024-02-19T17:58:02.80" personId="{EE8641C3-51BC-4E49-94E4-94D22833E2B4}" id="{064AF09E-7E4F-4B9E-B67A-26D47F507381}">
    <text>Plus AJE 21</text>
  </threadedComment>
</ThreadedComments>
</file>

<file path=xl/threadedComments/threadedComment5.xml><?xml version="1.0" encoding="utf-8"?>
<ThreadedComments xmlns="http://schemas.microsoft.com/office/spreadsheetml/2018/threadedcomments" xmlns:x="http://schemas.openxmlformats.org/spreadsheetml/2006/main">
  <threadedComment ref="E37" dT="2024-05-03T20:38:23.38" personId="{EB74FBF6-7850-4633-A40A-4BDCBA4A3313}" id="{479F4928-69E5-48AB-9E26-F6503BFBD62F}">
    <text>None in FY2023 on foundation template but universities reported under this account.</text>
  </threadedComment>
  <threadedComment ref="D41" dT="2023-03-16T18:31:23.32" personId="{EE8641C3-51BC-4E49-94E4-94D22833E2B4}" id="{9B4D040E-191B-4339-B076-30CA54DCF731}">
    <text>This is the same account as "Lease liability" in NFCS package</text>
  </threadedComment>
  <threadedComment ref="D44" dT="2023-03-16T18:51:10.03" personId="{EE8641C3-51BC-4E49-94E4-94D22833E2B4}" id="{5F9F0F08-FE3C-4D0D-9DAE-5D25665100DB}">
    <text>New account in FY2023 (account number 21410000 and 242000).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 Id="rId4" Type="http://schemas.microsoft.com/office/2017/10/relationships/threadedComment" Target="../threadedComments/threadedComment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 Id="rId4" Type="http://schemas.microsoft.com/office/2017/10/relationships/threadedComment" Target="../threadedComments/threadedComment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hyperlink" Target="https://www.osc.nc.gov/2024-acfr-package-narratives/open"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D23"/>
  <sheetViews>
    <sheetView showGridLines="0" tabSelected="1" zoomScaleNormal="100" workbookViewId="0">
      <selection activeCell="B11" sqref="B11"/>
    </sheetView>
  </sheetViews>
  <sheetFormatPr defaultRowHeight="12.75" x14ac:dyDescent="0.2"/>
  <cols>
    <col min="1" max="1" width="106.28515625" customWidth="1"/>
    <col min="2" max="2" width="27.7109375" customWidth="1"/>
    <col min="3" max="3" width="45.7109375" customWidth="1"/>
    <col min="4" max="4" width="16" customWidth="1"/>
  </cols>
  <sheetData>
    <row r="1" spans="1:4" ht="20.100000000000001" customHeight="1" x14ac:dyDescent="0.2">
      <c r="A1" s="27"/>
      <c r="B1" s="27"/>
      <c r="C1" s="27"/>
      <c r="D1" s="27"/>
    </row>
    <row r="2" spans="1:4" ht="15.75" x14ac:dyDescent="0.25">
      <c r="A2" s="38" t="s">
        <v>0</v>
      </c>
      <c r="B2" s="38"/>
      <c r="C2" s="38"/>
      <c r="D2" s="38"/>
    </row>
    <row r="3" spans="1:4" ht="15.75" x14ac:dyDescent="0.25">
      <c r="A3" s="38" t="s">
        <v>1</v>
      </c>
      <c r="B3" s="38"/>
      <c r="C3" s="38"/>
      <c r="D3" s="38"/>
    </row>
    <row r="4" spans="1:4" ht="15.75" x14ac:dyDescent="0.25">
      <c r="A4" s="42" t="s">
        <v>464</v>
      </c>
      <c r="B4" s="39"/>
      <c r="C4" s="39"/>
      <c r="D4" s="39"/>
    </row>
    <row r="5" spans="1:4" ht="12.75" customHeight="1" x14ac:dyDescent="0.2">
      <c r="A5" s="40"/>
      <c r="B5" s="40"/>
      <c r="C5" s="40"/>
      <c r="D5" s="40"/>
    </row>
    <row r="6" spans="1:4" ht="12.75" customHeight="1" x14ac:dyDescent="0.2">
      <c r="A6" s="27"/>
      <c r="B6" s="27"/>
      <c r="C6" s="27"/>
      <c r="D6" s="27"/>
    </row>
    <row r="7" spans="1:4" x14ac:dyDescent="0.2">
      <c r="A7" s="151" t="s">
        <v>2</v>
      </c>
      <c r="B7" s="151"/>
      <c r="C7" s="151"/>
      <c r="D7" s="151"/>
    </row>
    <row r="8" spans="1:4" x14ac:dyDescent="0.2">
      <c r="A8" s="151" t="s">
        <v>3</v>
      </c>
      <c r="B8" s="151"/>
      <c r="C8" s="151"/>
      <c r="D8" s="151"/>
    </row>
    <row r="9" spans="1:4" x14ac:dyDescent="0.2">
      <c r="A9" s="151" t="s">
        <v>4</v>
      </c>
      <c r="B9" s="151"/>
      <c r="C9" s="151"/>
      <c r="D9" s="151"/>
    </row>
    <row r="10" spans="1:4" x14ac:dyDescent="0.2">
      <c r="A10" s="151" t="s">
        <v>5</v>
      </c>
      <c r="B10" s="151"/>
      <c r="C10" s="151"/>
      <c r="D10" s="151"/>
    </row>
    <row r="11" spans="1:4" ht="12.75" customHeight="1" x14ac:dyDescent="0.2">
      <c r="A11" s="151"/>
      <c r="B11" s="151"/>
      <c r="C11" s="151"/>
      <c r="D11" s="151"/>
    </row>
    <row r="12" spans="1:4" x14ac:dyDescent="0.2">
      <c r="A12" s="151" t="s">
        <v>6</v>
      </c>
      <c r="B12" s="151"/>
      <c r="C12" s="151"/>
      <c r="D12" s="151"/>
    </row>
    <row r="13" spans="1:4" x14ac:dyDescent="0.2">
      <c r="A13" s="151" t="s">
        <v>7</v>
      </c>
      <c r="B13" s="151"/>
      <c r="C13" s="151"/>
      <c r="D13" s="151"/>
    </row>
    <row r="14" spans="1:4" x14ac:dyDescent="0.2">
      <c r="A14" s="151" t="s">
        <v>8</v>
      </c>
      <c r="B14" s="151"/>
      <c r="C14" s="151"/>
      <c r="D14" s="151"/>
    </row>
    <row r="15" spans="1:4" x14ac:dyDescent="0.2">
      <c r="A15" s="151" t="s">
        <v>456</v>
      </c>
      <c r="B15" s="151"/>
      <c r="C15" s="151"/>
      <c r="D15" s="151"/>
    </row>
    <row r="16" spans="1:4" x14ac:dyDescent="0.2">
      <c r="A16" s="151"/>
      <c r="B16" s="151"/>
      <c r="C16" s="151"/>
      <c r="D16" s="151"/>
    </row>
    <row r="17" spans="1:4" ht="12.75" customHeight="1" x14ac:dyDescent="0.2">
      <c r="A17" s="235" t="s">
        <v>9</v>
      </c>
      <c r="B17" s="235"/>
      <c r="C17" s="235"/>
      <c r="D17" s="235"/>
    </row>
    <row r="18" spans="1:4" ht="12.75" customHeight="1" x14ac:dyDescent="0.2">
      <c r="A18" s="151" t="s">
        <v>10</v>
      </c>
      <c r="B18" s="151"/>
      <c r="C18" s="151"/>
      <c r="D18" s="151"/>
    </row>
    <row r="19" spans="1:4" x14ac:dyDescent="0.2">
      <c r="A19" s="151" t="s">
        <v>11</v>
      </c>
      <c r="B19" s="151"/>
      <c r="C19" s="151"/>
      <c r="D19" s="151"/>
    </row>
    <row r="20" spans="1:4" x14ac:dyDescent="0.2">
      <c r="A20" s="151" t="s">
        <v>12</v>
      </c>
      <c r="B20" s="151"/>
      <c r="C20" s="151"/>
      <c r="D20" s="151"/>
    </row>
    <row r="21" spans="1:4" x14ac:dyDescent="0.2">
      <c r="A21" s="151" t="s">
        <v>13</v>
      </c>
      <c r="B21" s="151"/>
      <c r="C21" s="151"/>
      <c r="D21" s="151"/>
    </row>
    <row r="22" spans="1:4" ht="20.100000000000001" customHeight="1" x14ac:dyDescent="0.2"/>
    <row r="23" spans="1:4" x14ac:dyDescent="0.2">
      <c r="A23" s="69" t="s">
        <v>768</v>
      </c>
    </row>
  </sheetData>
  <sheetProtection algorithmName="SHA-512" hashValue="a4jDHNto2QRvPUsxWP357JmCVCKV3Ava8AuaKW469MbSW3jXvpYISP7UQX+P/v6OBZlBmjlqEiQeAaM9fw461Q==" saltValue="b/nB0KsTImTML32V7hZdXA==" spinCount="100000" sheet="1" autoFilter="0"/>
  <phoneticPr fontId="0" type="noConversion"/>
  <pageMargins left="0.5" right="0.25" top="0.5" bottom="0.4" header="0.5" footer="0.25"/>
  <pageSetup orientation="landscape" r:id="rId1"/>
  <headerFooter alignWithMargins="0">
    <oddFooter>&amp;L&amp;F &amp;A&amp;C&amp;P of &amp;N&amp;R&amp;D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A8A20-EE3A-4D51-BD2E-7BE0949D03CC}">
  <sheetPr codeName="Sheet14"/>
  <dimension ref="A1:A113"/>
  <sheetViews>
    <sheetView workbookViewId="0">
      <selection activeCell="A21" sqref="A21"/>
    </sheetView>
  </sheetViews>
  <sheetFormatPr defaultRowHeight="12.75" x14ac:dyDescent="0.2"/>
  <cols>
    <col min="1" max="1" width="92.7109375" customWidth="1"/>
  </cols>
  <sheetData>
    <row r="1" spans="1:1" x14ac:dyDescent="0.2">
      <c r="A1" s="1" t="e">
        <f>CONCATENATE(Info!D7," Foundations")</f>
        <v>#N/A</v>
      </c>
    </row>
    <row r="2" spans="1:1" x14ac:dyDescent="0.2">
      <c r="A2" s="1" t="s">
        <v>311</v>
      </c>
    </row>
    <row r="3" spans="1:1" x14ac:dyDescent="0.2">
      <c r="A3" s="153" t="s">
        <v>463</v>
      </c>
    </row>
    <row r="4" spans="1:1" x14ac:dyDescent="0.2">
      <c r="A4" s="292" t="s">
        <v>459</v>
      </c>
    </row>
    <row r="5" spans="1:1" x14ac:dyDescent="0.2">
      <c r="A5" s="295" t="s">
        <v>460</v>
      </c>
    </row>
    <row r="7" spans="1:1" x14ac:dyDescent="0.2">
      <c r="A7" s="294"/>
    </row>
    <row r="8" spans="1:1" x14ac:dyDescent="0.2">
      <c r="A8" s="74"/>
    </row>
    <row r="9" spans="1:1" x14ac:dyDescent="0.2">
      <c r="A9" s="74"/>
    </row>
    <row r="10" spans="1:1" x14ac:dyDescent="0.2">
      <c r="A10" s="74"/>
    </row>
    <row r="11" spans="1:1" x14ac:dyDescent="0.2">
      <c r="A11" s="74"/>
    </row>
    <row r="12" spans="1:1" x14ac:dyDescent="0.2">
      <c r="A12" s="74"/>
    </row>
    <row r="13" spans="1:1" x14ac:dyDescent="0.2">
      <c r="A13" s="74"/>
    </row>
    <row r="14" spans="1:1" x14ac:dyDescent="0.2">
      <c r="A14" s="74"/>
    </row>
    <row r="15" spans="1:1" x14ac:dyDescent="0.2">
      <c r="A15" s="74"/>
    </row>
    <row r="16" spans="1:1" x14ac:dyDescent="0.2">
      <c r="A16" s="74"/>
    </row>
    <row r="17" spans="1:1" x14ac:dyDescent="0.2">
      <c r="A17" s="74"/>
    </row>
    <row r="18" spans="1:1" x14ac:dyDescent="0.2">
      <c r="A18" s="74"/>
    </row>
    <row r="19" spans="1:1" x14ac:dyDescent="0.2">
      <c r="A19" s="74"/>
    </row>
    <row r="20" spans="1:1" x14ac:dyDescent="0.2">
      <c r="A20" s="74"/>
    </row>
    <row r="21" spans="1:1" x14ac:dyDescent="0.2">
      <c r="A21" s="74"/>
    </row>
    <row r="22" spans="1:1" x14ac:dyDescent="0.2">
      <c r="A22" s="74"/>
    </row>
    <row r="23" spans="1:1" x14ac:dyDescent="0.2">
      <c r="A23" s="74"/>
    </row>
    <row r="24" spans="1:1" x14ac:dyDescent="0.2">
      <c r="A24" s="74"/>
    </row>
    <row r="25" spans="1:1" x14ac:dyDescent="0.2">
      <c r="A25" s="74"/>
    </row>
    <row r="26" spans="1:1" x14ac:dyDescent="0.2">
      <c r="A26" s="74"/>
    </row>
    <row r="27" spans="1:1" x14ac:dyDescent="0.2">
      <c r="A27" s="74"/>
    </row>
    <row r="28" spans="1:1" x14ac:dyDescent="0.2">
      <c r="A28" s="74"/>
    </row>
    <row r="29" spans="1:1" x14ac:dyDescent="0.2">
      <c r="A29" s="74"/>
    </row>
    <row r="30" spans="1:1" x14ac:dyDescent="0.2">
      <c r="A30" s="74"/>
    </row>
    <row r="31" spans="1:1" x14ac:dyDescent="0.2">
      <c r="A31" s="74"/>
    </row>
    <row r="32" spans="1:1" x14ac:dyDescent="0.2">
      <c r="A32" s="74"/>
    </row>
    <row r="33" spans="1:1" x14ac:dyDescent="0.2">
      <c r="A33" s="74"/>
    </row>
    <row r="34" spans="1:1" x14ac:dyDescent="0.2">
      <c r="A34" s="74"/>
    </row>
    <row r="35" spans="1:1" x14ac:dyDescent="0.2">
      <c r="A35" s="74"/>
    </row>
    <row r="36" spans="1:1" x14ac:dyDescent="0.2">
      <c r="A36" s="74"/>
    </row>
    <row r="37" spans="1:1" x14ac:dyDescent="0.2">
      <c r="A37" s="74"/>
    </row>
    <row r="38" spans="1:1" x14ac:dyDescent="0.2">
      <c r="A38" s="74"/>
    </row>
    <row r="39" spans="1:1" x14ac:dyDescent="0.2">
      <c r="A39" s="74"/>
    </row>
    <row r="40" spans="1:1" x14ac:dyDescent="0.2">
      <c r="A40" s="74"/>
    </row>
    <row r="41" spans="1:1" x14ac:dyDescent="0.2">
      <c r="A41" s="74"/>
    </row>
    <row r="42" spans="1:1" x14ac:dyDescent="0.2">
      <c r="A42" s="74"/>
    </row>
    <row r="43" spans="1:1" x14ac:dyDescent="0.2">
      <c r="A43" s="74"/>
    </row>
    <row r="44" spans="1:1" x14ac:dyDescent="0.2">
      <c r="A44" s="74"/>
    </row>
    <row r="45" spans="1:1" x14ac:dyDescent="0.2">
      <c r="A45" s="74"/>
    </row>
    <row r="46" spans="1:1" x14ac:dyDescent="0.2">
      <c r="A46" s="74"/>
    </row>
    <row r="47" spans="1:1" x14ac:dyDescent="0.2">
      <c r="A47" s="74"/>
    </row>
    <row r="48" spans="1:1" x14ac:dyDescent="0.2">
      <c r="A48" s="74"/>
    </row>
    <row r="49" spans="1:1" x14ac:dyDescent="0.2">
      <c r="A49" s="74"/>
    </row>
    <row r="50" spans="1:1" x14ac:dyDescent="0.2">
      <c r="A50" s="74"/>
    </row>
    <row r="51" spans="1:1" x14ac:dyDescent="0.2">
      <c r="A51" s="74"/>
    </row>
    <row r="52" spans="1:1" x14ac:dyDescent="0.2">
      <c r="A52" s="74"/>
    </row>
    <row r="53" spans="1:1" x14ac:dyDescent="0.2">
      <c r="A53" s="74"/>
    </row>
    <row r="54" spans="1:1" x14ac:dyDescent="0.2">
      <c r="A54" s="74"/>
    </row>
    <row r="55" spans="1:1" x14ac:dyDescent="0.2">
      <c r="A55" s="74"/>
    </row>
    <row r="56" spans="1:1" x14ac:dyDescent="0.2">
      <c r="A56" s="74"/>
    </row>
    <row r="57" spans="1:1" x14ac:dyDescent="0.2">
      <c r="A57" s="74"/>
    </row>
    <row r="58" spans="1:1" x14ac:dyDescent="0.2">
      <c r="A58" s="74"/>
    </row>
    <row r="59" spans="1:1" x14ac:dyDescent="0.2">
      <c r="A59" s="74"/>
    </row>
    <row r="60" spans="1:1" x14ac:dyDescent="0.2">
      <c r="A60" s="74"/>
    </row>
    <row r="61" spans="1:1" x14ac:dyDescent="0.2">
      <c r="A61" s="74"/>
    </row>
    <row r="62" spans="1:1" x14ac:dyDescent="0.2">
      <c r="A62" s="74"/>
    </row>
    <row r="63" spans="1:1" x14ac:dyDescent="0.2">
      <c r="A63" s="74"/>
    </row>
    <row r="64" spans="1:1" x14ac:dyDescent="0.2">
      <c r="A64" s="74"/>
    </row>
    <row r="65" spans="1:1" x14ac:dyDescent="0.2">
      <c r="A65" s="74"/>
    </row>
    <row r="66" spans="1:1" x14ac:dyDescent="0.2">
      <c r="A66" s="74"/>
    </row>
    <row r="67" spans="1:1" x14ac:dyDescent="0.2">
      <c r="A67" s="74"/>
    </row>
    <row r="68" spans="1:1" x14ac:dyDescent="0.2">
      <c r="A68" s="74"/>
    </row>
    <row r="69" spans="1:1" x14ac:dyDescent="0.2">
      <c r="A69" s="74"/>
    </row>
    <row r="70" spans="1:1" x14ac:dyDescent="0.2">
      <c r="A70" s="74"/>
    </row>
    <row r="71" spans="1:1" x14ac:dyDescent="0.2">
      <c r="A71" s="74"/>
    </row>
    <row r="72" spans="1:1" x14ac:dyDescent="0.2">
      <c r="A72" s="74"/>
    </row>
    <row r="73" spans="1:1" x14ac:dyDescent="0.2">
      <c r="A73" s="74"/>
    </row>
    <row r="74" spans="1:1" x14ac:dyDescent="0.2">
      <c r="A74" s="74"/>
    </row>
    <row r="75" spans="1:1" x14ac:dyDescent="0.2">
      <c r="A75" s="74"/>
    </row>
    <row r="76" spans="1:1" x14ac:dyDescent="0.2">
      <c r="A76" s="74"/>
    </row>
    <row r="77" spans="1:1" x14ac:dyDescent="0.2">
      <c r="A77" s="74"/>
    </row>
    <row r="78" spans="1:1" x14ac:dyDescent="0.2">
      <c r="A78" s="74"/>
    </row>
    <row r="79" spans="1:1" x14ac:dyDescent="0.2">
      <c r="A79" s="74"/>
    </row>
    <row r="80" spans="1:1" x14ac:dyDescent="0.2">
      <c r="A80" s="74"/>
    </row>
    <row r="81" spans="1:1" x14ac:dyDescent="0.2">
      <c r="A81" s="74"/>
    </row>
    <row r="82" spans="1:1" x14ac:dyDescent="0.2">
      <c r="A82" s="74"/>
    </row>
    <row r="83" spans="1:1" x14ac:dyDescent="0.2">
      <c r="A83" s="74"/>
    </row>
    <row r="84" spans="1:1" x14ac:dyDescent="0.2">
      <c r="A84" s="74"/>
    </row>
    <row r="85" spans="1:1" x14ac:dyDescent="0.2">
      <c r="A85" s="74"/>
    </row>
    <row r="86" spans="1:1" x14ac:dyDescent="0.2">
      <c r="A86" s="74"/>
    </row>
    <row r="87" spans="1:1" x14ac:dyDescent="0.2">
      <c r="A87" s="74"/>
    </row>
    <row r="88" spans="1:1" x14ac:dyDescent="0.2">
      <c r="A88" s="74"/>
    </row>
    <row r="89" spans="1:1" x14ac:dyDescent="0.2">
      <c r="A89" s="74"/>
    </row>
    <row r="90" spans="1:1" x14ac:dyDescent="0.2">
      <c r="A90" s="74"/>
    </row>
    <row r="91" spans="1:1" x14ac:dyDescent="0.2">
      <c r="A91" s="74"/>
    </row>
    <row r="92" spans="1:1" x14ac:dyDescent="0.2">
      <c r="A92" s="74"/>
    </row>
    <row r="93" spans="1:1" x14ac:dyDescent="0.2">
      <c r="A93" s="74"/>
    </row>
    <row r="94" spans="1:1" x14ac:dyDescent="0.2">
      <c r="A94" s="74"/>
    </row>
    <row r="95" spans="1:1" x14ac:dyDescent="0.2">
      <c r="A95" s="74"/>
    </row>
    <row r="96" spans="1:1" x14ac:dyDescent="0.2">
      <c r="A96" s="74"/>
    </row>
    <row r="97" spans="1:1" x14ac:dyDescent="0.2">
      <c r="A97" s="74"/>
    </row>
    <row r="98" spans="1:1" x14ac:dyDescent="0.2">
      <c r="A98" s="74"/>
    </row>
    <row r="99" spans="1:1" x14ac:dyDescent="0.2">
      <c r="A99" s="74"/>
    </row>
    <row r="100" spans="1:1" x14ac:dyDescent="0.2">
      <c r="A100" s="74"/>
    </row>
    <row r="101" spans="1:1" x14ac:dyDescent="0.2">
      <c r="A101" s="74"/>
    </row>
    <row r="102" spans="1:1" x14ac:dyDescent="0.2">
      <c r="A102" s="74"/>
    </row>
    <row r="103" spans="1:1" x14ac:dyDescent="0.2">
      <c r="A103" s="74"/>
    </row>
    <row r="104" spans="1:1" x14ac:dyDescent="0.2">
      <c r="A104" s="74"/>
    </row>
    <row r="105" spans="1:1" x14ac:dyDescent="0.2">
      <c r="A105" s="74"/>
    </row>
    <row r="106" spans="1:1" x14ac:dyDescent="0.2">
      <c r="A106" s="74"/>
    </row>
    <row r="107" spans="1:1" x14ac:dyDescent="0.2">
      <c r="A107" s="74"/>
    </row>
    <row r="108" spans="1:1" x14ac:dyDescent="0.2">
      <c r="A108" s="74"/>
    </row>
    <row r="109" spans="1:1" x14ac:dyDescent="0.2">
      <c r="A109" s="74"/>
    </row>
    <row r="110" spans="1:1" x14ac:dyDescent="0.2">
      <c r="A110" s="74"/>
    </row>
    <row r="111" spans="1:1" x14ac:dyDescent="0.2">
      <c r="A111" s="74"/>
    </row>
    <row r="112" spans="1:1" x14ac:dyDescent="0.2">
      <c r="A112" s="74"/>
    </row>
    <row r="113" spans="1:1" x14ac:dyDescent="0.2">
      <c r="A113" s="7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S30"/>
  <sheetViews>
    <sheetView zoomScaleNormal="100" workbookViewId="0">
      <selection activeCell="I27" sqref="I27"/>
    </sheetView>
  </sheetViews>
  <sheetFormatPr defaultColWidth="8" defaultRowHeight="11.25" x14ac:dyDescent="0.2"/>
  <cols>
    <col min="1" max="1" width="7.5703125" style="57" customWidth="1"/>
    <col min="2" max="2" width="33.85546875" style="57" customWidth="1"/>
    <col min="3" max="3" width="18" style="59" customWidth="1"/>
    <col min="4" max="4" width="18.28515625" style="57" customWidth="1"/>
    <col min="5" max="5" width="9.140625" style="57" customWidth="1"/>
    <col min="6" max="16384" width="8" style="57"/>
  </cols>
  <sheetData>
    <row r="1" spans="1:19" ht="12.75" x14ac:dyDescent="0.2">
      <c r="B1" s="66"/>
      <c r="C1" s="232" t="s">
        <v>472</v>
      </c>
    </row>
    <row r="2" spans="1:19" ht="12.75" x14ac:dyDescent="0.2">
      <c r="A2" s="62" t="s">
        <v>312</v>
      </c>
      <c r="B2" s="58"/>
      <c r="C2" s="64" t="s">
        <v>313</v>
      </c>
    </row>
    <row r="3" spans="1:19" ht="12.75" x14ac:dyDescent="0.2">
      <c r="A3" s="63" t="s">
        <v>314</v>
      </c>
      <c r="B3" s="63" t="s">
        <v>315</v>
      </c>
      <c r="C3" s="65" t="s">
        <v>316</v>
      </c>
      <c r="D3" s="67" t="s">
        <v>317</v>
      </c>
      <c r="R3" s="77" t="s">
        <v>318</v>
      </c>
      <c r="S3" s="77" t="s">
        <v>319</v>
      </c>
    </row>
    <row r="4" spans="1:19" ht="6.75" customHeight="1" x14ac:dyDescent="0.2">
      <c r="A4" s="77"/>
    </row>
    <row r="5" spans="1:19" ht="15.75" x14ac:dyDescent="0.25">
      <c r="A5" s="60" t="s">
        <v>18</v>
      </c>
      <c r="B5" s="61" t="s">
        <v>320</v>
      </c>
      <c r="C5" s="147"/>
      <c r="R5" s="60" t="s">
        <v>18</v>
      </c>
      <c r="S5" s="60" t="s">
        <v>321</v>
      </c>
    </row>
    <row r="6" spans="1:19" ht="15.75" x14ac:dyDescent="0.25">
      <c r="A6" s="60" t="s">
        <v>322</v>
      </c>
      <c r="B6" s="61" t="s">
        <v>323</v>
      </c>
      <c r="C6" s="296">
        <v>1487466612</v>
      </c>
      <c r="R6" s="60" t="s">
        <v>322</v>
      </c>
      <c r="S6" s="60" t="s">
        <v>324</v>
      </c>
    </row>
    <row r="7" spans="1:19" ht="15.75" x14ac:dyDescent="0.25">
      <c r="A7" s="60" t="s">
        <v>325</v>
      </c>
      <c r="B7" s="61" t="s">
        <v>326</v>
      </c>
      <c r="C7" s="296">
        <v>925620169</v>
      </c>
      <c r="R7" s="60" t="s">
        <v>325</v>
      </c>
      <c r="S7" s="60" t="s">
        <v>327</v>
      </c>
    </row>
    <row r="8" spans="1:19" ht="15.75" x14ac:dyDescent="0.25">
      <c r="A8" s="60" t="s">
        <v>328</v>
      </c>
      <c r="B8" s="61" t="s">
        <v>329</v>
      </c>
      <c r="C8" s="297"/>
      <c r="R8" s="60" t="s">
        <v>328</v>
      </c>
      <c r="S8" s="60" t="s">
        <v>330</v>
      </c>
    </row>
    <row r="9" spans="1:19" ht="15.75" x14ac:dyDescent="0.25">
      <c r="A9" s="60" t="s">
        <v>331</v>
      </c>
      <c r="B9" s="61" t="s">
        <v>332</v>
      </c>
      <c r="C9" s="296">
        <v>260182706</v>
      </c>
      <c r="R9" s="60" t="s">
        <v>331</v>
      </c>
      <c r="S9" s="60" t="s">
        <v>333</v>
      </c>
    </row>
    <row r="10" spans="1:19" ht="15.75" x14ac:dyDescent="0.25">
      <c r="A10" s="60" t="s">
        <v>334</v>
      </c>
      <c r="B10" s="61" t="s">
        <v>335</v>
      </c>
      <c r="C10" s="296">
        <v>57534724</v>
      </c>
      <c r="R10" s="60" t="s">
        <v>334</v>
      </c>
      <c r="S10" s="60" t="s">
        <v>336</v>
      </c>
    </row>
    <row r="11" spans="1:19" ht="15.75" x14ac:dyDescent="0.25">
      <c r="A11" s="60" t="s">
        <v>337</v>
      </c>
      <c r="B11" s="61" t="s">
        <v>338</v>
      </c>
      <c r="C11" s="298"/>
      <c r="R11" s="60" t="s">
        <v>337</v>
      </c>
      <c r="S11" s="60" t="s">
        <v>339</v>
      </c>
    </row>
    <row r="12" spans="1:19" ht="15.75" x14ac:dyDescent="0.25">
      <c r="A12" s="60" t="s">
        <v>340</v>
      </c>
      <c r="B12" s="61" t="s">
        <v>341</v>
      </c>
      <c r="C12" s="296">
        <v>203811931</v>
      </c>
      <c r="R12" s="60" t="s">
        <v>340</v>
      </c>
      <c r="S12" s="60" t="s">
        <v>342</v>
      </c>
    </row>
    <row r="13" spans="1:19" ht="15.75" x14ac:dyDescent="0.25">
      <c r="A13" s="60" t="s">
        <v>343</v>
      </c>
      <c r="B13" s="61" t="s">
        <v>344</v>
      </c>
      <c r="C13" s="296">
        <v>57202204</v>
      </c>
      <c r="R13" s="60" t="s">
        <v>343</v>
      </c>
      <c r="S13" s="60" t="s">
        <v>345</v>
      </c>
    </row>
    <row r="14" spans="1:19" ht="15.75" x14ac:dyDescent="0.25">
      <c r="A14" s="60" t="s">
        <v>346</v>
      </c>
      <c r="B14" s="61" t="s">
        <v>347</v>
      </c>
      <c r="C14" s="298"/>
      <c r="R14" s="60" t="s">
        <v>346</v>
      </c>
      <c r="S14" s="60" t="s">
        <v>348</v>
      </c>
    </row>
    <row r="15" spans="1:19" ht="15.75" x14ac:dyDescent="0.25">
      <c r="A15" s="60" t="s">
        <v>349</v>
      </c>
      <c r="B15" s="61" t="s">
        <v>350</v>
      </c>
      <c r="C15" s="296">
        <f>PriorYrExhD!O41</f>
        <v>0</v>
      </c>
      <c r="R15" s="60" t="s">
        <v>349</v>
      </c>
      <c r="S15" s="60" t="s">
        <v>351</v>
      </c>
    </row>
    <row r="16" spans="1:19" ht="15.75" x14ac:dyDescent="0.25">
      <c r="A16" s="60" t="s">
        <v>352</v>
      </c>
      <c r="B16" s="61" t="s">
        <v>353</v>
      </c>
      <c r="C16" s="297"/>
      <c r="R16" s="60" t="s">
        <v>352</v>
      </c>
      <c r="S16" s="60" t="s">
        <v>354</v>
      </c>
    </row>
    <row r="17" spans="1:19" ht="15.75" x14ac:dyDescent="0.25">
      <c r="A17" s="60" t="s">
        <v>355</v>
      </c>
      <c r="B17" s="61" t="s">
        <v>356</v>
      </c>
      <c r="C17" s="296">
        <v>67227053</v>
      </c>
      <c r="R17" s="60" t="s">
        <v>355</v>
      </c>
      <c r="S17" s="60" t="s">
        <v>357</v>
      </c>
    </row>
    <row r="18" spans="1:19" ht="15.75" x14ac:dyDescent="0.25">
      <c r="A18" s="60" t="s">
        <v>358</v>
      </c>
      <c r="B18" s="61" t="s">
        <v>359</v>
      </c>
      <c r="C18" s="298"/>
      <c r="R18" s="60" t="s">
        <v>358</v>
      </c>
      <c r="S18" s="60" t="s">
        <v>360</v>
      </c>
    </row>
    <row r="19" spans="1:19" ht="15.75" x14ac:dyDescent="0.25">
      <c r="A19" s="60" t="s">
        <v>361</v>
      </c>
      <c r="B19" s="61" t="s">
        <v>362</v>
      </c>
      <c r="C19" s="298"/>
      <c r="R19" s="60" t="s">
        <v>361</v>
      </c>
      <c r="S19" s="60" t="s">
        <v>363</v>
      </c>
    </row>
    <row r="20" spans="1:19" ht="15.75" x14ac:dyDescent="0.25">
      <c r="A20" s="60" t="s">
        <v>364</v>
      </c>
      <c r="B20" s="61" t="s">
        <v>365</v>
      </c>
      <c r="C20" s="296">
        <v>48183667</v>
      </c>
      <c r="R20" s="60" t="s">
        <v>364</v>
      </c>
      <c r="S20" s="60" t="s">
        <v>366</v>
      </c>
    </row>
    <row r="21" spans="1:19" ht="15.75" x14ac:dyDescent="0.25">
      <c r="A21" s="60" t="s">
        <v>367</v>
      </c>
      <c r="B21" s="61" t="s">
        <v>368</v>
      </c>
      <c r="C21" s="296">
        <v>99301879</v>
      </c>
      <c r="R21" s="60" t="s">
        <v>367</v>
      </c>
      <c r="S21" s="60" t="s">
        <v>369</v>
      </c>
    </row>
    <row r="22" spans="1:19" ht="13.5" customHeight="1" x14ac:dyDescent="0.25">
      <c r="A22" s="60">
        <v>87</v>
      </c>
      <c r="B22" s="61" t="s">
        <v>370</v>
      </c>
      <c r="C22" s="296">
        <v>41370097</v>
      </c>
      <c r="R22" s="60">
        <v>87</v>
      </c>
      <c r="S22" s="60" t="s">
        <v>371</v>
      </c>
    </row>
    <row r="23" spans="1:19" ht="13.5" thickBot="1" x14ac:dyDescent="0.25">
      <c r="C23" s="251">
        <f>SUM(C5:C22)</f>
        <v>3247901042</v>
      </c>
      <c r="D23" s="252"/>
      <c r="E23" s="252"/>
    </row>
    <row r="24" spans="1:19" ht="12" thickTop="1" x14ac:dyDescent="0.2"/>
    <row r="25" spans="1:19" x14ac:dyDescent="0.2">
      <c r="A25" s="148" t="s">
        <v>473</v>
      </c>
    </row>
    <row r="26" spans="1:19" ht="13.5" x14ac:dyDescent="0.35">
      <c r="A26" s="78"/>
    </row>
    <row r="27" spans="1:19" x14ac:dyDescent="0.2">
      <c r="A27" s="77" t="s">
        <v>372</v>
      </c>
    </row>
    <row r="28" spans="1:19" x14ac:dyDescent="0.2">
      <c r="A28" s="77" t="s">
        <v>373</v>
      </c>
    </row>
    <row r="29" spans="1:19" x14ac:dyDescent="0.2">
      <c r="A29" s="77" t="s">
        <v>374</v>
      </c>
    </row>
    <row r="30" spans="1:19" x14ac:dyDescent="0.2">
      <c r="A30" s="77" t="s">
        <v>375</v>
      </c>
    </row>
  </sheetData>
  <sheetProtection algorithmName="SHA-512" hashValue="0v/caCYMnhtT7A+JyZtbHcyN9Z2POoQpxFc+T6Pw0dB6JZZdxgJk0BLO28U9QMf2HOoV3nkVms2Ki0ay670Rsw==" saltValue="h4yKgHaJ/msaGvXMjQZXzQ==" spinCount="100000" sheet="1" autoFilter="0"/>
  <phoneticPr fontId="20" type="noConversion"/>
  <pageMargins left="0.75" right="0.75" top="1" bottom="0.5" header="0.5" footer="0.5"/>
  <pageSetup scale="90"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Y54"/>
  <sheetViews>
    <sheetView zoomScaleNormal="100" workbookViewId="0">
      <pane xSplit="3" ySplit="6" topLeftCell="D7" activePane="bottomRight" state="frozen"/>
      <selection pane="topRight" activeCell="A5" sqref="A5"/>
      <selection pane="bottomLeft" activeCell="A5" sqref="A5"/>
      <selection pane="bottomRight" activeCell="G38" sqref="G38"/>
    </sheetView>
  </sheetViews>
  <sheetFormatPr defaultColWidth="9.140625" defaultRowHeight="12.75" x14ac:dyDescent="0.25"/>
  <cols>
    <col min="1" max="1" width="4.42578125" style="79" customWidth="1"/>
    <col min="2" max="2" width="4.7109375" style="115" customWidth="1"/>
    <col min="3" max="3" width="30.28515625" style="115" customWidth="1"/>
    <col min="4" max="4" width="2.28515625" style="115" customWidth="1"/>
    <col min="5" max="5" width="6.7109375" style="115" customWidth="1"/>
    <col min="6" max="6" width="11" style="115" customWidth="1"/>
    <col min="7" max="7" width="10.42578125" style="115" customWidth="1"/>
    <col min="8" max="8" width="6" style="115" customWidth="1"/>
    <col min="9" max="9" width="10.5703125" style="115" bestFit="1" customWidth="1"/>
    <col min="10" max="10" width="10.5703125" style="115" customWidth="1"/>
    <col min="11" max="11" width="7.140625" style="115" bestFit="1" customWidth="1"/>
    <col min="12" max="12" width="10.140625" style="115" customWidth="1"/>
    <col min="13" max="13" width="10.7109375" style="115" customWidth="1"/>
    <col min="14" max="14" width="7.140625" style="115" bestFit="1" customWidth="1"/>
    <col min="15" max="15" width="10.5703125" style="115" customWidth="1"/>
    <col min="16" max="16" width="11" style="115" bestFit="1" customWidth="1"/>
    <col min="17" max="17" width="10.140625" style="115" customWidth="1"/>
    <col min="18" max="18" width="5.140625" style="115" customWidth="1"/>
    <col min="19" max="19" width="7.140625" style="115" bestFit="1" customWidth="1"/>
    <col min="20" max="20" width="9.5703125" style="115" customWidth="1"/>
    <col min="21" max="21" width="9.85546875" style="115" bestFit="1" customWidth="1"/>
    <col min="22" max="22" width="10.5703125" style="115" customWidth="1"/>
    <col min="23" max="23" width="1.5703125" style="115" customWidth="1"/>
    <col min="24" max="24" width="11.42578125" style="98" customWidth="1"/>
    <col min="25" max="25" width="9.85546875" style="115" bestFit="1" customWidth="1"/>
    <col min="26" max="26" width="11" style="115" bestFit="1" customWidth="1"/>
    <col min="27" max="71" width="9.28515625" style="115" customWidth="1"/>
    <col min="72" max="16384" width="9.140625" style="115"/>
  </cols>
  <sheetData>
    <row r="1" spans="1:25" x14ac:dyDescent="0.25">
      <c r="C1" s="116" t="s">
        <v>376</v>
      </c>
      <c r="D1" s="117"/>
    </row>
    <row r="2" spans="1:25" s="117" customFormat="1" ht="13.5" x14ac:dyDescent="0.25">
      <c r="A2" s="83"/>
      <c r="C2" s="118" t="s">
        <v>377</v>
      </c>
      <c r="E2" s="46" t="s">
        <v>378</v>
      </c>
      <c r="F2" s="46" t="s">
        <v>379</v>
      </c>
      <c r="G2" s="46" t="s">
        <v>380</v>
      </c>
      <c r="H2" s="46" t="s">
        <v>381</v>
      </c>
      <c r="I2" s="46" t="s">
        <v>382</v>
      </c>
      <c r="J2" s="46" t="s">
        <v>383</v>
      </c>
      <c r="K2" s="46" t="s">
        <v>384</v>
      </c>
      <c r="L2" s="46" t="s">
        <v>385</v>
      </c>
      <c r="M2" s="46" t="s">
        <v>386</v>
      </c>
      <c r="N2" s="46" t="s">
        <v>387</v>
      </c>
      <c r="O2" s="46" t="s">
        <v>388</v>
      </c>
      <c r="P2" s="46" t="s">
        <v>389</v>
      </c>
      <c r="Q2" s="46" t="s">
        <v>390</v>
      </c>
      <c r="R2" s="46" t="s">
        <v>391</v>
      </c>
      <c r="S2" s="46" t="s">
        <v>392</v>
      </c>
      <c r="T2" s="46" t="s">
        <v>393</v>
      </c>
      <c r="U2" s="46" t="s">
        <v>394</v>
      </c>
      <c r="V2" s="46" t="s">
        <v>395</v>
      </c>
      <c r="X2" s="99"/>
    </row>
    <row r="3" spans="1:25" s="117" customFormat="1" ht="13.5" customHeight="1" x14ac:dyDescent="0.25">
      <c r="A3" s="83"/>
      <c r="C3" s="86">
        <v>45107</v>
      </c>
      <c r="D3" s="87"/>
      <c r="X3" s="99"/>
    </row>
    <row r="4" spans="1:25" s="117" customFormat="1" ht="11.1" customHeight="1" x14ac:dyDescent="0.25">
      <c r="A4" s="83"/>
      <c r="C4" s="133" t="s">
        <v>396</v>
      </c>
      <c r="D4" s="87"/>
      <c r="X4" s="99"/>
    </row>
    <row r="5" spans="1:25" s="117" customFormat="1" x14ac:dyDescent="0.25">
      <c r="A5" s="83"/>
      <c r="C5" s="88" t="s">
        <v>458</v>
      </c>
      <c r="D5" s="87"/>
      <c r="M5" s="117" t="s">
        <v>397</v>
      </c>
      <c r="O5" s="117" t="s">
        <v>397</v>
      </c>
      <c r="Q5" s="117" t="s">
        <v>397</v>
      </c>
      <c r="X5" s="99" t="s">
        <v>398</v>
      </c>
    </row>
    <row r="6" spans="1:25" s="117" customFormat="1" ht="15" customHeight="1" x14ac:dyDescent="0.25">
      <c r="A6" s="83"/>
      <c r="C6" s="1" t="s">
        <v>241</v>
      </c>
      <c r="E6" s="119" t="s">
        <v>399</v>
      </c>
      <c r="F6" s="119" t="s">
        <v>400</v>
      </c>
      <c r="G6" s="119" t="s">
        <v>401</v>
      </c>
      <c r="H6" s="119" t="s">
        <v>402</v>
      </c>
      <c r="I6" s="119" t="s">
        <v>403</v>
      </c>
      <c r="J6" s="119" t="s">
        <v>404</v>
      </c>
      <c r="K6" s="119" t="s">
        <v>405</v>
      </c>
      <c r="L6" s="119" t="s">
        <v>406</v>
      </c>
      <c r="M6" s="119" t="s">
        <v>407</v>
      </c>
      <c r="N6" s="119" t="s">
        <v>408</v>
      </c>
      <c r="O6" s="119" t="s">
        <v>409</v>
      </c>
      <c r="P6" s="119" t="s">
        <v>410</v>
      </c>
      <c r="Q6" s="119" t="s">
        <v>411</v>
      </c>
      <c r="R6" s="119" t="s">
        <v>412</v>
      </c>
      <c r="S6" s="119" t="s">
        <v>413</v>
      </c>
      <c r="T6" s="119" t="s">
        <v>414</v>
      </c>
      <c r="U6" s="119" t="s">
        <v>415</v>
      </c>
      <c r="V6" s="119" t="s">
        <v>416</v>
      </c>
      <c r="W6" s="119"/>
      <c r="X6" s="100" t="s">
        <v>417</v>
      </c>
    </row>
    <row r="7" spans="1:25" s="117" customFormat="1" ht="13.5" customHeight="1" x14ac:dyDescent="0.25">
      <c r="A7" s="83">
        <v>3240</v>
      </c>
      <c r="B7" s="151">
        <v>100</v>
      </c>
      <c r="C7" s="217" t="s">
        <v>43</v>
      </c>
      <c r="E7" s="143"/>
      <c r="F7" s="140">
        <f>VLOOKUP(A7,'PYExhD Data'!$A$7:$V$41,6,FALSE)</f>
        <v>84340515</v>
      </c>
      <c r="G7" s="140">
        <f>VLOOKUP(A7,'PYExhD Data'!$A$7:$V$41,7,FALSE)</f>
        <v>60602966</v>
      </c>
      <c r="H7" s="143"/>
      <c r="I7" s="140">
        <f>VLOOKUP(A7,'PYExhD Data'!$A$7:$V$41,9,FALSE)</f>
        <v>36513674</v>
      </c>
      <c r="J7" s="140">
        <f>VLOOKUP(A7,'PYExhD Data'!$A$7:$V$41,10,FALSE)</f>
        <v>4486312</v>
      </c>
      <c r="K7" s="143"/>
      <c r="L7" s="140">
        <f>VLOOKUP(A7,'PYExhD Data'!$A$7:$V$41,12,FALSE)</f>
        <v>6788687</v>
      </c>
      <c r="M7" s="140">
        <f>VLOOKUP(A7,'PYExhD Data'!$A$7:$V$41,13,FALSE)</f>
        <v>42837588</v>
      </c>
      <c r="N7" s="143"/>
      <c r="O7" s="140">
        <f>VLOOKUP(A7,'PYExhD Data'!$A$7:$V$41,15,FALSE)</f>
        <v>0</v>
      </c>
      <c r="P7" s="145"/>
      <c r="Q7" s="140">
        <f>VLOOKUP(A7,'PYExhD Data'!$A$7:$V$41,17,FALSE)</f>
        <v>4872208</v>
      </c>
      <c r="R7" s="143"/>
      <c r="S7" s="143"/>
      <c r="T7" s="140">
        <f>VLOOKUP(A7,'PYExhD Data'!$A$7:$V$41,20,FALSE)</f>
        <v>6391958</v>
      </c>
      <c r="U7" s="140">
        <f>VLOOKUP(A7,'PYExhD Data'!$A$7:$V$41,21,FALSE)</f>
        <v>15879570</v>
      </c>
      <c r="V7" s="140">
        <f>VLOOKUP(A7,'PYExhD Data'!$A$7:$V$41,22,FALSE)</f>
        <v>17995331</v>
      </c>
      <c r="X7" s="98">
        <f t="shared" ref="X7:X17" si="0">SUM(E7:W7)</f>
        <v>280708809</v>
      </c>
    </row>
    <row r="8" spans="1:25" ht="13.5" customHeight="1" x14ac:dyDescent="0.25">
      <c r="A8" s="79">
        <v>3250</v>
      </c>
      <c r="B8" s="151">
        <v>105</v>
      </c>
      <c r="C8" s="217" t="s">
        <v>45</v>
      </c>
      <c r="D8" s="90"/>
      <c r="E8" s="143"/>
      <c r="F8" s="140">
        <f>VLOOKUP(A8,'PYExhD Data'!$A$7:$V$41,6,FALSE)</f>
        <v>1312535241</v>
      </c>
      <c r="G8" s="140">
        <f>VLOOKUP(A8,'PYExhD Data'!$A$7:$V$41,7,FALSE)</f>
        <v>63889746</v>
      </c>
      <c r="H8" s="143"/>
      <c r="I8" s="140">
        <f>VLOOKUP(A8,'PYExhD Data'!$A$7:$V$41,9,FALSE)</f>
        <v>15918687</v>
      </c>
      <c r="J8" s="140">
        <f>VLOOKUP(A8,'PYExhD Data'!$A$7:$V$41,10,FALSE)</f>
        <v>1175735</v>
      </c>
      <c r="K8" s="143"/>
      <c r="L8" s="140">
        <f>VLOOKUP(A8,'PYExhD Data'!$A$7:$V$41,12,FALSE)</f>
        <v>36258158</v>
      </c>
      <c r="M8" s="140">
        <f>VLOOKUP(A8,'PYExhD Data'!$A$7:$V$41,13,FALSE)</f>
        <v>1535999</v>
      </c>
      <c r="N8" s="143"/>
      <c r="O8" s="140">
        <f>VLOOKUP(A8,'PYExhD Data'!$A$7:$V$41,15,FALSE)</f>
        <v>0</v>
      </c>
      <c r="P8" s="145"/>
      <c r="Q8" s="140">
        <f>VLOOKUP(A8,'PYExhD Data'!$A$7:$V$41,17,FALSE)</f>
        <v>25032490</v>
      </c>
      <c r="R8" s="143"/>
      <c r="S8" s="143"/>
      <c r="T8" s="140">
        <f>VLOOKUP(A8,'PYExhD Data'!$A$7:$V$41,20,FALSE)</f>
        <v>10497878</v>
      </c>
      <c r="U8" s="140">
        <f>VLOOKUP(A8,'PYExhD Data'!$A$7:$V$41,21,FALSE)</f>
        <v>313075</v>
      </c>
      <c r="V8" s="140">
        <f>VLOOKUP(A8,'PYExhD Data'!$A$7:$V$41,22,FALSE)</f>
        <v>0</v>
      </c>
      <c r="W8" s="94"/>
      <c r="X8" s="98">
        <f t="shared" si="0"/>
        <v>1467157009</v>
      </c>
      <c r="Y8" s="117"/>
    </row>
    <row r="9" spans="1:25" ht="13.5" customHeight="1" x14ac:dyDescent="0.25">
      <c r="A9" s="79">
        <v>3270</v>
      </c>
      <c r="B9" s="151">
        <v>110</v>
      </c>
      <c r="C9" s="217" t="s">
        <v>52</v>
      </c>
      <c r="D9" s="90"/>
      <c r="E9" s="143"/>
      <c r="F9" s="140">
        <f>VLOOKUP(A9,'PYExhD Data'!$A$7:$V$41,6,FALSE)</f>
        <v>85348931</v>
      </c>
      <c r="G9" s="140">
        <f>VLOOKUP(A9,'PYExhD Data'!$A$7:$V$41,7,FALSE)</f>
        <v>26392849</v>
      </c>
      <c r="H9" s="143"/>
      <c r="I9" s="140">
        <f>VLOOKUP(A9,'PYExhD Data'!$A$7:$V$41,9,FALSE)</f>
        <v>18452583</v>
      </c>
      <c r="J9" s="140">
        <f>VLOOKUP(A9,'PYExhD Data'!$A$7:$V$41,10,FALSE)</f>
        <v>2987472</v>
      </c>
      <c r="K9" s="143"/>
      <c r="L9" s="140">
        <f>VLOOKUP(A9,'PYExhD Data'!$A$7:$V$41,12,FALSE)</f>
        <v>9837474</v>
      </c>
      <c r="M9" s="140">
        <f>VLOOKUP(A9,'PYExhD Data'!$A$7:$V$41,13,FALSE)</f>
        <v>5816241</v>
      </c>
      <c r="N9" s="143"/>
      <c r="O9" s="140">
        <f>VLOOKUP(A9,'PYExhD Data'!$A$7:$V$41,15,FALSE)</f>
        <v>0</v>
      </c>
      <c r="P9" s="145"/>
      <c r="Q9" s="140">
        <f>VLOOKUP(A9,'PYExhD Data'!$A$7:$V$41,17,FALSE)</f>
        <v>577673</v>
      </c>
      <c r="R9" s="143"/>
      <c r="S9" s="143"/>
      <c r="T9" s="140">
        <f>VLOOKUP(A9,'PYExhD Data'!$A$7:$V$41,20,FALSE)</f>
        <v>6915527</v>
      </c>
      <c r="U9" s="140">
        <f>VLOOKUP(A9,'PYExhD Data'!$A$7:$V$41,21,FALSE)</f>
        <v>2939225</v>
      </c>
      <c r="V9" s="140">
        <f>VLOOKUP(A9,'PYExhD Data'!$A$7:$V$41,22,FALSE)</f>
        <v>5563959</v>
      </c>
      <c r="W9" s="94"/>
      <c r="X9" s="98">
        <f t="shared" si="0"/>
        <v>164831934</v>
      </c>
      <c r="Y9" s="117"/>
    </row>
    <row r="10" spans="1:25" ht="13.5" customHeight="1" x14ac:dyDescent="0.25">
      <c r="A10" s="79">
        <v>3285</v>
      </c>
      <c r="B10" s="151">
        <v>112</v>
      </c>
      <c r="C10" s="217" t="s">
        <v>242</v>
      </c>
      <c r="D10" s="91"/>
      <c r="E10" s="143"/>
      <c r="F10" s="140">
        <f>VLOOKUP(A10,'PYExhD Data'!$A$7:$V$41,6,FALSE)</f>
        <v>3375511</v>
      </c>
      <c r="G10" s="140">
        <f>VLOOKUP(A10,'PYExhD Data'!$A$7:$V$41,7,FALSE)</f>
        <v>0</v>
      </c>
      <c r="H10" s="143"/>
      <c r="I10" s="140">
        <f>VLOOKUP(A10,'PYExhD Data'!$A$7:$V$41,9,FALSE)</f>
        <v>70204731</v>
      </c>
      <c r="J10" s="140">
        <f>VLOOKUP(A10,'PYExhD Data'!$A$7:$V$41,10,FALSE)</f>
        <v>217407</v>
      </c>
      <c r="K10" s="143"/>
      <c r="L10" s="140">
        <f>VLOOKUP(A10,'PYExhD Data'!$A$7:$V$41,12,FALSE)</f>
        <v>0</v>
      </c>
      <c r="M10" s="140">
        <f>VLOOKUP(A10,'PYExhD Data'!$A$7:$V$41,13,FALSE)</f>
        <v>2704852</v>
      </c>
      <c r="N10" s="143"/>
      <c r="O10" s="140">
        <f>VLOOKUP(A10,'PYExhD Data'!$A$7:$V$41,15,FALSE)</f>
        <v>0</v>
      </c>
      <c r="P10" s="145"/>
      <c r="Q10" s="140">
        <f>VLOOKUP(A10,'PYExhD Data'!$A$7:$V$41,17,FALSE)</f>
        <v>8626</v>
      </c>
      <c r="R10" s="143"/>
      <c r="S10" s="143"/>
      <c r="T10" s="140">
        <f>VLOOKUP(A10,'PYExhD Data'!$A$7:$V$41,20,FALSE)</f>
        <v>0</v>
      </c>
      <c r="U10" s="140">
        <f>VLOOKUP(A10,'PYExhD Data'!$A$7:$V$41,21,FALSE)</f>
        <v>0</v>
      </c>
      <c r="V10" s="140">
        <f>VLOOKUP(A10,'PYExhD Data'!$A$7:$V$41,22,FALSE)</f>
        <v>0</v>
      </c>
      <c r="W10" s="94"/>
      <c r="X10" s="98">
        <f t="shared" ref="X10" si="1">SUM(E10:W10)</f>
        <v>76511127</v>
      </c>
      <c r="Y10" s="117"/>
    </row>
    <row r="11" spans="1:25" ht="13.5" customHeight="1" x14ac:dyDescent="0.25">
      <c r="A11" s="79">
        <v>3310</v>
      </c>
      <c r="B11" s="151">
        <v>115</v>
      </c>
      <c r="C11" s="217" t="s">
        <v>55</v>
      </c>
      <c r="D11" s="91"/>
      <c r="E11" s="143"/>
      <c r="F11" s="140">
        <f>VLOOKUP(A11,'PYExhD Data'!$A$7:$V$41,6,FALSE)</f>
        <v>0</v>
      </c>
      <c r="G11" s="140">
        <f>VLOOKUP(A11,'PYExhD Data'!$A$7:$V$41,7,FALSE)</f>
        <v>0</v>
      </c>
      <c r="H11" s="143"/>
      <c r="I11" s="140">
        <f>VLOOKUP(A11,'PYExhD Data'!$A$7:$V$41,9,FALSE)</f>
        <v>0</v>
      </c>
      <c r="J11" s="140">
        <f>VLOOKUP(A11,'PYExhD Data'!$A$7:$V$41,10,FALSE)</f>
        <v>0</v>
      </c>
      <c r="K11" s="143"/>
      <c r="L11" s="140">
        <f>VLOOKUP(A11,'PYExhD Data'!$A$7:$V$41,12,FALSE)</f>
        <v>0</v>
      </c>
      <c r="M11" s="140">
        <f>VLOOKUP(A11,'PYExhD Data'!$A$7:$V$41,13,FALSE)</f>
        <v>0</v>
      </c>
      <c r="N11" s="143"/>
      <c r="O11" s="140">
        <f>VLOOKUP(A11,'PYExhD Data'!$A$7:$V$41,15,FALSE)</f>
        <v>0</v>
      </c>
      <c r="P11" s="145"/>
      <c r="Q11" s="140">
        <f>VLOOKUP(A11,'PYExhD Data'!$A$7:$V$41,17,FALSE)</f>
        <v>0</v>
      </c>
      <c r="R11" s="143"/>
      <c r="S11" s="143"/>
      <c r="T11" s="140">
        <f>VLOOKUP(A11,'PYExhD Data'!$A$7:$V$41,20,FALSE)</f>
        <v>0</v>
      </c>
      <c r="U11" s="140">
        <f>VLOOKUP(A11,'PYExhD Data'!$A$7:$V$41,21,FALSE)</f>
        <v>0</v>
      </c>
      <c r="V11" s="140">
        <f>VLOOKUP(A11,'PYExhD Data'!$A$7:$V$41,22,FALSE)</f>
        <v>0</v>
      </c>
      <c r="W11" s="94"/>
      <c r="X11" s="98">
        <f t="shared" si="0"/>
        <v>0</v>
      </c>
      <c r="Y11" s="117"/>
    </row>
    <row r="12" spans="1:25" ht="13.5" customHeight="1" x14ac:dyDescent="0.25">
      <c r="A12" s="79">
        <v>3320</v>
      </c>
      <c r="B12" s="151">
        <v>120</v>
      </c>
      <c r="C12" s="217" t="s">
        <v>418</v>
      </c>
      <c r="D12" s="92"/>
      <c r="E12" s="143"/>
      <c r="F12" s="140">
        <f>VLOOKUP(A12,'PYExhD Data'!$A$7:$V$41,6,FALSE)</f>
        <v>142661</v>
      </c>
      <c r="G12" s="140">
        <f>VLOOKUP(A12,'PYExhD Data'!$A$7:$V$41,7,FALSE)</f>
        <v>0</v>
      </c>
      <c r="H12" s="143"/>
      <c r="I12" s="140">
        <f>VLOOKUP(A12,'PYExhD Data'!$A$7:$V$41,9,FALSE)</f>
        <v>1865832</v>
      </c>
      <c r="J12" s="140">
        <f>VLOOKUP(A12,'PYExhD Data'!$A$7:$V$41,10,FALSE)</f>
        <v>132312</v>
      </c>
      <c r="K12" s="143"/>
      <c r="L12" s="140">
        <f>VLOOKUP(A12,'PYExhD Data'!$A$7:$V$41,12,FALSE)</f>
        <v>23391</v>
      </c>
      <c r="M12" s="140">
        <f>VLOOKUP(A12,'PYExhD Data'!$A$7:$V$41,13,FALSE)</f>
        <v>0</v>
      </c>
      <c r="N12" s="143"/>
      <c r="O12" s="140">
        <f>VLOOKUP(A12,'PYExhD Data'!$A$7:$V$41,15,FALSE)</f>
        <v>0</v>
      </c>
      <c r="P12" s="145"/>
      <c r="Q12" s="140">
        <f>VLOOKUP(A12,'PYExhD Data'!$A$7:$V$41,17,FALSE)</f>
        <v>0</v>
      </c>
      <c r="R12" s="143"/>
      <c r="S12" s="143"/>
      <c r="T12" s="140">
        <f>VLOOKUP(A12,'PYExhD Data'!$A$7:$V$41,20,FALSE)</f>
        <v>0</v>
      </c>
      <c r="U12" s="140">
        <f>VLOOKUP(A12,'PYExhD Data'!$A$7:$V$41,21,FALSE)</f>
        <v>51210</v>
      </c>
      <c r="V12" s="140">
        <f>VLOOKUP(A12,'PYExhD Data'!$A$7:$V$41,22,FALSE)</f>
        <v>0</v>
      </c>
      <c r="W12" s="94"/>
      <c r="X12" s="98">
        <f t="shared" si="0"/>
        <v>2215406</v>
      </c>
      <c r="Y12" s="117"/>
    </row>
    <row r="13" spans="1:25" ht="13.5" customHeight="1" x14ac:dyDescent="0.25">
      <c r="A13" s="79">
        <v>3340</v>
      </c>
      <c r="B13" s="151">
        <v>125</v>
      </c>
      <c r="C13" s="217" t="s">
        <v>244</v>
      </c>
      <c r="D13" s="93"/>
      <c r="E13" s="143"/>
      <c r="F13" s="140">
        <f>VLOOKUP(A13,'PYExhD Data'!$A$7:$V$41,6,FALSE)</f>
        <v>0</v>
      </c>
      <c r="G13" s="140">
        <f>VLOOKUP(A13,'PYExhD Data'!$A$7:$V$41,7,FALSE)</f>
        <v>0</v>
      </c>
      <c r="H13" s="143"/>
      <c r="I13" s="140">
        <f>VLOOKUP(A13,'PYExhD Data'!$A$7:$V$41,9,FALSE)</f>
        <v>0</v>
      </c>
      <c r="J13" s="140">
        <f>VLOOKUP(A13,'PYExhD Data'!$A$7:$V$41,10,FALSE)</f>
        <v>0</v>
      </c>
      <c r="K13" s="143"/>
      <c r="L13" s="140">
        <f>VLOOKUP(A13,'PYExhD Data'!$A$7:$V$41,12,FALSE)</f>
        <v>0</v>
      </c>
      <c r="M13" s="140">
        <f>VLOOKUP(A13,'PYExhD Data'!$A$7:$V$41,13,FALSE)</f>
        <v>0</v>
      </c>
      <c r="N13" s="143"/>
      <c r="O13" s="140">
        <f>VLOOKUP(A13,'PYExhD Data'!$A$7:$V$41,15,FALSE)</f>
        <v>0</v>
      </c>
      <c r="P13" s="145"/>
      <c r="Q13" s="140">
        <f>VLOOKUP(A13,'PYExhD Data'!$A$7:$V$41,17,FALSE)</f>
        <v>0</v>
      </c>
      <c r="R13" s="143"/>
      <c r="S13" s="143"/>
      <c r="T13" s="140">
        <f>VLOOKUP(A13,'PYExhD Data'!$A$7:$V$41,20,FALSE)</f>
        <v>0</v>
      </c>
      <c r="U13" s="140">
        <f>VLOOKUP(A13,'PYExhD Data'!$A$7:$V$41,21,FALSE)</f>
        <v>0</v>
      </c>
      <c r="V13" s="140">
        <f>VLOOKUP(A13,'PYExhD Data'!$A$7:$V$41,22,FALSE)</f>
        <v>0</v>
      </c>
      <c r="W13" s="94"/>
      <c r="X13" s="98">
        <f t="shared" si="0"/>
        <v>0</v>
      </c>
      <c r="Y13" s="117"/>
    </row>
    <row r="14" spans="1:25" ht="13.5" customHeight="1" x14ac:dyDescent="0.25">
      <c r="A14" s="79">
        <v>3345</v>
      </c>
      <c r="B14" s="151">
        <v>128</v>
      </c>
      <c r="C14" s="217" t="s">
        <v>419</v>
      </c>
      <c r="D14" s="93"/>
      <c r="E14" s="143"/>
      <c r="F14" s="140">
        <f>VLOOKUP(A14,'PYExhD Data'!$A$7:$V$41,6,FALSE)</f>
        <v>0</v>
      </c>
      <c r="G14" s="140">
        <f>VLOOKUP(A14,'PYExhD Data'!$A$7:$V$41,7,FALSE)</f>
        <v>0</v>
      </c>
      <c r="H14" s="143"/>
      <c r="I14" s="140">
        <f>VLOOKUP(A14,'PYExhD Data'!$A$7:$V$41,9,FALSE)</f>
        <v>0</v>
      </c>
      <c r="J14" s="140">
        <f>VLOOKUP(A14,'PYExhD Data'!$A$7:$V$41,10,FALSE)</f>
        <v>0</v>
      </c>
      <c r="K14" s="143"/>
      <c r="L14" s="140">
        <f>VLOOKUP(A14,'PYExhD Data'!$A$7:$V$41,12,FALSE)</f>
        <v>0</v>
      </c>
      <c r="M14" s="140">
        <f>VLOOKUP(A14,'PYExhD Data'!$A$7:$V$41,13,FALSE)</f>
        <v>0</v>
      </c>
      <c r="N14" s="143"/>
      <c r="O14" s="140">
        <f>VLOOKUP(A14,'PYExhD Data'!$A$7:$V$41,15,FALSE)</f>
        <v>0</v>
      </c>
      <c r="P14" s="145"/>
      <c r="Q14" s="140">
        <f>VLOOKUP(A14,'PYExhD Data'!$A$7:$V$41,17,FALSE)</f>
        <v>27129286</v>
      </c>
      <c r="R14" s="143"/>
      <c r="S14" s="143"/>
      <c r="T14" s="140">
        <f>VLOOKUP(A14,'PYExhD Data'!$A$7:$V$41,20,FALSE)</f>
        <v>0</v>
      </c>
      <c r="U14" s="140">
        <f>VLOOKUP(A14,'PYExhD Data'!$A$7:$V$41,21,FALSE)</f>
        <v>0</v>
      </c>
      <c r="V14" s="140">
        <f>VLOOKUP(A14,'PYExhD Data'!$A$7:$V$41,22,FALSE)</f>
        <v>0</v>
      </c>
      <c r="W14" s="94"/>
      <c r="X14" s="98">
        <f>SUM(E14:W14)</f>
        <v>27129286</v>
      </c>
      <c r="Y14" s="117"/>
    </row>
    <row r="15" spans="1:25" ht="13.5" customHeight="1" x14ac:dyDescent="0.25">
      <c r="A15" s="79">
        <v>3350</v>
      </c>
      <c r="B15" s="151">
        <v>130</v>
      </c>
      <c r="C15" s="217" t="s">
        <v>247</v>
      </c>
      <c r="D15" s="93"/>
      <c r="E15" s="143"/>
      <c r="F15" s="140">
        <f>VLOOKUP(A15,'PYExhD Data'!$A$7:$V$41,6,FALSE)</f>
        <v>0</v>
      </c>
      <c r="G15" s="140">
        <f>VLOOKUP(A15,'PYExhD Data'!$A$7:$V$41,7,FALSE)</f>
        <v>753960693</v>
      </c>
      <c r="H15" s="143"/>
      <c r="I15" s="140">
        <f>VLOOKUP(A15,'PYExhD Data'!$A$7:$V$41,9,FALSE)</f>
        <v>180892679</v>
      </c>
      <c r="J15" s="140">
        <f>VLOOKUP(A15,'PYExhD Data'!$A$7:$V$41,10,FALSE)</f>
        <v>46817785</v>
      </c>
      <c r="K15" s="143"/>
      <c r="L15" s="140">
        <f>VLOOKUP(A15,'PYExhD Data'!$A$7:$V$41,12,FALSE)</f>
        <v>148772067</v>
      </c>
      <c r="M15" s="140">
        <f>VLOOKUP(A15,'PYExhD Data'!$A$7:$V$41,13,FALSE)</f>
        <v>18515272</v>
      </c>
      <c r="N15" s="143"/>
      <c r="O15" s="140">
        <f>VLOOKUP(A15,'PYExhD Data'!$A$7:$V$41,15,FALSE)</f>
        <v>0</v>
      </c>
      <c r="P15" s="145"/>
      <c r="Q15" s="140">
        <f>VLOOKUP(A15,'PYExhD Data'!$A$7:$V$41,17,FALSE)</f>
        <v>35988495</v>
      </c>
      <c r="R15" s="143"/>
      <c r="S15" s="143"/>
      <c r="T15" s="140">
        <f>VLOOKUP(A15,'PYExhD Data'!$A$7:$V$41,20,FALSE)</f>
        <v>24421792</v>
      </c>
      <c r="U15" s="140">
        <f>VLOOKUP(A15,'PYExhD Data'!$A$7:$V$41,21,FALSE)</f>
        <v>80155390</v>
      </c>
      <c r="V15" s="140">
        <f>VLOOKUP(A15,'PYExhD Data'!$A$7:$V$41,22,FALSE)</f>
        <v>19749805</v>
      </c>
      <c r="W15" s="94"/>
      <c r="X15" s="98">
        <f t="shared" si="0"/>
        <v>1309273978</v>
      </c>
      <c r="Y15" s="117"/>
    </row>
    <row r="16" spans="1:25" ht="13.5" customHeight="1" x14ac:dyDescent="0.25">
      <c r="A16" s="79">
        <v>3370</v>
      </c>
      <c r="B16" s="151">
        <v>140</v>
      </c>
      <c r="C16" s="217" t="s">
        <v>248</v>
      </c>
      <c r="D16" s="90"/>
      <c r="E16" s="143"/>
      <c r="F16" s="140">
        <f>VLOOKUP(A16,'PYExhD Data'!$A$7:$V$41,6,FALSE)</f>
        <v>0</v>
      </c>
      <c r="G16" s="140">
        <f>VLOOKUP(A16,'PYExhD Data'!$A$7:$V$41,7,FALSE)</f>
        <v>32009549</v>
      </c>
      <c r="H16" s="143"/>
      <c r="I16" s="140">
        <f>VLOOKUP(A16,'PYExhD Data'!$A$7:$V$41,9,FALSE)</f>
        <v>6884583</v>
      </c>
      <c r="J16" s="140">
        <f>VLOOKUP(A16,'PYExhD Data'!$A$7:$V$41,10,FALSE)</f>
        <v>4758415</v>
      </c>
      <c r="K16" s="143"/>
      <c r="L16" s="140">
        <f>VLOOKUP(A16,'PYExhD Data'!$A$7:$V$41,12,FALSE)</f>
        <v>4017222</v>
      </c>
      <c r="M16" s="140">
        <f>VLOOKUP(A16,'PYExhD Data'!$A$7:$V$41,13,FALSE)</f>
        <v>12573575</v>
      </c>
      <c r="N16" s="143"/>
      <c r="O16" s="140">
        <f>VLOOKUP(A16,'PYExhD Data'!$A$7:$V$41,15,FALSE)</f>
        <v>0</v>
      </c>
      <c r="P16" s="145"/>
      <c r="Q16" s="140">
        <f>VLOOKUP(A16,'PYExhD Data'!$A$7:$V$41,17,FALSE)</f>
        <v>5023120</v>
      </c>
      <c r="R16" s="143"/>
      <c r="S16" s="143"/>
      <c r="T16" s="140">
        <f>VLOOKUP(A16,'PYExhD Data'!$A$7:$V$41,20,FALSE)</f>
        <v>0</v>
      </c>
      <c r="U16" s="140">
        <f>VLOOKUP(A16,'PYExhD Data'!$A$7:$V$41,21,FALSE)</f>
        <v>52442</v>
      </c>
      <c r="V16" s="140">
        <f>VLOOKUP(A16,'PYExhD Data'!$A$7:$V$41,22,FALSE)</f>
        <v>101945</v>
      </c>
      <c r="W16" s="94"/>
      <c r="X16" s="98">
        <f t="shared" si="0"/>
        <v>65420851</v>
      </c>
      <c r="Y16" s="117"/>
    </row>
    <row r="17" spans="1:25" ht="13.5" customHeight="1" x14ac:dyDescent="0.25">
      <c r="A17" s="79">
        <v>3380</v>
      </c>
      <c r="B17" s="151">
        <v>145</v>
      </c>
      <c r="C17" s="217" t="s">
        <v>249</v>
      </c>
      <c r="D17" s="90"/>
      <c r="E17" s="143"/>
      <c r="F17" s="140">
        <f>VLOOKUP(A17,'PYExhD Data'!$A$7:$V$41,6,FALSE)</f>
        <v>8730800</v>
      </c>
      <c r="G17" s="140">
        <f>VLOOKUP(A17,'PYExhD Data'!$A$7:$V$41,7,FALSE)</f>
        <v>5549701</v>
      </c>
      <c r="H17" s="143"/>
      <c r="I17" s="140">
        <f>VLOOKUP(A17,'PYExhD Data'!$A$7:$V$41,9,FALSE)</f>
        <v>107737</v>
      </c>
      <c r="J17" s="140">
        <f>VLOOKUP(A17,'PYExhD Data'!$A$7:$V$41,10,FALSE)</f>
        <v>2308579</v>
      </c>
      <c r="K17" s="143"/>
      <c r="L17" s="140">
        <f>VLOOKUP(A17,'PYExhD Data'!$A$7:$V$41,12,FALSE)</f>
        <v>4256751</v>
      </c>
      <c r="M17" s="140">
        <f>VLOOKUP(A17,'PYExhD Data'!$A$7:$V$41,13,FALSE)</f>
        <v>109828167</v>
      </c>
      <c r="N17" s="143"/>
      <c r="O17" s="140">
        <f>VLOOKUP(A17,'PYExhD Data'!$A$7:$V$41,15,FALSE)</f>
        <v>0</v>
      </c>
      <c r="P17" s="145"/>
      <c r="Q17" s="140">
        <f>VLOOKUP(A17,'PYExhD Data'!$A$7:$V$41,17,FALSE)</f>
        <v>0</v>
      </c>
      <c r="R17" s="143"/>
      <c r="S17" s="143"/>
      <c r="T17" s="140">
        <f>VLOOKUP(A17,'PYExhD Data'!$A$7:$V$41,20,FALSE)</f>
        <v>247786</v>
      </c>
      <c r="U17" s="140">
        <f>VLOOKUP(A17,'PYExhD Data'!$A$7:$V$41,21,FALSE)</f>
        <v>0</v>
      </c>
      <c r="V17" s="140">
        <f>VLOOKUP(A17,'PYExhD Data'!$A$7:$V$41,22,FALSE)</f>
        <v>0</v>
      </c>
      <c r="W17" s="97"/>
      <c r="X17" s="101">
        <f t="shared" si="0"/>
        <v>131029521</v>
      </c>
      <c r="Y17" s="117"/>
    </row>
    <row r="18" spans="1:25" ht="15" customHeight="1" x14ac:dyDescent="0.25">
      <c r="C18" s="1" t="s">
        <v>62</v>
      </c>
      <c r="D18" s="90"/>
      <c r="E18" s="129">
        <f t="shared" ref="E18:V18" si="2">SUM(E7:E17)</f>
        <v>0</v>
      </c>
      <c r="F18" s="129">
        <f t="shared" si="2"/>
        <v>1494473659</v>
      </c>
      <c r="G18" s="129">
        <f t="shared" si="2"/>
        <v>942405504</v>
      </c>
      <c r="H18" s="129">
        <f t="shared" si="2"/>
        <v>0</v>
      </c>
      <c r="I18" s="129">
        <f t="shared" si="2"/>
        <v>330840506</v>
      </c>
      <c r="J18" s="129">
        <f t="shared" si="2"/>
        <v>62884017</v>
      </c>
      <c r="K18" s="129">
        <f t="shared" si="2"/>
        <v>0</v>
      </c>
      <c r="L18" s="129">
        <f t="shared" si="2"/>
        <v>209953750</v>
      </c>
      <c r="M18" s="129">
        <f t="shared" si="2"/>
        <v>193811694</v>
      </c>
      <c r="N18" s="129">
        <f t="shared" si="2"/>
        <v>0</v>
      </c>
      <c r="O18" s="129">
        <f t="shared" si="2"/>
        <v>0</v>
      </c>
      <c r="P18" s="129">
        <f t="shared" si="2"/>
        <v>0</v>
      </c>
      <c r="Q18" s="129">
        <f t="shared" si="2"/>
        <v>98631898</v>
      </c>
      <c r="R18" s="129">
        <f t="shared" si="2"/>
        <v>0</v>
      </c>
      <c r="S18" s="129">
        <f t="shared" si="2"/>
        <v>0</v>
      </c>
      <c r="T18" s="129">
        <f t="shared" si="2"/>
        <v>48474941</v>
      </c>
      <c r="U18" s="129">
        <f t="shared" si="2"/>
        <v>99390912</v>
      </c>
      <c r="V18" s="129">
        <f t="shared" si="2"/>
        <v>43411040</v>
      </c>
      <c r="W18" s="120"/>
      <c r="X18" s="97">
        <f>SUM(X7:X17)</f>
        <v>3524277921</v>
      </c>
      <c r="Y18" s="117"/>
    </row>
    <row r="19" spans="1:25" ht="10.5" customHeight="1" x14ac:dyDescent="0.25">
      <c r="C19" s="90"/>
      <c r="D19" s="90"/>
      <c r="E19" s="130"/>
      <c r="F19" s="130"/>
      <c r="G19" s="130"/>
      <c r="H19" s="130"/>
      <c r="I19" s="130"/>
      <c r="J19" s="130"/>
      <c r="K19" s="130"/>
      <c r="L19" s="130"/>
      <c r="M19" s="130"/>
      <c r="N19" s="130"/>
      <c r="O19" s="130"/>
      <c r="P19" s="130"/>
      <c r="Q19" s="130"/>
      <c r="R19" s="130"/>
      <c r="S19" s="130"/>
      <c r="T19" s="130"/>
      <c r="U19" s="130"/>
      <c r="V19" s="130"/>
      <c r="W19" s="94"/>
      <c r="Y19" s="117"/>
    </row>
    <row r="20" spans="1:25" ht="15" customHeight="1" x14ac:dyDescent="0.25">
      <c r="C20" s="1" t="s">
        <v>250</v>
      </c>
      <c r="D20" s="90"/>
      <c r="E20" s="130"/>
      <c r="F20" s="130"/>
      <c r="G20" s="130"/>
      <c r="H20" s="130"/>
      <c r="I20" s="130"/>
      <c r="J20" s="130"/>
      <c r="K20" s="130"/>
      <c r="L20" s="130"/>
      <c r="M20" s="130"/>
      <c r="N20" s="130"/>
      <c r="O20" s="130"/>
      <c r="P20" s="130"/>
      <c r="Q20" s="130"/>
      <c r="R20" s="130"/>
      <c r="S20" s="130"/>
      <c r="T20" s="130"/>
      <c r="U20" s="130"/>
      <c r="V20" s="130"/>
      <c r="W20" s="94"/>
      <c r="X20" s="94"/>
      <c r="Y20" s="117"/>
    </row>
    <row r="21" spans="1:25" ht="13.5" customHeight="1" x14ac:dyDescent="0.25">
      <c r="A21" s="79">
        <v>3430</v>
      </c>
      <c r="B21" s="33">
        <v>200</v>
      </c>
      <c r="C21" s="217" t="s">
        <v>251</v>
      </c>
      <c r="D21" s="90"/>
      <c r="E21" s="143"/>
      <c r="F21" s="140">
        <f>VLOOKUP(A21,'PYExhD Data'!$A$7:$V$41,6,FALSE)</f>
        <v>2041565</v>
      </c>
      <c r="G21" s="140">
        <f>VLOOKUP(A21,'PYExhD Data'!$A$7:$V$41,7,FALSE)</f>
        <v>1385998</v>
      </c>
      <c r="H21" s="143"/>
      <c r="I21" s="140">
        <f>VLOOKUP(A21,'PYExhD Data'!$A$7:$V$41,9,FALSE)</f>
        <v>1053050</v>
      </c>
      <c r="J21" s="140">
        <f>VLOOKUP(A21,'PYExhD Data'!$A$7:$V$41,10,FALSE)</f>
        <v>851592</v>
      </c>
      <c r="K21" s="143"/>
      <c r="L21" s="140">
        <f>VLOOKUP(A21,'PYExhD Data'!$A$7:$V$41,12,FALSE)</f>
        <v>1667006</v>
      </c>
      <c r="M21" s="140">
        <f>VLOOKUP(A21,'PYExhD Data'!$A$7:$V$41,13,FALSE)</f>
        <v>2755531</v>
      </c>
      <c r="N21" s="143"/>
      <c r="O21" s="140">
        <f>VLOOKUP(A21,'PYExhD Data'!$A$7:$V$41,15,FALSE)</f>
        <v>0</v>
      </c>
      <c r="P21" s="145"/>
      <c r="Q21" s="140">
        <f>VLOOKUP(A21,'PYExhD Data'!$A$7:$V$41,17,FALSE)</f>
        <v>684153</v>
      </c>
      <c r="R21" s="143"/>
      <c r="S21" s="143"/>
      <c r="T21" s="140">
        <f>VLOOKUP(A21,'PYExhD Data'!$A$7:$V$41,20,FALSE)</f>
        <v>91756</v>
      </c>
      <c r="U21" s="140">
        <f>VLOOKUP(A21,'PYExhD Data'!$A$7:$V$41,21,FALSE)</f>
        <v>55564</v>
      </c>
      <c r="V21" s="140">
        <f>VLOOKUP(A21,'PYExhD Data'!$A$7:$V$41,22,FALSE)</f>
        <v>536224</v>
      </c>
      <c r="W21" s="94"/>
      <c r="X21" s="98">
        <f t="shared" ref="X21:X30" si="3">SUM(E21:W21)</f>
        <v>11122439</v>
      </c>
      <c r="Y21" s="117"/>
    </row>
    <row r="22" spans="1:25" ht="15" customHeight="1" x14ac:dyDescent="0.25">
      <c r="A22" s="79">
        <v>3432</v>
      </c>
      <c r="B22" s="134">
        <v>202</v>
      </c>
      <c r="C22" s="135" t="s">
        <v>420</v>
      </c>
      <c r="D22" s="150"/>
      <c r="E22" s="143"/>
      <c r="F22" s="140">
        <f>VLOOKUP(A22,'PYExhD Data'!$A$7:$V$41,6,FALSE)</f>
        <v>0</v>
      </c>
      <c r="G22" s="140">
        <f>VLOOKUP(A22,'PYExhD Data'!$A$7:$V$41,7,FALSE)</f>
        <v>1990261</v>
      </c>
      <c r="H22" s="143"/>
      <c r="I22" s="140">
        <f>VLOOKUP(A22,'PYExhD Data'!$A$7:$V$41,9,FALSE)</f>
        <v>0</v>
      </c>
      <c r="J22" s="140">
        <f>VLOOKUP(A22,'PYExhD Data'!$A$7:$V$41,10,FALSE)</f>
        <v>0</v>
      </c>
      <c r="K22" s="143"/>
      <c r="L22" s="140">
        <f>VLOOKUP(A22,'PYExhD Data'!$A$7:$V$41,12,FALSE)</f>
        <v>97564</v>
      </c>
      <c r="M22" s="140">
        <f>VLOOKUP(A22,'PYExhD Data'!$A$7:$V$41,13,FALSE)</f>
        <v>1463981</v>
      </c>
      <c r="N22" s="143"/>
      <c r="O22" s="140">
        <f>VLOOKUP(A22,'PYExhD Data'!$A$7:$V$41,15,FALSE)</f>
        <v>0</v>
      </c>
      <c r="P22" s="145"/>
      <c r="Q22" s="140">
        <f>VLOOKUP(A22,'PYExhD Data'!$A$7:$V$41,17,FALSE)</f>
        <v>0</v>
      </c>
      <c r="R22" s="143"/>
      <c r="S22" s="143"/>
      <c r="T22" s="140">
        <f>VLOOKUP(A22,'PYExhD Data'!$A$7:$V$41,20,FALSE)</f>
        <v>0</v>
      </c>
      <c r="U22" s="140">
        <f>VLOOKUP(A22,'PYExhD Data'!$A$7:$V$41,21,FALSE)</f>
        <v>33469</v>
      </c>
      <c r="V22" s="140">
        <f>VLOOKUP(A22,'PYExhD Data'!$A$7:$V$41,22,FALSE)</f>
        <v>1504719</v>
      </c>
      <c r="W22" s="122"/>
      <c r="X22" s="102">
        <f t="shared" si="3"/>
        <v>5089994</v>
      </c>
      <c r="Y22" s="117"/>
    </row>
    <row r="23" spans="1:25" ht="14.25" customHeight="1" x14ac:dyDescent="0.25">
      <c r="A23" s="79">
        <v>3434</v>
      </c>
      <c r="B23" s="134">
        <v>203</v>
      </c>
      <c r="C23" s="136" t="s">
        <v>421</v>
      </c>
      <c r="D23" s="95"/>
      <c r="E23" s="143"/>
      <c r="F23" s="140">
        <f>VLOOKUP(A23,'PYExhD Data'!$A$7:$V$41,6,FALSE)</f>
        <v>0</v>
      </c>
      <c r="G23" s="140">
        <f>VLOOKUP(A23,'PYExhD Data'!$A$7:$V$41,7,FALSE)</f>
        <v>0</v>
      </c>
      <c r="H23" s="143"/>
      <c r="I23" s="140">
        <f>VLOOKUP(A23,'PYExhD Data'!$A$7:$V$41,9,FALSE)</f>
        <v>0</v>
      </c>
      <c r="J23" s="140">
        <f>VLOOKUP(A23,'PYExhD Data'!$A$7:$V$41,10,FALSE)</f>
        <v>0</v>
      </c>
      <c r="K23" s="143"/>
      <c r="L23" s="140">
        <f>VLOOKUP(A23,'PYExhD Data'!$A$7:$V$41,12,FALSE)</f>
        <v>0</v>
      </c>
      <c r="M23" s="140">
        <f>VLOOKUP(A23,'PYExhD Data'!$A$7:$V$41,13,FALSE)</f>
        <v>0</v>
      </c>
      <c r="N23" s="143"/>
      <c r="O23" s="140">
        <f>VLOOKUP(A23,'PYExhD Data'!$A$7:$V$41,15,FALSE)</f>
        <v>0</v>
      </c>
      <c r="P23" s="145"/>
      <c r="Q23" s="140">
        <f>VLOOKUP(A23,'PYExhD Data'!$A$7:$V$41,17,FALSE)</f>
        <v>0</v>
      </c>
      <c r="R23" s="143"/>
      <c r="S23" s="143"/>
      <c r="T23" s="140">
        <f>VLOOKUP(A23,'PYExhD Data'!$A$7:$V$41,20,FALSE)</f>
        <v>0</v>
      </c>
      <c r="U23" s="140">
        <f>VLOOKUP(A23,'PYExhD Data'!$A$7:$V$41,21,FALSE)</f>
        <v>0</v>
      </c>
      <c r="V23" s="140">
        <f>VLOOKUP(A23,'PYExhD Data'!$A$7:$V$41,22,FALSE)</f>
        <v>0</v>
      </c>
      <c r="W23" s="122"/>
      <c r="X23" s="102">
        <f t="shared" si="3"/>
        <v>0</v>
      </c>
      <c r="Y23" s="117"/>
    </row>
    <row r="24" spans="1:25" ht="13.5" customHeight="1" x14ac:dyDescent="0.25">
      <c r="A24" s="79">
        <v>3500</v>
      </c>
      <c r="B24" s="33">
        <v>205</v>
      </c>
      <c r="C24" s="217" t="s">
        <v>67</v>
      </c>
      <c r="D24" s="96"/>
      <c r="E24" s="143"/>
      <c r="F24" s="140">
        <f>VLOOKUP(A24,'PYExhD Data'!$A$7:$V$41,6,FALSE)</f>
        <v>0</v>
      </c>
      <c r="G24" s="140">
        <f>VLOOKUP(A24,'PYExhD Data'!$A$7:$V$41,7,FALSE)</f>
        <v>262090</v>
      </c>
      <c r="H24" s="143"/>
      <c r="I24" s="140">
        <f>VLOOKUP(A24,'PYExhD Data'!$A$7:$V$41,9,FALSE)</f>
        <v>2546035</v>
      </c>
      <c r="J24" s="140">
        <f>VLOOKUP(A24,'PYExhD Data'!$A$7:$V$41,10,FALSE)</f>
        <v>30940</v>
      </c>
      <c r="K24" s="143"/>
      <c r="L24" s="140">
        <f>VLOOKUP(A24,'PYExhD Data'!$A$7:$V$41,12,FALSE)</f>
        <v>0</v>
      </c>
      <c r="M24" s="140">
        <f>VLOOKUP(A24,'PYExhD Data'!$A$7:$V$41,13,FALSE)</f>
        <v>0</v>
      </c>
      <c r="N24" s="143"/>
      <c r="O24" s="140">
        <f>VLOOKUP(A24,'PYExhD Data'!$A$7:$V$41,15,FALSE)</f>
        <v>0</v>
      </c>
      <c r="P24" s="145"/>
      <c r="Q24" s="140">
        <f>VLOOKUP(A24,'PYExhD Data'!$A$7:$V$41,17,FALSE)</f>
        <v>0</v>
      </c>
      <c r="R24" s="143"/>
      <c r="S24" s="143"/>
      <c r="T24" s="140">
        <f>VLOOKUP(A24,'PYExhD Data'!$A$7:$V$41,20,FALSE)</f>
        <v>0</v>
      </c>
      <c r="U24" s="140">
        <f>VLOOKUP(A24,'PYExhD Data'!$A$7:$V$41,21,FALSE)</f>
        <v>0</v>
      </c>
      <c r="V24" s="140">
        <f>VLOOKUP(A24,'PYExhD Data'!$A$7:$V$41,22,FALSE)</f>
        <v>0</v>
      </c>
      <c r="W24" s="94"/>
      <c r="X24" s="98">
        <f t="shared" si="3"/>
        <v>2839065</v>
      </c>
      <c r="Y24" s="117"/>
    </row>
    <row r="25" spans="1:25" ht="13.5" customHeight="1" x14ac:dyDescent="0.25">
      <c r="A25" s="79">
        <v>3550</v>
      </c>
      <c r="B25" s="33">
        <v>210</v>
      </c>
      <c r="C25" s="217" t="s">
        <v>68</v>
      </c>
      <c r="D25" s="90"/>
      <c r="E25" s="143"/>
      <c r="F25" s="140">
        <f>VLOOKUP(A25,'PYExhD Data'!$A$7:$V$41,6,FALSE)</f>
        <v>0</v>
      </c>
      <c r="G25" s="140">
        <f>VLOOKUP(A25,'PYExhD Data'!$A$7:$V$41,7,FALSE)</f>
        <v>0</v>
      </c>
      <c r="H25" s="143"/>
      <c r="I25" s="140">
        <f>VLOOKUP(A25,'PYExhD Data'!$A$7:$V$41,9,FALSE)</f>
        <v>859227</v>
      </c>
      <c r="J25" s="140">
        <f>VLOOKUP(A25,'PYExhD Data'!$A$7:$V$41,10,FALSE)</f>
        <v>0</v>
      </c>
      <c r="K25" s="143"/>
      <c r="L25" s="140">
        <f>VLOOKUP(A25,'PYExhD Data'!$A$7:$V$41,12,FALSE)</f>
        <v>0</v>
      </c>
      <c r="M25" s="140">
        <f>VLOOKUP(A25,'PYExhD Data'!$A$7:$V$41,13,FALSE)</f>
        <v>0</v>
      </c>
      <c r="N25" s="143"/>
      <c r="O25" s="140">
        <f>VLOOKUP(A25,'PYExhD Data'!$A$7:$V$41,15,FALSE)</f>
        <v>0</v>
      </c>
      <c r="P25" s="145"/>
      <c r="Q25" s="140">
        <f>VLOOKUP(A25,'PYExhD Data'!$A$7:$V$41,17,FALSE)</f>
        <v>0</v>
      </c>
      <c r="R25" s="143"/>
      <c r="S25" s="143"/>
      <c r="T25" s="140">
        <f>VLOOKUP(A25,'PYExhD Data'!$A$7:$V$41,20,FALSE)</f>
        <v>0</v>
      </c>
      <c r="U25" s="140">
        <f>VLOOKUP(A25,'PYExhD Data'!$A$7:$V$41,21,FALSE)</f>
        <v>0</v>
      </c>
      <c r="V25" s="140">
        <f>VLOOKUP(A25,'PYExhD Data'!$A$7:$V$41,22,FALSE)</f>
        <v>0</v>
      </c>
      <c r="W25" s="123"/>
      <c r="X25" s="98">
        <f t="shared" si="3"/>
        <v>859227</v>
      </c>
      <c r="Y25" s="117"/>
    </row>
    <row r="26" spans="1:25" ht="13.5" customHeight="1" x14ac:dyDescent="0.25">
      <c r="A26" s="79">
        <v>3530</v>
      </c>
      <c r="B26" s="33">
        <v>215</v>
      </c>
      <c r="C26" s="217" t="s">
        <v>69</v>
      </c>
      <c r="D26" s="90"/>
      <c r="E26" s="143"/>
      <c r="F26" s="140">
        <f>VLOOKUP(A26,'PYExhD Data'!$A$7:$V$41,6,FALSE)</f>
        <v>0</v>
      </c>
      <c r="G26" s="140">
        <f>VLOOKUP(A26,'PYExhD Data'!$A$7:$V$41,7,FALSE)</f>
        <v>0</v>
      </c>
      <c r="H26" s="143"/>
      <c r="I26" s="140">
        <f>VLOOKUP(A26,'PYExhD Data'!$A$7:$V$41,9,FALSE)</f>
        <v>0</v>
      </c>
      <c r="J26" s="140">
        <f>VLOOKUP(A26,'PYExhD Data'!$A$7:$V$41,10,FALSE)</f>
        <v>0</v>
      </c>
      <c r="K26" s="143"/>
      <c r="L26" s="140">
        <f>VLOOKUP(A26,'PYExhD Data'!$A$7:$V$41,12,FALSE)</f>
        <v>0</v>
      </c>
      <c r="M26" s="140">
        <f>VLOOKUP(A26,'PYExhD Data'!$A$7:$V$41,13,FALSE)</f>
        <v>0</v>
      </c>
      <c r="N26" s="143"/>
      <c r="O26" s="140">
        <f>VLOOKUP(A26,'PYExhD Data'!$A$7:$V$41,15,FALSE)</f>
        <v>0</v>
      </c>
      <c r="P26" s="145"/>
      <c r="Q26" s="140">
        <f>VLOOKUP(A26,'PYExhD Data'!$A$7:$V$41,17,FALSE)</f>
        <v>0</v>
      </c>
      <c r="R26" s="143"/>
      <c r="S26" s="143"/>
      <c r="T26" s="140">
        <f>VLOOKUP(A26,'PYExhD Data'!$A$7:$V$41,20,FALSE)</f>
        <v>0</v>
      </c>
      <c r="U26" s="140">
        <f>VLOOKUP(A26,'PYExhD Data'!$A$7:$V$41,21,FALSE)</f>
        <v>0</v>
      </c>
      <c r="V26" s="140">
        <f>VLOOKUP(A26,'PYExhD Data'!$A$7:$V$41,22,FALSE)</f>
        <v>0</v>
      </c>
      <c r="W26" s="123"/>
      <c r="X26" s="98">
        <f t="shared" si="3"/>
        <v>0</v>
      </c>
      <c r="Y26" s="117"/>
    </row>
    <row r="27" spans="1:25" ht="13.5" customHeight="1" x14ac:dyDescent="0.25">
      <c r="A27" s="79">
        <v>3540</v>
      </c>
      <c r="B27" s="33">
        <v>220</v>
      </c>
      <c r="C27" s="217" t="s">
        <v>70</v>
      </c>
      <c r="D27" s="90"/>
      <c r="E27" s="143"/>
      <c r="F27" s="140">
        <f>VLOOKUP(A27,'PYExhD Data'!$A$7:$V$41,6,FALSE)</f>
        <v>0</v>
      </c>
      <c r="G27" s="140">
        <f>VLOOKUP(A27,'PYExhD Data'!$A$7:$V$41,7,FALSE)</f>
        <v>293721</v>
      </c>
      <c r="H27" s="143"/>
      <c r="I27" s="140">
        <f>VLOOKUP(A27,'PYExhD Data'!$A$7:$V$41,9,FALSE)</f>
        <v>79000</v>
      </c>
      <c r="J27" s="140">
        <f>VLOOKUP(A27,'PYExhD Data'!$A$7:$V$41,10,FALSE)</f>
        <v>0</v>
      </c>
      <c r="K27" s="143"/>
      <c r="L27" s="140">
        <f>VLOOKUP(A27,'PYExhD Data'!$A$7:$V$41,12,FALSE)</f>
        <v>0</v>
      </c>
      <c r="M27" s="140">
        <f>VLOOKUP(A27,'PYExhD Data'!$A$7:$V$41,13,FALSE)</f>
        <v>2414451</v>
      </c>
      <c r="N27" s="143"/>
      <c r="O27" s="140">
        <f>VLOOKUP(A27,'PYExhD Data'!$A$7:$V$41,15,FALSE)</f>
        <v>0</v>
      </c>
      <c r="P27" s="145"/>
      <c r="Q27" s="140">
        <f>VLOOKUP(A27,'PYExhD Data'!$A$7:$V$41,17,FALSE)</f>
        <v>0</v>
      </c>
      <c r="R27" s="143"/>
      <c r="S27" s="143"/>
      <c r="T27" s="140">
        <f>VLOOKUP(A27,'PYExhD Data'!$A$7:$V$41,20,FALSE)</f>
        <v>199518</v>
      </c>
      <c r="U27" s="140">
        <f>VLOOKUP(A27,'PYExhD Data'!$A$7:$V$41,21,FALSE)</f>
        <v>0</v>
      </c>
      <c r="V27" s="140">
        <f>VLOOKUP(A27,'PYExhD Data'!$A$7:$V$41,22,FALSE)</f>
        <v>0</v>
      </c>
      <c r="W27" s="123"/>
      <c r="X27" s="98">
        <f t="shared" si="3"/>
        <v>2986690</v>
      </c>
      <c r="Y27" s="117"/>
    </row>
    <row r="28" spans="1:25" ht="13.5" customHeight="1" x14ac:dyDescent="0.25">
      <c r="B28" s="33"/>
      <c r="C28" s="217" t="s">
        <v>255</v>
      </c>
      <c r="D28" s="90"/>
      <c r="E28" s="143"/>
      <c r="F28" s="140"/>
      <c r="G28" s="140"/>
      <c r="H28" s="143"/>
      <c r="I28" s="140"/>
      <c r="J28" s="140"/>
      <c r="K28" s="143"/>
      <c r="L28" s="140"/>
      <c r="M28" s="140"/>
      <c r="N28" s="143"/>
      <c r="O28" s="140"/>
      <c r="P28" s="145"/>
      <c r="Q28" s="140"/>
      <c r="R28" s="143"/>
      <c r="S28" s="143"/>
      <c r="T28" s="140"/>
      <c r="U28" s="140"/>
      <c r="V28" s="140"/>
      <c r="W28" s="123"/>
      <c r="X28" s="98">
        <f>SUM(E28:W28)</f>
        <v>0</v>
      </c>
      <c r="Y28" s="117"/>
    </row>
    <row r="29" spans="1:25" ht="13.5" customHeight="1" x14ac:dyDescent="0.25">
      <c r="A29" s="79">
        <v>3570</v>
      </c>
      <c r="B29" s="33">
        <v>260</v>
      </c>
      <c r="C29" s="250" t="s">
        <v>256</v>
      </c>
      <c r="D29" s="90"/>
      <c r="E29" s="143"/>
      <c r="F29" s="140">
        <f>VLOOKUP(A29,'PYExhD Data'!$A$7:$V$41,6,FALSE)</f>
        <v>643598</v>
      </c>
      <c r="G29" s="140">
        <f>VLOOKUP(A29,'PYExhD Data'!$A$7:$V$41,7,FALSE)</f>
        <v>1124674</v>
      </c>
      <c r="H29" s="143"/>
      <c r="I29" s="140">
        <f>VLOOKUP(A29,'PYExhD Data'!$A$7:$V$41,9,FALSE)</f>
        <v>81847</v>
      </c>
      <c r="J29" s="140">
        <f>VLOOKUP(A29,'PYExhD Data'!$A$7:$V$41,10,FALSE)</f>
        <v>3525268</v>
      </c>
      <c r="K29" s="143"/>
      <c r="L29" s="140">
        <f>VLOOKUP(A29,'PYExhD Data'!$A$7:$V$41,12,FALSE)</f>
        <v>806025</v>
      </c>
      <c r="M29" s="140">
        <f>VLOOKUP(A29,'PYExhD Data'!$A$7:$V$41,13,FALSE)</f>
        <v>28706834</v>
      </c>
      <c r="N29" s="143"/>
      <c r="O29" s="140">
        <f>VLOOKUP(A29,'PYExhD Data'!$A$7:$V$41,15,FALSE)</f>
        <v>0</v>
      </c>
      <c r="P29" s="145"/>
      <c r="Q29" s="140">
        <f>VLOOKUP(A29,'PYExhD Data'!$A$7:$V$41,17,FALSE)</f>
        <v>0</v>
      </c>
      <c r="R29" s="143"/>
      <c r="S29" s="143"/>
      <c r="T29" s="140">
        <f>VLOOKUP(A29,'PYExhD Data'!$A$7:$V$41,20,FALSE)</f>
        <v>0</v>
      </c>
      <c r="U29" s="140">
        <f>VLOOKUP(A29,'PYExhD Data'!$A$7:$V$41,21,FALSE)</f>
        <v>0</v>
      </c>
      <c r="V29" s="140">
        <f>VLOOKUP(A29,'PYExhD Data'!$A$7:$V$41,22,FALSE)</f>
        <v>0</v>
      </c>
      <c r="W29" s="123"/>
      <c r="X29" s="98">
        <f t="shared" si="3"/>
        <v>34888246</v>
      </c>
      <c r="Y29" s="117"/>
    </row>
    <row r="30" spans="1:25" ht="13.5" customHeight="1" x14ac:dyDescent="0.25">
      <c r="A30" s="79">
        <v>3580</v>
      </c>
      <c r="B30" s="33">
        <v>261</v>
      </c>
      <c r="C30" s="250" t="s">
        <v>258</v>
      </c>
      <c r="D30" s="90"/>
      <c r="E30" s="144"/>
      <c r="F30" s="141">
        <f>VLOOKUP(A30,'PYExhD Data'!$A$7:$V$41,6,FALSE)</f>
        <v>4321884</v>
      </c>
      <c r="G30" s="141">
        <f>VLOOKUP(A30,'PYExhD Data'!$A$7:$V$41,7,FALSE)</f>
        <v>11728591</v>
      </c>
      <c r="H30" s="144"/>
      <c r="I30" s="141">
        <f>VLOOKUP(A30,'PYExhD Data'!$A$7:$V$41,9,FALSE)</f>
        <v>66038641</v>
      </c>
      <c r="J30" s="141">
        <f>VLOOKUP(A30,'PYExhD Data'!$A$7:$V$41,10,FALSE)</f>
        <v>941493</v>
      </c>
      <c r="K30" s="144"/>
      <c r="L30" s="141">
        <f>VLOOKUP(A30,'PYExhD Data'!$A$7:$V$41,12,FALSE)</f>
        <v>3571224</v>
      </c>
      <c r="M30" s="141">
        <f>VLOOKUP(A30,'PYExhD Data'!$A$7:$V$41,13,FALSE)</f>
        <v>101268693</v>
      </c>
      <c r="N30" s="144"/>
      <c r="O30" s="141">
        <f>VLOOKUP(A30,'PYExhD Data'!$A$7:$V$41,15,FALSE)</f>
        <v>0</v>
      </c>
      <c r="P30" s="146"/>
      <c r="Q30" s="141">
        <f>VLOOKUP(A30,'PYExhD Data'!$A$7:$V$41,17,FALSE)</f>
        <v>30720692</v>
      </c>
      <c r="R30" s="144"/>
      <c r="S30" s="144"/>
      <c r="T30" s="141">
        <f>VLOOKUP(A30,'PYExhD Data'!$A$7:$V$41,20,FALSE)</f>
        <v>0</v>
      </c>
      <c r="U30" s="141">
        <f>VLOOKUP(A30,'PYExhD Data'!$A$7:$V$41,21,FALSE)</f>
        <v>0</v>
      </c>
      <c r="V30" s="141">
        <f>VLOOKUP(A30,'PYExhD Data'!$A$7:$V$41,22,FALSE)</f>
        <v>0</v>
      </c>
      <c r="W30" s="124"/>
      <c r="X30" s="101">
        <f t="shared" si="3"/>
        <v>218591218</v>
      </c>
      <c r="Y30" s="117"/>
    </row>
    <row r="31" spans="1:25" ht="18" customHeight="1" x14ac:dyDescent="0.25">
      <c r="C31" s="1" t="s">
        <v>77</v>
      </c>
      <c r="D31" s="80"/>
      <c r="E31" s="131">
        <f t="shared" ref="E31:U31" si="4">SUM(E21:E30)</f>
        <v>0</v>
      </c>
      <c r="F31" s="131">
        <f t="shared" si="4"/>
        <v>7007047</v>
      </c>
      <c r="G31" s="131">
        <f t="shared" si="4"/>
        <v>16785335</v>
      </c>
      <c r="H31" s="131">
        <f t="shared" si="4"/>
        <v>0</v>
      </c>
      <c r="I31" s="131">
        <f t="shared" si="4"/>
        <v>70657800</v>
      </c>
      <c r="J31" s="131">
        <f t="shared" si="4"/>
        <v>5349293</v>
      </c>
      <c r="K31" s="131">
        <f t="shared" si="4"/>
        <v>0</v>
      </c>
      <c r="L31" s="131">
        <f t="shared" si="4"/>
        <v>6141819</v>
      </c>
      <c r="M31" s="131">
        <f t="shared" si="4"/>
        <v>136609490</v>
      </c>
      <c r="N31" s="131">
        <f t="shared" si="4"/>
        <v>0</v>
      </c>
      <c r="O31" s="131">
        <f t="shared" si="4"/>
        <v>0</v>
      </c>
      <c r="P31" s="131">
        <f t="shared" si="4"/>
        <v>0</v>
      </c>
      <c r="Q31" s="131">
        <f t="shared" si="4"/>
        <v>31404845</v>
      </c>
      <c r="R31" s="131">
        <f t="shared" si="4"/>
        <v>0</v>
      </c>
      <c r="S31" s="131">
        <f t="shared" si="4"/>
        <v>0</v>
      </c>
      <c r="T31" s="131">
        <f t="shared" si="4"/>
        <v>291274</v>
      </c>
      <c r="U31" s="131">
        <f t="shared" si="4"/>
        <v>89033</v>
      </c>
      <c r="V31" s="131">
        <f>SUM(V21:V30)</f>
        <v>2040943</v>
      </c>
      <c r="W31" s="97"/>
      <c r="X31" s="97">
        <f>SUM(X21:X30)</f>
        <v>276376879</v>
      </c>
      <c r="Y31" s="117"/>
    </row>
    <row r="32" spans="1:25" ht="10.5" customHeight="1" x14ac:dyDescent="0.25">
      <c r="C32" s="90"/>
      <c r="D32" s="93"/>
      <c r="E32" s="130"/>
      <c r="F32" s="130"/>
      <c r="G32" s="130"/>
      <c r="H32" s="130"/>
      <c r="I32" s="130"/>
      <c r="J32" s="130"/>
      <c r="K32" s="130"/>
      <c r="L32" s="130"/>
      <c r="M32" s="130"/>
      <c r="N32" s="130"/>
      <c r="O32" s="130"/>
      <c r="P32" s="130"/>
      <c r="Q32" s="130"/>
      <c r="R32" s="130"/>
      <c r="S32" s="130"/>
      <c r="T32" s="130"/>
      <c r="U32" s="130"/>
      <c r="V32" s="130"/>
      <c r="W32" s="94"/>
      <c r="Y32" s="117"/>
    </row>
    <row r="33" spans="1:25" ht="14.25" customHeight="1" x14ac:dyDescent="0.25">
      <c r="C33" s="1" t="s">
        <v>422</v>
      </c>
      <c r="D33" s="93"/>
      <c r="E33" s="130"/>
      <c r="F33" s="130"/>
      <c r="G33" s="130"/>
      <c r="H33" s="130"/>
      <c r="I33" s="130"/>
      <c r="J33" s="130"/>
      <c r="K33" s="130"/>
      <c r="L33" s="130"/>
      <c r="M33" s="130"/>
      <c r="N33" s="130"/>
      <c r="O33" s="130"/>
      <c r="P33" s="130"/>
      <c r="Q33" s="130"/>
      <c r="R33" s="130"/>
      <c r="S33" s="130"/>
      <c r="T33" s="130"/>
      <c r="U33" s="130"/>
      <c r="V33" s="130"/>
      <c r="W33" s="94"/>
      <c r="Y33" s="117"/>
    </row>
    <row r="34" spans="1:25" ht="13.5" customHeight="1" x14ac:dyDescent="0.25">
      <c r="A34" s="79">
        <v>3630</v>
      </c>
      <c r="C34" s="154" t="s">
        <v>423</v>
      </c>
      <c r="D34" s="93"/>
      <c r="E34" s="143"/>
      <c r="F34" s="140">
        <f>VLOOKUP(A34,'PYExhD Data'!$A$7:$V$41,6,FALSE)</f>
        <v>3817536</v>
      </c>
      <c r="G34" s="140">
        <f>VLOOKUP(A34,'PYExhD Data'!$A$7:$V$41,7,FALSE)</f>
        <v>37559250</v>
      </c>
      <c r="H34" s="143"/>
      <c r="I34" s="140">
        <f>VLOOKUP(A34,'PYExhD Data'!$A$7:$V$41,9,FALSE)</f>
        <v>6929567</v>
      </c>
      <c r="J34" s="140">
        <f>VLOOKUP(A34,'PYExhD Data'!$A$7:$V$41,10,FALSE)</f>
        <v>4754659</v>
      </c>
      <c r="K34" s="143"/>
      <c r="L34" s="140">
        <f>VLOOKUP(A34,'PYExhD Data'!$A$7:$V$41,12,FALSE)</f>
        <v>8273973</v>
      </c>
      <c r="M34" s="140">
        <f>VLOOKUP(A34,'PYExhD Data'!$A$7:$V$41,13,FALSE)</f>
        <v>14000892</v>
      </c>
      <c r="N34" s="143"/>
      <c r="O34" s="140">
        <f>VLOOKUP(A34,'PYExhD Data'!$A$7:$V$41,15,FALSE)</f>
        <v>0</v>
      </c>
      <c r="P34" s="145"/>
      <c r="Q34" s="140">
        <f>VLOOKUP(A34,'PYExhD Data'!$A$7:$V$41,17,FALSE)</f>
        <v>5023120</v>
      </c>
      <c r="R34" s="143"/>
      <c r="S34" s="143"/>
      <c r="T34" s="140">
        <f>VLOOKUP(A34,'PYExhD Data'!$A$7:$V$41,20,FALSE)</f>
        <v>247786</v>
      </c>
      <c r="U34" s="140">
        <f>VLOOKUP(A34,'PYExhD Data'!$A$7:$V$41,21,FALSE)</f>
        <v>52442</v>
      </c>
      <c r="V34" s="140">
        <f>VLOOKUP(A34,'PYExhD Data'!$A$7:$V$41,22,FALSE)</f>
        <v>101945</v>
      </c>
      <c r="W34" s="94"/>
      <c r="X34" s="98">
        <f t="shared" ref="X34:X40" si="5">SUM(E34:W34)</f>
        <v>80761170</v>
      </c>
      <c r="Y34" s="117"/>
    </row>
    <row r="35" spans="1:25" ht="13.5" customHeight="1" x14ac:dyDescent="0.25">
      <c r="C35" s="154" t="s">
        <v>264</v>
      </c>
      <c r="D35" s="93"/>
      <c r="E35" s="143"/>
      <c r="F35" s="140"/>
      <c r="G35" s="140"/>
      <c r="H35" s="143"/>
      <c r="I35" s="140"/>
      <c r="J35" s="140"/>
      <c r="K35" s="143"/>
      <c r="L35" s="140"/>
      <c r="M35" s="140"/>
      <c r="N35" s="143"/>
      <c r="O35" s="140"/>
      <c r="P35" s="145"/>
      <c r="Q35" s="140"/>
      <c r="R35" s="143"/>
      <c r="S35" s="143"/>
      <c r="T35" s="140"/>
      <c r="U35" s="140"/>
      <c r="V35" s="140"/>
      <c r="W35" s="94"/>
      <c r="X35" s="98">
        <f t="shared" si="5"/>
        <v>0</v>
      </c>
      <c r="Y35" s="117"/>
    </row>
    <row r="36" spans="1:25" ht="13.5" customHeight="1" x14ac:dyDescent="0.25">
      <c r="C36" s="217" t="s">
        <v>265</v>
      </c>
      <c r="D36" s="90"/>
      <c r="E36" s="143"/>
      <c r="F36" s="140"/>
      <c r="G36" s="140"/>
      <c r="H36" s="143"/>
      <c r="I36" s="140"/>
      <c r="J36" s="140"/>
      <c r="K36" s="143"/>
      <c r="L36" s="140"/>
      <c r="M36" s="140"/>
      <c r="N36" s="143"/>
      <c r="O36" s="140"/>
      <c r="P36" s="145"/>
      <c r="Q36" s="140"/>
      <c r="R36" s="143"/>
      <c r="S36" s="143"/>
      <c r="T36" s="140"/>
      <c r="U36" s="140"/>
      <c r="V36" s="140"/>
      <c r="W36" s="94"/>
      <c r="X36" s="98">
        <f t="shared" si="5"/>
        <v>0</v>
      </c>
      <c r="Y36" s="117"/>
    </row>
    <row r="37" spans="1:25" ht="13.5" customHeight="1" x14ac:dyDescent="0.25">
      <c r="A37" s="79">
        <v>3640</v>
      </c>
      <c r="C37" s="250" t="s">
        <v>266</v>
      </c>
      <c r="D37" s="90"/>
      <c r="E37" s="143"/>
      <c r="F37" s="140">
        <f>VLOOKUP(A37,'PYExhD Data'!$A$7:$V$41,6,FALSE)</f>
        <v>598346619</v>
      </c>
      <c r="G37" s="140">
        <f>VLOOKUP(A37,'PYExhD Data'!$A$7:$V$41,7,FALSE)</f>
        <v>471463328</v>
      </c>
      <c r="H37" s="143"/>
      <c r="I37" s="140">
        <f>VLOOKUP(A37,'PYExhD Data'!$A$7:$V$41,9,FALSE)</f>
        <v>99667017</v>
      </c>
      <c r="J37" s="140">
        <f>VLOOKUP(A37,'PYExhD Data'!$A$7:$V$41,10,FALSE)</f>
        <v>27446674</v>
      </c>
      <c r="K37" s="143"/>
      <c r="L37" s="140">
        <f>VLOOKUP(A37,'PYExhD Data'!$A$7:$V$41,12,FALSE)</f>
        <v>97376164</v>
      </c>
      <c r="M37" s="140">
        <f>VLOOKUP(A37,'PYExhD Data'!$A$7:$V$41,13,FALSE)</f>
        <v>6854399</v>
      </c>
      <c r="N37" s="143"/>
      <c r="O37" s="140">
        <f>VLOOKUP(A37,'PYExhD Data'!$A$7:$V$41,15,FALSE)</f>
        <v>0</v>
      </c>
      <c r="P37" s="145"/>
      <c r="Q37" s="140">
        <f>VLOOKUP(A37,'PYExhD Data'!$A$7:$V$41,17,FALSE)</f>
        <v>0</v>
      </c>
      <c r="R37" s="143"/>
      <c r="S37" s="143"/>
      <c r="T37" s="140">
        <f>VLOOKUP(A37,'PYExhD Data'!$A$7:$V$41,20,FALSE)</f>
        <v>24421792</v>
      </c>
      <c r="U37" s="140">
        <f>VLOOKUP(A37,'PYExhD Data'!$A$7:$V$41,21,FALSE)</f>
        <v>84245349</v>
      </c>
      <c r="V37" s="140">
        <f>VLOOKUP(A37,'PYExhD Data'!$A$7:$V$41,22,FALSE)</f>
        <v>26071084</v>
      </c>
      <c r="W37" s="94"/>
      <c r="X37" s="98">
        <f t="shared" si="5"/>
        <v>1435892426</v>
      </c>
      <c r="Y37" s="117"/>
    </row>
    <row r="38" spans="1:25" ht="13.5" customHeight="1" x14ac:dyDescent="0.25">
      <c r="C38" s="217" t="s">
        <v>269</v>
      </c>
      <c r="D38" s="90"/>
      <c r="E38" s="143"/>
      <c r="F38" s="140"/>
      <c r="G38" s="140"/>
      <c r="H38" s="143"/>
      <c r="I38" s="140"/>
      <c r="J38" s="140"/>
      <c r="K38" s="143"/>
      <c r="L38" s="140"/>
      <c r="M38" s="140"/>
      <c r="N38" s="143"/>
      <c r="O38" s="140"/>
      <c r="P38" s="145"/>
      <c r="Q38" s="140"/>
      <c r="R38" s="143"/>
      <c r="S38" s="143"/>
      <c r="T38" s="140"/>
      <c r="U38" s="140"/>
      <c r="V38" s="140"/>
      <c r="W38" s="94"/>
      <c r="X38" s="98">
        <f t="shared" si="5"/>
        <v>0</v>
      </c>
      <c r="Y38" s="117"/>
    </row>
    <row r="39" spans="1:25" ht="13.5" customHeight="1" x14ac:dyDescent="0.25">
      <c r="A39" s="79">
        <v>3650</v>
      </c>
      <c r="C39" s="250" t="s">
        <v>266</v>
      </c>
      <c r="D39" s="90"/>
      <c r="E39" s="143"/>
      <c r="F39" s="140">
        <f>VLOOKUP(A39,'PYExhD Data'!$A$7:$V$41,6,FALSE)</f>
        <v>768251951</v>
      </c>
      <c r="G39" s="140">
        <f>VLOOKUP(A39,'PYExhD Data'!$A$7:$V$41,7,FALSE)</f>
        <v>395933872</v>
      </c>
      <c r="H39" s="143"/>
      <c r="I39" s="140">
        <f>VLOOKUP(A39,'PYExhD Data'!$A$7:$V$41,9,FALSE)</f>
        <v>131914566</v>
      </c>
      <c r="J39" s="140">
        <f>VLOOKUP(A39,'PYExhD Data'!$A$7:$V$41,10,FALSE)</f>
        <v>28339360</v>
      </c>
      <c r="K39" s="143"/>
      <c r="L39" s="140">
        <f>VLOOKUP(A39,'PYExhD Data'!$A$7:$V$41,12,FALSE)</f>
        <v>82528959</v>
      </c>
      <c r="M39" s="140">
        <f>VLOOKUP(A39,'PYExhD Data'!$A$7:$V$41,13,FALSE)</f>
        <v>26341962</v>
      </c>
      <c r="N39" s="143"/>
      <c r="O39" s="140">
        <f>VLOOKUP(A39,'PYExhD Data'!$A$7:$V$41,15,FALSE)</f>
        <v>0</v>
      </c>
      <c r="P39" s="145"/>
      <c r="Q39" s="140">
        <f>VLOOKUP(A39,'PYExhD Data'!$A$7:$V$41,17,FALSE)</f>
        <v>33529469</v>
      </c>
      <c r="R39" s="143"/>
      <c r="S39" s="143"/>
      <c r="T39" s="140">
        <f>VLOOKUP(A39,'PYExhD Data'!$A$7:$V$41,20,FALSE)</f>
        <v>21980801</v>
      </c>
      <c r="U39" s="140">
        <f>VLOOKUP(A39,'PYExhD Data'!$A$7:$V$41,21,FALSE)</f>
        <v>13253777</v>
      </c>
      <c r="V39" s="140">
        <f>VLOOKUP(A39,'PYExhD Data'!$A$7:$V$41,22,FALSE)</f>
        <v>10731306</v>
      </c>
      <c r="W39" s="94"/>
      <c r="X39" s="98">
        <f t="shared" si="5"/>
        <v>1512806023</v>
      </c>
      <c r="Y39" s="117"/>
    </row>
    <row r="40" spans="1:25" ht="13.5" customHeight="1" x14ac:dyDescent="0.25">
      <c r="A40" s="79">
        <v>3680</v>
      </c>
      <c r="C40" s="154" t="s">
        <v>271</v>
      </c>
      <c r="D40" s="90"/>
      <c r="E40" s="143"/>
      <c r="F40" s="140">
        <f>VLOOKUP(A40,'PYExhD Data'!$A$7:$V$41,6,FALSE)</f>
        <v>117050506</v>
      </c>
      <c r="G40" s="140">
        <f>VLOOKUP(A40,'PYExhD Data'!$A$7:$V$41,7,FALSE)</f>
        <v>20663719</v>
      </c>
      <c r="H40" s="143"/>
      <c r="I40" s="140">
        <f>VLOOKUP(A40,'PYExhD Data'!$A$7:$V$41,9,FALSE)</f>
        <v>21671556</v>
      </c>
      <c r="J40" s="140">
        <f>VLOOKUP(A40,'PYExhD Data'!$A$7:$V$41,10,FALSE)</f>
        <v>-3005969</v>
      </c>
      <c r="K40" s="143"/>
      <c r="L40" s="140">
        <f>VLOOKUP(A40,'PYExhD Data'!$A$7:$V$41,12,FALSE)</f>
        <v>15632835</v>
      </c>
      <c r="M40" s="140">
        <f>VLOOKUP(A40,'PYExhD Data'!$A$7:$V$41,13,FALSE)</f>
        <v>10004951</v>
      </c>
      <c r="N40" s="143"/>
      <c r="O40" s="140">
        <f>VLOOKUP(A40,'PYExhD Data'!$A$7:$V$41,15,FALSE)</f>
        <v>0</v>
      </c>
      <c r="P40" s="145"/>
      <c r="Q40" s="140">
        <f>VLOOKUP(A40,'PYExhD Data'!$A$7:$V$41,17,FALSE)</f>
        <v>28674464</v>
      </c>
      <c r="R40" s="143"/>
      <c r="S40" s="143"/>
      <c r="T40" s="140">
        <f>VLOOKUP(A40,'PYExhD Data'!$A$7:$V$41,20,FALSE)</f>
        <v>1533288</v>
      </c>
      <c r="U40" s="140">
        <f>VLOOKUP(A40,'PYExhD Data'!$A$7:$V$41,21,FALSE)</f>
        <v>1750311</v>
      </c>
      <c r="V40" s="140">
        <f>VLOOKUP(A40,'PYExhD Data'!$A$7:$V$41,22,FALSE)</f>
        <v>4465762</v>
      </c>
      <c r="W40" s="94"/>
      <c r="X40" s="98">
        <f t="shared" si="5"/>
        <v>218441423</v>
      </c>
      <c r="Y40" s="117"/>
    </row>
    <row r="41" spans="1:25" ht="14.25" thickBot="1" x14ac:dyDescent="0.3">
      <c r="C41" s="1" t="s">
        <v>81</v>
      </c>
      <c r="D41" s="90"/>
      <c r="E41" s="132">
        <f>SUM(E34:E40)</f>
        <v>0</v>
      </c>
      <c r="F41" s="132">
        <f>SUM(F34:F40)</f>
        <v>1487466612</v>
      </c>
      <c r="G41" s="132">
        <f t="shared" ref="G41:U41" si="6">SUM(G34:G40)</f>
        <v>925620169</v>
      </c>
      <c r="H41" s="132">
        <f t="shared" si="6"/>
        <v>0</v>
      </c>
      <c r="I41" s="132">
        <f t="shared" si="6"/>
        <v>260182706</v>
      </c>
      <c r="J41" s="132">
        <f t="shared" si="6"/>
        <v>57534724</v>
      </c>
      <c r="K41" s="132">
        <f t="shared" si="6"/>
        <v>0</v>
      </c>
      <c r="L41" s="132">
        <f t="shared" si="6"/>
        <v>203811931</v>
      </c>
      <c r="M41" s="132">
        <f t="shared" si="6"/>
        <v>57202204</v>
      </c>
      <c r="N41" s="132">
        <f t="shared" si="6"/>
        <v>0</v>
      </c>
      <c r="O41" s="132">
        <f t="shared" si="6"/>
        <v>0</v>
      </c>
      <c r="P41" s="132">
        <f t="shared" si="6"/>
        <v>0</v>
      </c>
      <c r="Q41" s="132">
        <f t="shared" si="6"/>
        <v>67227053</v>
      </c>
      <c r="R41" s="132">
        <f t="shared" si="6"/>
        <v>0</v>
      </c>
      <c r="S41" s="132">
        <f t="shared" si="6"/>
        <v>0</v>
      </c>
      <c r="T41" s="132">
        <f t="shared" si="6"/>
        <v>48183667</v>
      </c>
      <c r="U41" s="132">
        <f t="shared" si="6"/>
        <v>99301879</v>
      </c>
      <c r="V41" s="132">
        <f>SUM(V34:V40)</f>
        <v>41370097</v>
      </c>
      <c r="W41" s="125"/>
      <c r="X41" s="125">
        <f>SUM(X34:X40)</f>
        <v>3247901042</v>
      </c>
      <c r="Y41" s="117"/>
    </row>
    <row r="42" spans="1:25" ht="10.5" customHeight="1" thickTop="1" x14ac:dyDescent="0.25">
      <c r="C42" s="90"/>
      <c r="D42" s="90"/>
      <c r="E42" s="94"/>
      <c r="F42" s="94"/>
      <c r="G42" s="94"/>
      <c r="H42" s="94"/>
      <c r="I42" s="94"/>
      <c r="J42" s="94"/>
      <c r="K42" s="94"/>
      <c r="L42" s="94"/>
      <c r="M42" s="94"/>
      <c r="N42" s="94"/>
      <c r="O42" s="94"/>
      <c r="P42" s="94"/>
      <c r="Q42" s="94"/>
      <c r="R42" s="94"/>
      <c r="S42" s="94"/>
      <c r="T42" s="94"/>
      <c r="U42" s="94"/>
      <c r="V42" s="94"/>
      <c r="W42" s="94"/>
      <c r="Y42" s="117"/>
    </row>
    <row r="43" spans="1:25" ht="10.5" customHeight="1" x14ac:dyDescent="0.25">
      <c r="C43" s="117"/>
      <c r="D43" s="126"/>
      <c r="E43" s="113" t="str">
        <f t="shared" ref="E43:U43" si="7">IF(E18-E31=E41,"In Balance","Not Balanced")</f>
        <v>In Balance</v>
      </c>
      <c r="F43" s="113" t="str">
        <f t="shared" si="7"/>
        <v>In Balance</v>
      </c>
      <c r="G43" s="113" t="str">
        <f t="shared" si="7"/>
        <v>In Balance</v>
      </c>
      <c r="H43" s="113" t="str">
        <f t="shared" si="7"/>
        <v>In Balance</v>
      </c>
      <c r="I43" s="113" t="str">
        <f t="shared" si="7"/>
        <v>In Balance</v>
      </c>
      <c r="J43" s="113" t="str">
        <f t="shared" si="7"/>
        <v>In Balance</v>
      </c>
      <c r="K43" s="113" t="str">
        <f t="shared" si="7"/>
        <v>In Balance</v>
      </c>
      <c r="L43" s="113" t="str">
        <f t="shared" si="7"/>
        <v>In Balance</v>
      </c>
      <c r="M43" s="113" t="str">
        <f t="shared" si="7"/>
        <v>In Balance</v>
      </c>
      <c r="N43" s="113" t="str">
        <f t="shared" si="7"/>
        <v>In Balance</v>
      </c>
      <c r="O43" s="113" t="str">
        <f t="shared" si="7"/>
        <v>In Balance</v>
      </c>
      <c r="P43" s="113" t="str">
        <f t="shared" si="7"/>
        <v>In Balance</v>
      </c>
      <c r="Q43" s="113" t="str">
        <f t="shared" si="7"/>
        <v>In Balance</v>
      </c>
      <c r="R43" s="113" t="str">
        <f t="shared" si="7"/>
        <v>In Balance</v>
      </c>
      <c r="S43" s="113" t="str">
        <f t="shared" si="7"/>
        <v>In Balance</v>
      </c>
      <c r="T43" s="113" t="str">
        <f t="shared" si="7"/>
        <v>In Balance</v>
      </c>
      <c r="U43" s="113" t="str">
        <f t="shared" si="7"/>
        <v>In Balance</v>
      </c>
      <c r="V43" s="113" t="str">
        <f>IF(V18-V31=V41,"In Balance","Not Balanced")</f>
        <v>In Balance</v>
      </c>
      <c r="W43" s="113"/>
      <c r="X43" s="113" t="str">
        <f>IF(X18-X31=X41,"In Balance","Not Balanced")</f>
        <v>In Balance</v>
      </c>
      <c r="Y43" s="117"/>
    </row>
    <row r="44" spans="1:25" x14ac:dyDescent="0.25">
      <c r="A44" s="149" t="s">
        <v>477</v>
      </c>
      <c r="E44" s="127"/>
      <c r="F44" s="127"/>
      <c r="G44" s="127"/>
      <c r="H44" s="127"/>
      <c r="I44" s="127"/>
      <c r="J44" s="127"/>
      <c r="K44" s="127"/>
      <c r="L44" s="127"/>
      <c r="M44" s="127"/>
      <c r="N44" s="127"/>
      <c r="O44" s="127"/>
      <c r="P44" s="127"/>
      <c r="Q44" s="127"/>
      <c r="R44" s="127"/>
      <c r="S44" s="127"/>
      <c r="T44" s="127"/>
      <c r="U44" s="127"/>
      <c r="V44" s="127"/>
      <c r="W44" s="127"/>
      <c r="X44" s="127"/>
    </row>
    <row r="45" spans="1:25" x14ac:dyDescent="0.25">
      <c r="A45" s="32" t="s">
        <v>424</v>
      </c>
      <c r="X45" s="99"/>
    </row>
    <row r="46" spans="1:25" x14ac:dyDescent="0.25">
      <c r="A46" s="225" t="s">
        <v>425</v>
      </c>
      <c r="E46" s="128"/>
      <c r="F46" s="128"/>
      <c r="G46" s="128"/>
      <c r="H46" s="128"/>
      <c r="I46" s="128"/>
      <c r="J46" s="128"/>
      <c r="K46" s="128"/>
      <c r="L46" s="128"/>
      <c r="M46" s="128"/>
      <c r="N46" s="128"/>
      <c r="O46" s="128"/>
      <c r="P46" s="128"/>
      <c r="Q46" s="128"/>
      <c r="R46" s="128"/>
      <c r="S46" s="128"/>
      <c r="T46" s="128"/>
      <c r="U46" s="128"/>
      <c r="V46" s="128"/>
      <c r="W46" s="128"/>
    </row>
    <row r="47" spans="1:25" x14ac:dyDescent="0.25">
      <c r="A47" s="32"/>
      <c r="E47" s="128"/>
      <c r="F47" s="128"/>
      <c r="G47" s="128"/>
      <c r="H47" s="128"/>
      <c r="I47" s="128"/>
      <c r="J47" s="128"/>
      <c r="K47" s="128"/>
      <c r="L47" s="128"/>
      <c r="M47" s="128"/>
      <c r="N47" s="128"/>
      <c r="O47" s="128"/>
      <c r="P47" s="128"/>
      <c r="Q47" s="128"/>
      <c r="R47" s="128"/>
      <c r="S47" s="128"/>
      <c r="T47" s="128"/>
      <c r="U47" s="128"/>
      <c r="V47" s="128"/>
      <c r="W47" s="128"/>
    </row>
    <row r="48" spans="1:25" s="80" customFormat="1" x14ac:dyDescent="0.25">
      <c r="A48" s="32"/>
      <c r="B48" s="115"/>
      <c r="C48" s="115"/>
      <c r="D48" s="115"/>
      <c r="E48" s="128"/>
      <c r="F48" s="128"/>
      <c r="G48" s="128"/>
      <c r="H48" s="128"/>
      <c r="I48" s="128"/>
      <c r="J48" s="128"/>
      <c r="K48" s="128"/>
      <c r="L48" s="128"/>
      <c r="M48" s="128"/>
      <c r="N48" s="128"/>
      <c r="O48" s="128"/>
      <c r="P48" s="128"/>
      <c r="Q48" s="128"/>
      <c r="R48" s="128"/>
      <c r="S48" s="128"/>
      <c r="T48" s="128"/>
      <c r="U48" s="128"/>
      <c r="V48" s="128"/>
      <c r="W48" s="128"/>
      <c r="X48" s="98"/>
    </row>
    <row r="49" spans="1:24" s="80" customFormat="1" x14ac:dyDescent="0.25">
      <c r="A49" s="32"/>
      <c r="B49" s="115"/>
      <c r="D49" s="115"/>
      <c r="E49" s="128"/>
      <c r="F49" s="128"/>
      <c r="G49" s="128"/>
      <c r="H49" s="128"/>
      <c r="I49" s="128"/>
      <c r="J49" s="128"/>
      <c r="K49" s="128"/>
      <c r="L49" s="128"/>
      <c r="M49" s="128"/>
      <c r="N49" s="128"/>
      <c r="O49" s="128"/>
      <c r="P49" s="128"/>
      <c r="Q49" s="128"/>
      <c r="R49" s="128"/>
      <c r="S49" s="128"/>
      <c r="T49" s="128"/>
      <c r="U49" s="128"/>
      <c r="V49" s="128"/>
      <c r="W49" s="128"/>
      <c r="X49" s="128"/>
    </row>
    <row r="50" spans="1:24" s="80" customFormat="1" x14ac:dyDescent="0.25">
      <c r="A50" s="32"/>
      <c r="B50" s="115"/>
      <c r="C50" s="115"/>
      <c r="D50" s="115"/>
      <c r="E50" s="128"/>
      <c r="F50" s="128"/>
      <c r="G50" s="128"/>
      <c r="H50" s="128"/>
      <c r="I50" s="128"/>
      <c r="J50" s="128"/>
      <c r="K50" s="128"/>
      <c r="L50" s="128"/>
      <c r="M50" s="128"/>
      <c r="N50" s="128"/>
      <c r="O50" s="128"/>
      <c r="P50" s="128"/>
      <c r="Q50" s="128"/>
      <c r="R50" s="128"/>
      <c r="S50" s="128"/>
      <c r="T50" s="128"/>
      <c r="U50" s="128"/>
      <c r="V50" s="128"/>
      <c r="W50" s="128"/>
      <c r="X50" s="128"/>
    </row>
    <row r="51" spans="1:24" s="80" customFormat="1" x14ac:dyDescent="0.25">
      <c r="A51" s="79"/>
      <c r="B51" s="115"/>
      <c r="C51" s="115"/>
      <c r="D51" s="115"/>
      <c r="E51" s="128"/>
      <c r="F51" s="128"/>
      <c r="G51" s="128"/>
      <c r="H51" s="128"/>
      <c r="I51" s="128"/>
      <c r="J51" s="128"/>
      <c r="K51" s="128"/>
      <c r="L51" s="128"/>
      <c r="M51" s="128"/>
      <c r="N51" s="128"/>
      <c r="O51" s="128"/>
      <c r="P51" s="128"/>
      <c r="Q51" s="128"/>
      <c r="R51" s="128"/>
      <c r="S51" s="128"/>
      <c r="T51" s="128"/>
      <c r="U51" s="128"/>
      <c r="V51" s="128"/>
      <c r="W51" s="128"/>
      <c r="X51" s="98"/>
    </row>
    <row r="52" spans="1:24" s="80" customFormat="1" ht="13.5" x14ac:dyDescent="0.25">
      <c r="A52" s="79"/>
      <c r="B52" s="121" t="s">
        <v>397</v>
      </c>
      <c r="C52" s="138" t="s">
        <v>426</v>
      </c>
      <c r="D52" s="115"/>
      <c r="E52" s="74"/>
      <c r="F52" s="128"/>
      <c r="G52" s="128"/>
      <c r="H52" s="128"/>
      <c r="I52" s="128"/>
      <c r="J52" s="128"/>
      <c r="K52" s="128"/>
      <c r="L52" s="128"/>
      <c r="M52" s="128"/>
      <c r="N52" s="128"/>
      <c r="O52" s="128"/>
      <c r="P52" s="128"/>
      <c r="Q52" s="128"/>
      <c r="R52" s="128"/>
      <c r="S52" s="128"/>
      <c r="T52" s="128"/>
      <c r="U52" s="128"/>
      <c r="V52" s="128"/>
      <c r="W52" s="128"/>
      <c r="X52" s="128"/>
    </row>
    <row r="53" spans="1:24" s="80" customFormat="1" ht="13.5" x14ac:dyDescent="0.25">
      <c r="A53" s="79"/>
      <c r="B53" s="115"/>
      <c r="C53" s="115"/>
      <c r="D53" s="115"/>
      <c r="E53" s="74"/>
      <c r="F53" s="128"/>
      <c r="G53" s="128"/>
      <c r="H53" s="128"/>
      <c r="I53" s="128"/>
      <c r="J53" s="128"/>
      <c r="K53" s="128"/>
      <c r="L53" s="128"/>
      <c r="M53" s="128"/>
      <c r="N53" s="128"/>
      <c r="O53" s="128"/>
      <c r="P53" s="128"/>
      <c r="Q53" s="128"/>
      <c r="R53" s="128"/>
      <c r="S53" s="128"/>
      <c r="T53" s="128"/>
      <c r="U53" s="128"/>
      <c r="V53" s="128"/>
      <c r="W53" s="128"/>
      <c r="X53" s="128"/>
    </row>
    <row r="54" spans="1:24" s="80" customFormat="1" x14ac:dyDescent="0.25">
      <c r="A54" s="79"/>
      <c r="B54" s="115"/>
      <c r="C54" s="115"/>
      <c r="D54" s="115"/>
      <c r="E54" s="128"/>
      <c r="F54" s="128"/>
      <c r="G54" s="128"/>
      <c r="H54" s="128"/>
      <c r="I54" s="128"/>
      <c r="J54" s="128"/>
      <c r="K54" s="128"/>
      <c r="L54" s="128"/>
      <c r="M54" s="128"/>
      <c r="N54" s="128"/>
      <c r="O54" s="128"/>
      <c r="P54" s="128"/>
      <c r="Q54" s="128"/>
      <c r="R54" s="128"/>
      <c r="S54" s="128"/>
      <c r="T54" s="128"/>
      <c r="U54" s="128"/>
      <c r="V54" s="128"/>
      <c r="W54" s="128"/>
      <c r="X54" s="128"/>
    </row>
  </sheetData>
  <sheetProtection algorithmName="SHA-512" hashValue="2zggVt8Ui9OXmJQLL+NRXf714Z4fEjW2wFZJ4v2uUWMCgNwGfFPNscz82sPZhAxl45yLfsJa1dc802je9Nw0HA==" saltValue="mx4xzFJsGdw+muP33BgmEQ==" spinCount="100000" sheet="1" autoFilter="0"/>
  <printOptions headings="1" gridLines="1"/>
  <pageMargins left="0.7" right="0.7" top="0.75" bottom="0.75" header="0.3" footer="0.3"/>
  <pageSetup scale="49"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Y38"/>
  <sheetViews>
    <sheetView zoomScaleNormal="100" workbookViewId="0">
      <pane xSplit="3" ySplit="5" topLeftCell="D6" activePane="bottomRight" state="frozen"/>
      <selection pane="topRight"/>
      <selection pane="bottomLeft"/>
      <selection pane="bottomRight" activeCell="K37" sqref="K37"/>
    </sheetView>
  </sheetViews>
  <sheetFormatPr defaultRowHeight="12.75" x14ac:dyDescent="0.2"/>
  <cols>
    <col min="1" max="1" width="5" bestFit="1" customWidth="1"/>
    <col min="2" max="2" width="5.140625" bestFit="1" customWidth="1"/>
    <col min="3" max="3" width="41.5703125" bestFit="1" customWidth="1"/>
    <col min="4" max="4" width="2.7109375" customWidth="1"/>
    <col min="5" max="5" width="6.5703125" bestFit="1" customWidth="1"/>
    <col min="6" max="6" width="13.42578125" bestFit="1" customWidth="1"/>
    <col min="7" max="7" width="13.85546875" customWidth="1"/>
    <col min="8" max="8" width="5.5703125" bestFit="1" customWidth="1"/>
    <col min="9" max="9" width="11.42578125" customWidth="1"/>
    <col min="10" max="10" width="10.7109375" bestFit="1" customWidth="1"/>
    <col min="11" max="11" width="5.7109375" bestFit="1" customWidth="1"/>
    <col min="12" max="12" width="13.85546875" customWidth="1"/>
    <col min="13" max="13" width="11.28515625" customWidth="1"/>
    <col min="14" max="14" width="5.42578125" bestFit="1" customWidth="1"/>
    <col min="15" max="15" width="13.140625" customWidth="1"/>
    <col min="16" max="16" width="5.42578125" bestFit="1" customWidth="1"/>
    <col min="17" max="17" width="10.85546875" customWidth="1"/>
    <col min="18" max="18" width="5.5703125" bestFit="1" customWidth="1"/>
    <col min="19" max="19" width="9.85546875" bestFit="1" customWidth="1"/>
    <col min="20" max="20" width="11.7109375" bestFit="1" customWidth="1"/>
    <col min="21" max="21" width="10.85546875" bestFit="1" customWidth="1"/>
    <col min="22" max="22" width="11" customWidth="1"/>
    <col min="23" max="23" width="3.42578125" customWidth="1"/>
    <col min="24" max="24" width="13.5703125" customWidth="1"/>
  </cols>
  <sheetData>
    <row r="1" spans="1:24" ht="13.5" x14ac:dyDescent="0.25">
      <c r="A1" s="108"/>
      <c r="B1" s="109"/>
      <c r="C1" s="81" t="s">
        <v>376</v>
      </c>
      <c r="D1" s="82"/>
      <c r="E1" s="80"/>
      <c r="F1" s="82"/>
      <c r="G1" s="82"/>
      <c r="H1" s="82"/>
      <c r="I1" s="82"/>
      <c r="J1" s="82"/>
      <c r="K1" s="82"/>
      <c r="L1" s="82"/>
      <c r="M1" s="82"/>
      <c r="N1" s="82"/>
      <c r="O1" s="82"/>
      <c r="P1" s="82"/>
      <c r="Q1" s="82"/>
      <c r="R1" s="82"/>
      <c r="S1" s="82"/>
      <c r="T1" s="82"/>
      <c r="U1" s="82"/>
      <c r="V1" s="82"/>
      <c r="W1" s="82"/>
      <c r="X1" s="99"/>
    </row>
    <row r="2" spans="1:24" ht="13.5" x14ac:dyDescent="0.25">
      <c r="A2" s="108"/>
      <c r="B2" s="109"/>
      <c r="C2" s="84" t="s">
        <v>377</v>
      </c>
      <c r="D2" s="82"/>
      <c r="E2" s="85" t="s">
        <v>378</v>
      </c>
      <c r="F2" s="85" t="s">
        <v>379</v>
      </c>
      <c r="G2" s="85" t="s">
        <v>380</v>
      </c>
      <c r="H2" s="85" t="s">
        <v>381</v>
      </c>
      <c r="I2" s="85" t="s">
        <v>382</v>
      </c>
      <c r="J2" s="85" t="s">
        <v>383</v>
      </c>
      <c r="K2" s="85" t="s">
        <v>384</v>
      </c>
      <c r="L2" s="85" t="s">
        <v>385</v>
      </c>
      <c r="M2" s="85" t="s">
        <v>386</v>
      </c>
      <c r="N2" s="85" t="s">
        <v>387</v>
      </c>
      <c r="O2" s="85" t="s">
        <v>388</v>
      </c>
      <c r="P2" s="85" t="s">
        <v>389</v>
      </c>
      <c r="Q2" s="85" t="s">
        <v>390</v>
      </c>
      <c r="R2" s="85" t="s">
        <v>391</v>
      </c>
      <c r="S2" s="85" t="s">
        <v>392</v>
      </c>
      <c r="T2" s="85" t="s">
        <v>393</v>
      </c>
      <c r="U2" s="85" t="s">
        <v>394</v>
      </c>
      <c r="V2" s="85" t="s">
        <v>395</v>
      </c>
      <c r="W2" s="82"/>
      <c r="X2" s="99"/>
    </row>
    <row r="3" spans="1:24" ht="13.5" x14ac:dyDescent="0.25">
      <c r="A3" s="108"/>
      <c r="B3" s="109"/>
      <c r="C3" s="86">
        <v>45107</v>
      </c>
      <c r="D3" s="87"/>
      <c r="E3" s="82"/>
      <c r="F3" s="82"/>
      <c r="G3" s="82"/>
      <c r="H3" s="82"/>
      <c r="I3" s="82"/>
      <c r="J3" s="82"/>
      <c r="K3" s="82"/>
      <c r="L3" s="82"/>
      <c r="M3" s="82"/>
      <c r="N3" s="82"/>
      <c r="O3" s="82"/>
      <c r="P3" s="82"/>
      <c r="Q3" s="82"/>
      <c r="R3" s="82"/>
      <c r="S3" s="82"/>
      <c r="T3" s="82"/>
      <c r="U3" s="82"/>
      <c r="V3" s="82"/>
      <c r="W3" s="82"/>
      <c r="X3" s="99"/>
    </row>
    <row r="4" spans="1:24" ht="13.5" x14ac:dyDescent="0.25">
      <c r="A4" s="108"/>
      <c r="B4" s="109"/>
      <c r="C4" s="133" t="s">
        <v>427</v>
      </c>
      <c r="D4" s="109"/>
      <c r="E4" s="82"/>
      <c r="F4" s="82"/>
      <c r="G4" s="82"/>
      <c r="H4" s="82"/>
      <c r="I4" s="82"/>
      <c r="J4" s="82"/>
      <c r="K4" s="82"/>
      <c r="L4" s="82"/>
      <c r="M4" s="82"/>
      <c r="N4" s="82"/>
      <c r="O4" s="82"/>
      <c r="P4" s="82"/>
      <c r="Q4" s="82"/>
      <c r="R4" s="82"/>
      <c r="S4" s="82"/>
      <c r="T4" s="82"/>
      <c r="U4" s="82"/>
      <c r="V4" s="82"/>
      <c r="W4" s="82"/>
      <c r="X4" s="99" t="s">
        <v>398</v>
      </c>
    </row>
    <row r="5" spans="1:24" ht="13.5" x14ac:dyDescent="0.25">
      <c r="A5" s="108"/>
      <c r="B5" s="109"/>
      <c r="C5" s="88" t="s">
        <v>458</v>
      </c>
      <c r="D5" s="109"/>
      <c r="E5" s="89" t="s">
        <v>399</v>
      </c>
      <c r="F5" s="89" t="s">
        <v>400</v>
      </c>
      <c r="G5" s="89" t="s">
        <v>401</v>
      </c>
      <c r="H5" s="89" t="s">
        <v>402</v>
      </c>
      <c r="I5" s="89" t="s">
        <v>403</v>
      </c>
      <c r="J5" s="89" t="s">
        <v>404</v>
      </c>
      <c r="K5" s="89" t="s">
        <v>405</v>
      </c>
      <c r="L5" s="89" t="s">
        <v>406</v>
      </c>
      <c r="M5" s="89" t="s">
        <v>407</v>
      </c>
      <c r="N5" s="89" t="s">
        <v>408</v>
      </c>
      <c r="O5" s="89" t="s">
        <v>409</v>
      </c>
      <c r="P5" s="89" t="s">
        <v>428</v>
      </c>
      <c r="Q5" s="89" t="s">
        <v>411</v>
      </c>
      <c r="R5" s="89" t="s">
        <v>412</v>
      </c>
      <c r="S5" s="89" t="s">
        <v>413</v>
      </c>
      <c r="T5" s="89" t="s">
        <v>429</v>
      </c>
      <c r="U5" s="89" t="s">
        <v>430</v>
      </c>
      <c r="V5" s="89" t="s">
        <v>416</v>
      </c>
      <c r="W5" s="89"/>
      <c r="X5" s="100" t="s">
        <v>417</v>
      </c>
    </row>
    <row r="6" spans="1:24" x14ac:dyDescent="0.2">
      <c r="A6" s="108"/>
      <c r="B6" s="109"/>
      <c r="C6" s="106" t="s">
        <v>290</v>
      </c>
      <c r="D6" s="109"/>
      <c r="E6" s="109"/>
      <c r="F6" s="109"/>
      <c r="G6" s="109"/>
      <c r="H6" s="109"/>
      <c r="I6" s="109"/>
      <c r="J6" s="109"/>
      <c r="K6" s="109"/>
      <c r="L6" s="109"/>
      <c r="M6" s="109"/>
      <c r="N6" s="109"/>
      <c r="O6" s="109"/>
      <c r="P6" s="109"/>
      <c r="Q6" s="109"/>
      <c r="R6" s="109"/>
      <c r="S6" s="109"/>
      <c r="T6" s="109"/>
      <c r="U6" s="109"/>
      <c r="V6" s="109"/>
      <c r="W6" s="109"/>
      <c r="X6" s="109"/>
    </row>
    <row r="7" spans="1:24" x14ac:dyDescent="0.2">
      <c r="A7" s="108">
        <v>2700</v>
      </c>
      <c r="B7" s="253">
        <v>505</v>
      </c>
      <c r="C7" s="254" t="s">
        <v>291</v>
      </c>
      <c r="D7" s="109"/>
      <c r="E7" s="267"/>
      <c r="F7" s="268">
        <f>VLOOKUP(A7,'PYExhE Data'!$A$7:$V$31,6,FALSE)</f>
        <v>0</v>
      </c>
      <c r="G7" s="268">
        <f>VLOOKUP(A7,'PYExhE Data'!$A$7:$V$31,7,FALSE)</f>
        <v>449803</v>
      </c>
      <c r="H7" s="267"/>
      <c r="I7" s="268">
        <f>VLOOKUP(A7,'PYExhE Data'!$A$7:$V$31,9,FALSE)</f>
        <v>259500</v>
      </c>
      <c r="J7" s="268">
        <f>VLOOKUP(A7,'PYExhE Data'!$A$7:$V$31,10,FALSE)</f>
        <v>1182934</v>
      </c>
      <c r="K7" s="267"/>
      <c r="L7" s="268">
        <f>VLOOKUP(A7,'PYExhE Data'!$A$7:$V$31,12,FALSE)</f>
        <v>0</v>
      </c>
      <c r="M7" s="268">
        <f>VLOOKUP(A7,'PYExhE Data'!$A$7:$V$31,13,FALSE)</f>
        <v>0</v>
      </c>
      <c r="N7" s="267"/>
      <c r="O7" s="268">
        <f>VLOOKUP(A7,'PYExhE Data'!$A$7:$V$31,15,FALSE)</f>
        <v>0</v>
      </c>
      <c r="P7" s="267"/>
      <c r="Q7" s="268">
        <f>VLOOKUP(A7,'PYExhE Data'!$A$7:$V$31,17,FALSE)</f>
        <v>0</v>
      </c>
      <c r="R7" s="267"/>
      <c r="S7" s="267"/>
      <c r="T7" s="268">
        <f>VLOOKUP(A7,'PYExhE Data'!$A$7:$V$31,20,FALSE)</f>
        <v>0</v>
      </c>
      <c r="U7" s="268">
        <f>VLOOKUP(A7,'PYExhE Data'!$A$7:$V$31,21,FALSE)</f>
        <v>0</v>
      </c>
      <c r="V7" s="268">
        <f>VLOOKUP(A7,'PYExhE Data'!$A$7:$V$31,22,FALSE)</f>
        <v>0</v>
      </c>
      <c r="W7" s="269"/>
      <c r="X7" s="269">
        <f>SUM(D7:W7)</f>
        <v>1892237</v>
      </c>
    </row>
    <row r="8" spans="1:24" x14ac:dyDescent="0.2">
      <c r="A8" s="108">
        <v>2710</v>
      </c>
      <c r="B8" s="253">
        <v>500</v>
      </c>
      <c r="C8" s="254" t="s">
        <v>155</v>
      </c>
      <c r="D8" s="109"/>
      <c r="E8" s="267"/>
      <c r="F8" s="268">
        <f>VLOOKUP(A8,'PYExhE Data'!$A$7:$V$31,6,FALSE)</f>
        <v>62351593</v>
      </c>
      <c r="G8" s="268">
        <f>VLOOKUP(A8,'PYExhE Data'!$A$7:$V$31,7,FALSE)</f>
        <v>19750603</v>
      </c>
      <c r="H8" s="267"/>
      <c r="I8" s="268">
        <f>VLOOKUP(A8,'PYExhE Data'!$A$7:$V$31,9,FALSE)</f>
        <v>18090475</v>
      </c>
      <c r="J8" s="268">
        <f>VLOOKUP(A8,'PYExhE Data'!$A$7:$V$31,10,FALSE)</f>
        <v>4474782</v>
      </c>
      <c r="K8" s="267"/>
      <c r="L8" s="268">
        <f>VLOOKUP(A8,'PYExhE Data'!$A$7:$V$31,12,FALSE)</f>
        <v>7263534</v>
      </c>
      <c r="M8" s="268">
        <f>VLOOKUP(A8,'PYExhE Data'!$A$7:$V$31,13,FALSE)</f>
        <v>8363123</v>
      </c>
      <c r="N8" s="267"/>
      <c r="O8" s="268">
        <f>VLOOKUP(A8,'PYExhE Data'!$A$7:$V$31,15,FALSE)</f>
        <v>0</v>
      </c>
      <c r="P8" s="267"/>
      <c r="Q8" s="268">
        <f>VLOOKUP(A8,'PYExhE Data'!$A$7:$V$31,17,FALSE)</f>
        <v>4732972</v>
      </c>
      <c r="R8" s="267"/>
      <c r="S8" s="267"/>
      <c r="T8" s="268">
        <f>VLOOKUP(A8,'PYExhE Data'!$A$7:$V$31,20,FALSE)</f>
        <v>14665538</v>
      </c>
      <c r="U8" s="268">
        <f>VLOOKUP(A8,'PYExhE Data'!$A$7:$V$31,21,FALSE)</f>
        <v>5925981</v>
      </c>
      <c r="V8" s="268">
        <f>VLOOKUP(A8,'PYExhE Data'!$A$7:$V$31,22,FALSE)</f>
        <v>5967074</v>
      </c>
      <c r="W8" s="269"/>
      <c r="X8" s="269">
        <f t="shared" ref="X8:X15" si="0">SUM(D8:W8)</f>
        <v>151585675</v>
      </c>
    </row>
    <row r="9" spans="1:24" x14ac:dyDescent="0.2">
      <c r="A9" s="108">
        <v>2890</v>
      </c>
      <c r="B9" s="253">
        <v>510</v>
      </c>
      <c r="C9" s="254" t="s">
        <v>156</v>
      </c>
      <c r="D9" s="109"/>
      <c r="E9" s="267"/>
      <c r="F9" s="268">
        <f>VLOOKUP(A9,'PYExhE Data'!$A$7:$V$31,6,FALSE)</f>
        <v>0</v>
      </c>
      <c r="G9" s="268">
        <f>VLOOKUP(A9,'PYExhE Data'!$A$7:$V$31,7,FALSE)</f>
        <v>0</v>
      </c>
      <c r="H9" s="267"/>
      <c r="I9" s="268">
        <f>VLOOKUP(A9,'PYExhE Data'!$A$7:$V$31,9,FALSE)</f>
        <v>362240</v>
      </c>
      <c r="J9" s="268">
        <f>VLOOKUP(A9,'PYExhE Data'!$A$7:$V$31,10,FALSE)</f>
        <v>1176448</v>
      </c>
      <c r="K9" s="267"/>
      <c r="L9" s="268">
        <f>VLOOKUP(A9,'PYExhE Data'!$A$7:$V$31,12,FALSE)</f>
        <v>0</v>
      </c>
      <c r="M9" s="268">
        <f>VLOOKUP(A9,'PYExhE Data'!$A$7:$V$31,13,FALSE)</f>
        <v>0</v>
      </c>
      <c r="N9" s="267"/>
      <c r="O9" s="268">
        <f>VLOOKUP(A9,'PYExhE Data'!$A$7:$V$31,15,FALSE)</f>
        <v>0</v>
      </c>
      <c r="P9" s="267"/>
      <c r="Q9" s="268">
        <f>VLOOKUP(A9,'PYExhE Data'!$A$7:$V$31,17,FALSE)</f>
        <v>0</v>
      </c>
      <c r="R9" s="267"/>
      <c r="S9" s="267"/>
      <c r="T9" s="268">
        <f>VLOOKUP(A9,'PYExhE Data'!$A$7:$V$31,20,FALSE)</f>
        <v>0</v>
      </c>
      <c r="U9" s="268">
        <f>VLOOKUP(A9,'PYExhE Data'!$A$7:$V$31,21,FALSE)</f>
        <v>0</v>
      </c>
      <c r="V9" s="268">
        <f>VLOOKUP(A9,'PYExhE Data'!$A$7:$V$31,22,FALSE)</f>
        <v>1889308</v>
      </c>
      <c r="W9" s="269"/>
      <c r="X9" s="269">
        <f t="shared" si="0"/>
        <v>3427996</v>
      </c>
    </row>
    <row r="10" spans="1:24" x14ac:dyDescent="0.2">
      <c r="A10" s="108">
        <v>2900</v>
      </c>
      <c r="B10" s="253">
        <v>520</v>
      </c>
      <c r="C10" s="254" t="s">
        <v>157</v>
      </c>
      <c r="D10" s="109"/>
      <c r="E10" s="267"/>
      <c r="F10" s="268">
        <f>VLOOKUP(A10,'PYExhE Data'!$A$7:$V$31,6,FALSE)</f>
        <v>39883455</v>
      </c>
      <c r="G10" s="268">
        <f>VLOOKUP(A10,'PYExhE Data'!$A$7:$V$31,7,FALSE)</f>
        <v>26958934</v>
      </c>
      <c r="H10" s="267"/>
      <c r="I10" s="268">
        <f>VLOOKUP(A10,'PYExhE Data'!$A$7:$V$31,9,FALSE)</f>
        <v>8708159</v>
      </c>
      <c r="J10" s="268">
        <f>VLOOKUP(A10,'PYExhE Data'!$A$7:$V$31,10,FALSE)</f>
        <v>545492</v>
      </c>
      <c r="K10" s="267"/>
      <c r="L10" s="268">
        <f>VLOOKUP(A10,'PYExhE Data'!$A$7:$V$31,12,FALSE)</f>
        <v>6205378</v>
      </c>
      <c r="M10" s="268">
        <f>VLOOKUP(A10,'PYExhE Data'!$A$7:$V$31,13,FALSE)</f>
        <v>0</v>
      </c>
      <c r="N10" s="267"/>
      <c r="O10" s="268">
        <f>VLOOKUP(A10,'PYExhE Data'!$A$7:$V$31,15,FALSE)</f>
        <v>0</v>
      </c>
      <c r="P10" s="267"/>
      <c r="Q10" s="268">
        <f>VLOOKUP(A10,'PYExhE Data'!$A$7:$V$31,17,FALSE)</f>
        <v>0</v>
      </c>
      <c r="R10" s="267"/>
      <c r="S10" s="267"/>
      <c r="T10" s="268">
        <f>VLOOKUP(A10,'PYExhE Data'!$A$7:$V$31,20,FALSE)</f>
        <v>2471549</v>
      </c>
      <c r="U10" s="268">
        <f>VLOOKUP(A10,'PYExhE Data'!$A$7:$V$31,21,FALSE)</f>
        <v>559526</v>
      </c>
      <c r="V10" s="268">
        <f>VLOOKUP(A10,'PYExhE Data'!$A$7:$V$31,22,FALSE)</f>
        <v>1347756</v>
      </c>
      <c r="W10" s="269"/>
      <c r="X10" s="269">
        <f t="shared" si="0"/>
        <v>86680249</v>
      </c>
    </row>
    <row r="11" spans="1:24" x14ac:dyDescent="0.2">
      <c r="A11" s="108">
        <v>2760</v>
      </c>
      <c r="B11" s="253">
        <v>530</v>
      </c>
      <c r="C11" s="254" t="s">
        <v>114</v>
      </c>
      <c r="D11" s="109"/>
      <c r="E11" s="267"/>
      <c r="F11" s="268">
        <f>VLOOKUP(A11,'PYExhE Data'!$A$7:$V$31,6,FALSE)</f>
        <v>4486617</v>
      </c>
      <c r="G11" s="268">
        <f>VLOOKUP(A11,'PYExhE Data'!$A$7:$V$31,7,FALSE)</f>
        <v>13552939</v>
      </c>
      <c r="H11" s="267"/>
      <c r="I11" s="268">
        <f>VLOOKUP(A11,'PYExhE Data'!$A$7:$V$31,9,FALSE)</f>
        <v>4139940</v>
      </c>
      <c r="J11" s="268">
        <f>VLOOKUP(A11,'PYExhE Data'!$A$7:$V$31,10,FALSE)</f>
        <v>486390</v>
      </c>
      <c r="K11" s="267"/>
      <c r="L11" s="268">
        <f>VLOOKUP(A11,'PYExhE Data'!$A$7:$V$31,12,FALSE)</f>
        <v>15034794</v>
      </c>
      <c r="M11" s="268">
        <f>VLOOKUP(A11,'PYExhE Data'!$A$7:$V$31,13,FALSE)</f>
        <v>-19077</v>
      </c>
      <c r="N11" s="267"/>
      <c r="O11" s="268">
        <f>VLOOKUP(A11,'PYExhE Data'!$A$7:$V$31,15,FALSE)</f>
        <v>0</v>
      </c>
      <c r="P11" s="267"/>
      <c r="Q11" s="268">
        <f>VLOOKUP(A11,'PYExhE Data'!$A$7:$V$31,17,FALSE)</f>
        <v>1230407</v>
      </c>
      <c r="R11" s="267"/>
      <c r="S11" s="267"/>
      <c r="T11" s="268">
        <f>VLOOKUP(A11,'PYExhE Data'!$A$7:$V$31,20,FALSE)</f>
        <v>1546906</v>
      </c>
      <c r="U11" s="268">
        <f>VLOOKUP(A11,'PYExhE Data'!$A$7:$V$31,21,FALSE)</f>
        <v>27263</v>
      </c>
      <c r="V11" s="268">
        <f>VLOOKUP(A11,'PYExhE Data'!$A$7:$V$31,22,FALSE)</f>
        <v>-409185</v>
      </c>
      <c r="W11" s="269"/>
      <c r="X11" s="269">
        <f t="shared" si="0"/>
        <v>40076994</v>
      </c>
    </row>
    <row r="12" spans="1:24" x14ac:dyDescent="0.2">
      <c r="A12" s="108">
        <v>2310</v>
      </c>
      <c r="B12" s="253">
        <v>540</v>
      </c>
      <c r="C12" s="254" t="s">
        <v>116</v>
      </c>
      <c r="D12" s="109"/>
      <c r="E12" s="267"/>
      <c r="F12" s="268">
        <f>VLOOKUP(A12,'PYExhE Data'!$A$7:$V$31,6,FALSE)</f>
        <v>0</v>
      </c>
      <c r="G12" s="268">
        <f>VLOOKUP(A12,'PYExhE Data'!$A$7:$V$31,7,FALSE)</f>
        <v>0</v>
      </c>
      <c r="H12" s="267"/>
      <c r="I12" s="268">
        <f>VLOOKUP(A12,'PYExhE Data'!$A$7:$V$31,9,FALSE)</f>
        <v>0</v>
      </c>
      <c r="J12" s="268">
        <f>VLOOKUP(A12,'PYExhE Data'!$A$7:$V$31,10,FALSE)</f>
        <v>214914</v>
      </c>
      <c r="K12" s="267"/>
      <c r="L12" s="268">
        <f>VLOOKUP(A12,'PYExhE Data'!$A$7:$V$31,12,FALSE)</f>
        <v>0</v>
      </c>
      <c r="M12" s="268">
        <f>VLOOKUP(A12,'PYExhE Data'!$A$7:$V$31,13,FALSE)</f>
        <v>595362</v>
      </c>
      <c r="N12" s="267"/>
      <c r="O12" s="268">
        <f>VLOOKUP(A12,'PYExhE Data'!$A$7:$V$31,15,FALSE)</f>
        <v>0</v>
      </c>
      <c r="P12" s="267"/>
      <c r="Q12" s="268">
        <f>VLOOKUP(A12,'PYExhE Data'!$A$7:$V$31,17,FALSE)</f>
        <v>0</v>
      </c>
      <c r="R12" s="267"/>
      <c r="S12" s="267"/>
      <c r="T12" s="268">
        <f>VLOOKUP(A12,'PYExhE Data'!$A$7:$V$31,20,FALSE)</f>
        <v>0</v>
      </c>
      <c r="U12" s="268">
        <f>VLOOKUP(A12,'PYExhE Data'!$A$7:$V$31,21,FALSE)</f>
        <v>0</v>
      </c>
      <c r="V12" s="268">
        <f>VLOOKUP(A12,'PYExhE Data'!$A$7:$V$31,22,FALSE)</f>
        <v>0</v>
      </c>
      <c r="W12" s="269"/>
      <c r="X12" s="269">
        <f t="shared" si="0"/>
        <v>810276</v>
      </c>
    </row>
    <row r="13" spans="1:24" x14ac:dyDescent="0.2">
      <c r="A13" s="108">
        <v>2420</v>
      </c>
      <c r="B13" s="253">
        <v>550</v>
      </c>
      <c r="C13" s="254" t="s">
        <v>293</v>
      </c>
      <c r="D13" s="109"/>
      <c r="E13" s="267"/>
      <c r="F13" s="268">
        <f>VLOOKUP(A13,'PYExhE Data'!$A$7:$V$31,6,FALSE)</f>
        <v>0</v>
      </c>
      <c r="G13" s="268">
        <f>VLOOKUP(A13,'PYExhE Data'!$A$7:$V$31,7,FALSE)</f>
        <v>0</v>
      </c>
      <c r="H13" s="267"/>
      <c r="I13" s="268">
        <f>VLOOKUP(A13,'PYExhE Data'!$A$7:$V$31,9,FALSE)</f>
        <v>0</v>
      </c>
      <c r="J13" s="268">
        <f>VLOOKUP(A13,'PYExhE Data'!$A$7:$V$31,10,FALSE)</f>
        <v>206969</v>
      </c>
      <c r="K13" s="267"/>
      <c r="L13" s="268">
        <f>VLOOKUP(A13,'PYExhE Data'!$A$7:$V$31,12,FALSE)</f>
        <v>0</v>
      </c>
      <c r="M13" s="268">
        <f>VLOOKUP(A13,'PYExhE Data'!$A$7:$V$31,13,FALSE)</f>
        <v>24434394</v>
      </c>
      <c r="N13" s="267"/>
      <c r="O13" s="268">
        <f>VLOOKUP(A13,'PYExhE Data'!$A$7:$V$31,15,FALSE)</f>
        <v>0</v>
      </c>
      <c r="P13" s="267"/>
      <c r="Q13" s="268">
        <f>VLOOKUP(A13,'PYExhE Data'!$A$7:$V$31,17,FALSE)</f>
        <v>1730207</v>
      </c>
      <c r="R13" s="267"/>
      <c r="S13" s="267"/>
      <c r="T13" s="268">
        <f>VLOOKUP(A13,'PYExhE Data'!$A$7:$V$31,20,FALSE)</f>
        <v>24996</v>
      </c>
      <c r="U13" s="268">
        <f>VLOOKUP(A13,'PYExhE Data'!$A$7:$V$31,21,FALSE)</f>
        <v>0</v>
      </c>
      <c r="V13" s="268">
        <f>VLOOKUP(A13,'PYExhE Data'!$A$7:$V$31,22,FALSE)</f>
        <v>0</v>
      </c>
      <c r="W13" s="269"/>
      <c r="X13" s="269">
        <f t="shared" si="0"/>
        <v>26396566</v>
      </c>
    </row>
    <row r="14" spans="1:24" x14ac:dyDescent="0.2">
      <c r="A14" s="108">
        <v>2740</v>
      </c>
      <c r="B14" s="253">
        <v>555</v>
      </c>
      <c r="C14" s="254" t="s">
        <v>118</v>
      </c>
      <c r="D14" s="109"/>
      <c r="E14" s="267"/>
      <c r="F14" s="268">
        <f>VLOOKUP(A14,'PYExhE Data'!$A$7:$V$31,6,FALSE)</f>
        <v>0</v>
      </c>
      <c r="G14" s="268">
        <f>VLOOKUP(A14,'PYExhE Data'!$A$7:$V$31,7,FALSE)</f>
        <v>253668</v>
      </c>
      <c r="H14" s="267"/>
      <c r="I14" s="268">
        <f>VLOOKUP(A14,'PYExhE Data'!$A$7:$V$31,9,FALSE)</f>
        <v>0</v>
      </c>
      <c r="J14" s="268">
        <f>VLOOKUP(A14,'PYExhE Data'!$A$7:$V$31,10,FALSE)</f>
        <v>0</v>
      </c>
      <c r="K14" s="267"/>
      <c r="L14" s="268">
        <f>VLOOKUP(A14,'PYExhE Data'!$A$7:$V$31,12,FALSE)</f>
        <v>0</v>
      </c>
      <c r="M14" s="268">
        <f>VLOOKUP(A14,'PYExhE Data'!$A$7:$V$31,13,FALSE)</f>
        <v>0</v>
      </c>
      <c r="N14" s="267"/>
      <c r="O14" s="268">
        <f>VLOOKUP(A14,'PYExhE Data'!$A$7:$V$31,15,FALSE)</f>
        <v>0</v>
      </c>
      <c r="P14" s="267"/>
      <c r="Q14" s="268">
        <f>VLOOKUP(A14,'PYExhE Data'!$A$7:$V$31,17,FALSE)</f>
        <v>0</v>
      </c>
      <c r="R14" s="267"/>
      <c r="S14" s="267"/>
      <c r="T14" s="268">
        <f>VLOOKUP(A14,'PYExhE Data'!$A$7:$V$31,20,FALSE)</f>
        <v>0</v>
      </c>
      <c r="U14" s="268">
        <f>VLOOKUP(A14,'PYExhE Data'!$A$7:$V$31,21,FALSE)</f>
        <v>0</v>
      </c>
      <c r="V14" s="268">
        <f>VLOOKUP(A14,'PYExhE Data'!$A$7:$V$31,22,FALSE)</f>
        <v>0</v>
      </c>
      <c r="W14" s="269"/>
      <c r="X14" s="269">
        <f>SUM(D14:W14)</f>
        <v>253668</v>
      </c>
    </row>
    <row r="15" spans="1:24" x14ac:dyDescent="0.2">
      <c r="A15" s="108">
        <v>2800</v>
      </c>
      <c r="B15" s="253">
        <v>560</v>
      </c>
      <c r="C15" s="254" t="s">
        <v>431</v>
      </c>
      <c r="D15" s="109"/>
      <c r="E15" s="267"/>
      <c r="F15" s="268">
        <f>VLOOKUP(A15,'PYExhE Data'!$A$7:$V$31,6,FALSE)</f>
        <v>1973053</v>
      </c>
      <c r="G15" s="268">
        <f>VLOOKUP(A15,'PYExhE Data'!$A$7:$V$31,7,FALSE)</f>
        <v>10723807</v>
      </c>
      <c r="H15" s="267"/>
      <c r="I15" s="268">
        <f>VLOOKUP(A15,'PYExhE Data'!$A$7:$V$31,9,FALSE)</f>
        <v>923999</v>
      </c>
      <c r="J15" s="268">
        <f>VLOOKUP(A15,'PYExhE Data'!$A$7:$V$31,10,FALSE)</f>
        <v>216082</v>
      </c>
      <c r="K15" s="267"/>
      <c r="L15" s="268">
        <f>VLOOKUP(A15,'PYExhE Data'!$A$7:$V$31,12,FALSE)</f>
        <v>1631707</v>
      </c>
      <c r="M15" s="268">
        <f>VLOOKUP(A15,'PYExhE Data'!$A$7:$V$31,13,FALSE)</f>
        <v>3348592</v>
      </c>
      <c r="N15" s="267"/>
      <c r="O15" s="268">
        <f>VLOOKUP(A15,'PYExhE Data'!$A$7:$V$31,15,FALSE)</f>
        <v>0</v>
      </c>
      <c r="P15" s="267"/>
      <c r="Q15" s="268">
        <f>VLOOKUP(A15,'PYExhE Data'!$A$7:$V$31,17,FALSE)</f>
        <v>1155000</v>
      </c>
      <c r="R15" s="267"/>
      <c r="S15" s="267"/>
      <c r="T15" s="268">
        <f>VLOOKUP(A15,'PYExhE Data'!$A$7:$V$31,20,FALSE)</f>
        <v>1324850</v>
      </c>
      <c r="U15" s="268">
        <f>VLOOKUP(A15,'PYExhE Data'!$A$7:$V$31,21,FALSE)</f>
        <v>202613</v>
      </c>
      <c r="V15" s="268">
        <f>VLOOKUP(A15,'PYExhE Data'!$A$7:$V$31,22,FALSE)</f>
        <v>315780</v>
      </c>
      <c r="W15" s="269"/>
      <c r="X15" s="269">
        <f t="shared" si="0"/>
        <v>21815483</v>
      </c>
    </row>
    <row r="16" spans="1:24" x14ac:dyDescent="0.2">
      <c r="A16" s="108"/>
      <c r="B16" s="253"/>
      <c r="C16" s="255" t="s">
        <v>120</v>
      </c>
      <c r="D16" s="109"/>
      <c r="E16" s="270">
        <f t="shared" ref="E16:V16" si="1">SUM(E7:E15)</f>
        <v>0</v>
      </c>
      <c r="F16" s="271">
        <f t="shared" si="1"/>
        <v>108694718</v>
      </c>
      <c r="G16" s="271">
        <f t="shared" si="1"/>
        <v>71689754</v>
      </c>
      <c r="H16" s="271">
        <f t="shared" si="1"/>
        <v>0</v>
      </c>
      <c r="I16" s="271">
        <f t="shared" si="1"/>
        <v>32484313</v>
      </c>
      <c r="J16" s="271">
        <f t="shared" si="1"/>
        <v>8504011</v>
      </c>
      <c r="K16" s="271">
        <f t="shared" si="1"/>
        <v>0</v>
      </c>
      <c r="L16" s="271">
        <f t="shared" si="1"/>
        <v>30135413</v>
      </c>
      <c r="M16" s="271">
        <f t="shared" si="1"/>
        <v>36722394</v>
      </c>
      <c r="N16" s="271">
        <f t="shared" si="1"/>
        <v>0</v>
      </c>
      <c r="O16" s="271">
        <f t="shared" si="1"/>
        <v>0</v>
      </c>
      <c r="P16" s="271">
        <f t="shared" si="1"/>
        <v>0</v>
      </c>
      <c r="Q16" s="271">
        <f t="shared" si="1"/>
        <v>8848586</v>
      </c>
      <c r="R16" s="271">
        <f t="shared" si="1"/>
        <v>0</v>
      </c>
      <c r="S16" s="271">
        <f t="shared" si="1"/>
        <v>0</v>
      </c>
      <c r="T16" s="271">
        <f t="shared" si="1"/>
        <v>20033839</v>
      </c>
      <c r="U16" s="271">
        <f t="shared" si="1"/>
        <v>6715383</v>
      </c>
      <c r="V16" s="271">
        <f t="shared" si="1"/>
        <v>9110733</v>
      </c>
      <c r="W16" s="271"/>
      <c r="X16" s="271">
        <f>SUM(X7:X15)</f>
        <v>332939144</v>
      </c>
    </row>
    <row r="17" spans="1:25" x14ac:dyDescent="0.2">
      <c r="A17" s="108"/>
      <c r="B17" s="107"/>
      <c r="C17" s="109"/>
      <c r="D17" s="109"/>
      <c r="E17" s="109"/>
      <c r="F17" s="269"/>
      <c r="G17" s="269"/>
      <c r="H17" s="269"/>
      <c r="I17" s="269"/>
      <c r="J17" s="269"/>
      <c r="K17" s="269"/>
      <c r="L17" s="269"/>
      <c r="M17" s="269"/>
      <c r="N17" s="269"/>
      <c r="O17" s="269"/>
      <c r="P17" s="269"/>
      <c r="Q17" s="269"/>
      <c r="R17" s="269"/>
      <c r="S17" s="269"/>
      <c r="T17" s="269"/>
      <c r="U17" s="269"/>
      <c r="V17" s="269"/>
      <c r="W17" s="269"/>
      <c r="X17" s="269"/>
    </row>
    <row r="18" spans="1:25" x14ac:dyDescent="0.2">
      <c r="A18" s="108"/>
      <c r="B18" s="107"/>
      <c r="C18" s="106" t="s">
        <v>295</v>
      </c>
      <c r="D18" s="109"/>
      <c r="E18" s="109"/>
      <c r="F18" s="269"/>
      <c r="G18" s="269"/>
      <c r="H18" s="269"/>
      <c r="I18" s="269"/>
      <c r="J18" s="269"/>
      <c r="K18" s="269"/>
      <c r="L18" s="269"/>
      <c r="M18" s="269"/>
      <c r="N18" s="269"/>
      <c r="O18" s="269"/>
      <c r="P18" s="269"/>
      <c r="Q18" s="269"/>
      <c r="R18" s="269"/>
      <c r="S18" s="269"/>
      <c r="T18" s="269"/>
      <c r="U18" s="269"/>
      <c r="V18" s="269"/>
      <c r="W18" s="269"/>
      <c r="X18" s="269"/>
    </row>
    <row r="19" spans="1:25" ht="14.25" x14ac:dyDescent="0.2">
      <c r="A19" s="108">
        <v>2594</v>
      </c>
      <c r="B19" s="110">
        <v>604</v>
      </c>
      <c r="C19" s="111" t="s">
        <v>432</v>
      </c>
      <c r="D19" s="112"/>
      <c r="E19" s="272"/>
      <c r="F19" s="268">
        <f>VLOOKUP(A19,'PYExhE Data'!$A$7:$V$31,6,FALSE)</f>
        <v>0</v>
      </c>
      <c r="G19" s="268">
        <f>VLOOKUP(A19,'PYExhE Data'!$A$7:$V$31,7,FALSE)</f>
        <v>2585530</v>
      </c>
      <c r="H19" s="267"/>
      <c r="I19" s="268">
        <f>VLOOKUP(A19,'PYExhE Data'!$A$7:$V$31,9,FALSE)</f>
        <v>0</v>
      </c>
      <c r="J19" s="268">
        <f>VLOOKUP(A19,'PYExhE Data'!$A$7:$V$31,10,FALSE)</f>
        <v>0</v>
      </c>
      <c r="K19" s="267"/>
      <c r="L19" s="268">
        <f>VLOOKUP(A19,'PYExhE Data'!$A$7:$V$31,12,FALSE)</f>
        <v>0</v>
      </c>
      <c r="M19" s="268">
        <f>VLOOKUP(A19,'PYExhE Data'!$A$7:$V$31,13,FALSE)</f>
        <v>2372176</v>
      </c>
      <c r="N19" s="267"/>
      <c r="O19" s="268">
        <f>VLOOKUP(A19,'PYExhE Data'!$A$7:$V$31,15,FALSE)</f>
        <v>0</v>
      </c>
      <c r="P19" s="267"/>
      <c r="Q19" s="268">
        <f>VLOOKUP(A19,'PYExhE Data'!$A$7:$V$31,17,FALSE)</f>
        <v>956569</v>
      </c>
      <c r="R19" s="267"/>
      <c r="S19" s="267"/>
      <c r="T19" s="268">
        <f>VLOOKUP(A19,'PYExhE Data'!$A$7:$V$31,20,FALSE)</f>
        <v>1641596</v>
      </c>
      <c r="U19" s="268">
        <f>VLOOKUP(A19,'PYExhE Data'!$A$7:$V$31,21,FALSE)</f>
        <v>3043973</v>
      </c>
      <c r="V19" s="268">
        <f>VLOOKUP(A19,'PYExhE Data'!$A$7:$V$31,22,FALSE)</f>
        <v>0</v>
      </c>
      <c r="W19" s="112"/>
      <c r="X19" s="112">
        <f>SUM(D19:W19)</f>
        <v>10599844</v>
      </c>
    </row>
    <row r="20" spans="1:25" ht="14.25" x14ac:dyDescent="0.2">
      <c r="A20" s="108">
        <v>2595</v>
      </c>
      <c r="B20" s="110">
        <v>600</v>
      </c>
      <c r="C20" s="111" t="s">
        <v>433</v>
      </c>
      <c r="D20" s="112"/>
      <c r="E20" s="272"/>
      <c r="F20" s="268">
        <f>VLOOKUP(A20,'PYExhE Data'!$A$7:$V$31,6,FALSE)</f>
        <v>72911045</v>
      </c>
      <c r="G20" s="268">
        <f>VLOOKUP(A20,'PYExhE Data'!$A$7:$V$31,7,FALSE)</f>
        <v>44140507</v>
      </c>
      <c r="H20" s="267"/>
      <c r="I20" s="268">
        <f>VLOOKUP(A20,'PYExhE Data'!$A$7:$V$31,9,FALSE)</f>
        <v>15410606</v>
      </c>
      <c r="J20" s="268">
        <f>VLOOKUP(A20,'PYExhE Data'!$A$7:$V$31,10,FALSE)</f>
        <v>3910331</v>
      </c>
      <c r="K20" s="267"/>
      <c r="L20" s="268">
        <f>VLOOKUP(A20,'PYExhE Data'!$A$7:$V$31,12,FALSE)</f>
        <v>0</v>
      </c>
      <c r="M20" s="268">
        <f>VLOOKUP(A20,'PYExhE Data'!$A$7:$V$31,13,FALSE)</f>
        <v>0</v>
      </c>
      <c r="N20" s="267"/>
      <c r="O20" s="268">
        <f>VLOOKUP(A20,'PYExhE Data'!$A$7:$V$31,15,FALSE)</f>
        <v>0</v>
      </c>
      <c r="P20" s="267"/>
      <c r="Q20" s="268">
        <f>VLOOKUP(A20,'PYExhE Data'!$A$7:$V$31,17,FALSE)</f>
        <v>539078</v>
      </c>
      <c r="R20" s="267"/>
      <c r="S20" s="267"/>
      <c r="T20" s="268">
        <f>VLOOKUP(A20,'PYExhE Data'!$A$7:$V$31,20,FALSE)</f>
        <v>1939393</v>
      </c>
      <c r="U20" s="268">
        <f>VLOOKUP(A20,'PYExhE Data'!$A$7:$V$31,21,FALSE)</f>
        <v>0</v>
      </c>
      <c r="V20" s="268">
        <f>VLOOKUP(A20,'PYExhE Data'!$A$7:$V$31,22,FALSE)</f>
        <v>4356630</v>
      </c>
      <c r="W20" s="112"/>
      <c r="X20" s="112">
        <f>SUM(D20:W20)</f>
        <v>143207590</v>
      </c>
    </row>
    <row r="21" spans="1:25" ht="14.25" x14ac:dyDescent="0.2">
      <c r="A21" s="108">
        <v>2596</v>
      </c>
      <c r="B21" s="110">
        <v>602</v>
      </c>
      <c r="C21" s="111" t="s">
        <v>434</v>
      </c>
      <c r="D21" s="112"/>
      <c r="E21" s="272"/>
      <c r="F21" s="268">
        <f>VLOOKUP(A21,'PYExhE Data'!$A$7:$V$31,6,FALSE)</f>
        <v>0</v>
      </c>
      <c r="G21" s="268">
        <f>VLOOKUP(A21,'PYExhE Data'!$A$7:$V$31,7,FALSE)</f>
        <v>2704459</v>
      </c>
      <c r="H21" s="267"/>
      <c r="I21" s="268">
        <f>VLOOKUP(A21,'PYExhE Data'!$A$7:$V$31,9,FALSE)</f>
        <v>362240</v>
      </c>
      <c r="J21" s="268">
        <f>VLOOKUP(A21,'PYExhE Data'!$A$7:$V$31,10,FALSE)</f>
        <v>403097</v>
      </c>
      <c r="K21" s="267"/>
      <c r="L21" s="268">
        <f>VLOOKUP(A21,'PYExhE Data'!$A$7:$V$31,12,FALSE)</f>
        <v>0</v>
      </c>
      <c r="M21" s="268">
        <f>VLOOKUP(A21,'PYExhE Data'!$A$7:$V$31,13,FALSE)</f>
        <v>0</v>
      </c>
      <c r="N21" s="267"/>
      <c r="O21" s="268">
        <f>VLOOKUP(A21,'PYExhE Data'!$A$7:$V$31,15,FALSE)</f>
        <v>0</v>
      </c>
      <c r="P21" s="267"/>
      <c r="Q21" s="268">
        <f>VLOOKUP(A21,'PYExhE Data'!$A$7:$V$31,17,FALSE)</f>
        <v>0</v>
      </c>
      <c r="R21" s="267"/>
      <c r="S21" s="267"/>
      <c r="T21" s="268">
        <f>VLOOKUP(A21,'PYExhE Data'!$A$7:$V$31,20,FALSE)</f>
        <v>0</v>
      </c>
      <c r="U21" s="268">
        <f>VLOOKUP(A21,'PYExhE Data'!$A$7:$V$31,21,FALSE)</f>
        <v>2673008</v>
      </c>
      <c r="V21" s="268">
        <f>VLOOKUP(A21,'PYExhE Data'!$A$7:$V$31,22,FALSE)</f>
        <v>0</v>
      </c>
      <c r="W21" s="112"/>
      <c r="X21" s="112">
        <f>SUM(D21:W21)</f>
        <v>6142804</v>
      </c>
    </row>
    <row r="22" spans="1:25" x14ac:dyDescent="0.2">
      <c r="A22" s="108">
        <v>2630</v>
      </c>
      <c r="B22" s="253">
        <v>610</v>
      </c>
      <c r="C22" s="256" t="s">
        <v>302</v>
      </c>
      <c r="D22" s="109"/>
      <c r="E22" s="273"/>
      <c r="F22" s="274">
        <f>VLOOKUP(A22,'PYExhE Data'!$A$7:$V$31,6,FALSE)</f>
        <v>32087946</v>
      </c>
      <c r="G22" s="274">
        <f>VLOOKUP(A22,'PYExhE Data'!$A$7:$V$31,7,FALSE)</f>
        <v>12567655</v>
      </c>
      <c r="H22" s="275"/>
      <c r="I22" s="274">
        <f>VLOOKUP(A22,'PYExhE Data'!$A$7:$V$31,9,FALSE)</f>
        <v>10717717</v>
      </c>
      <c r="J22" s="274">
        <f>VLOOKUP(A22,'PYExhE Data'!$A$7:$V$31,10,FALSE)</f>
        <v>3244462</v>
      </c>
      <c r="K22" s="275"/>
      <c r="L22" s="274">
        <f>VLOOKUP(A22,'PYExhE Data'!$A$7:$V$31,12,FALSE)</f>
        <v>13496178</v>
      </c>
      <c r="M22" s="274">
        <f>VLOOKUP(A22,'PYExhE Data'!$A$7:$V$31,13,FALSE)</f>
        <v>29228412</v>
      </c>
      <c r="N22" s="275"/>
      <c r="O22" s="274">
        <f>VLOOKUP(A22,'PYExhE Data'!$A$7:$V$31,15,FALSE)</f>
        <v>0</v>
      </c>
      <c r="P22" s="275"/>
      <c r="Q22" s="268">
        <f>VLOOKUP(A22,'PYExhE Data'!$A$7:$V$31,17,FALSE)</f>
        <v>6418457</v>
      </c>
      <c r="R22" s="275"/>
      <c r="S22" s="275"/>
      <c r="T22" s="268">
        <f>VLOOKUP(A22,'PYExhE Data'!$A$7:$V$31,20,FALSE)</f>
        <v>9624408</v>
      </c>
      <c r="U22" s="268">
        <f>VLOOKUP(A22,'PYExhE Data'!$A$7:$V$31,21,FALSE)</f>
        <v>719540</v>
      </c>
      <c r="V22" s="268">
        <f>VLOOKUP(A22,'PYExhE Data'!$A$7:$V$31,22,FALSE)</f>
        <v>8423554</v>
      </c>
      <c r="W22" s="276"/>
      <c r="X22" s="276">
        <f>SUM(D22:W22)</f>
        <v>126528329</v>
      </c>
    </row>
    <row r="23" spans="1:25" x14ac:dyDescent="0.2">
      <c r="A23" s="108"/>
      <c r="B23" s="107"/>
      <c r="C23" s="255" t="s">
        <v>124</v>
      </c>
      <c r="D23" s="109"/>
      <c r="E23" s="277">
        <f>SUM(E19:E22)</f>
        <v>0</v>
      </c>
      <c r="F23" s="276">
        <f t="shared" ref="F23:X23" si="2">SUM(F19:F22)</f>
        <v>104998991</v>
      </c>
      <c r="G23" s="276">
        <f t="shared" si="2"/>
        <v>61998151</v>
      </c>
      <c r="H23" s="276">
        <f t="shared" si="2"/>
        <v>0</v>
      </c>
      <c r="I23" s="276">
        <f t="shared" si="2"/>
        <v>26490563</v>
      </c>
      <c r="J23" s="276">
        <f t="shared" si="2"/>
        <v>7557890</v>
      </c>
      <c r="K23" s="276">
        <f t="shared" si="2"/>
        <v>0</v>
      </c>
      <c r="L23" s="276">
        <f t="shared" si="2"/>
        <v>13496178</v>
      </c>
      <c r="M23" s="276">
        <f t="shared" si="2"/>
        <v>31600588</v>
      </c>
      <c r="N23" s="276">
        <f t="shared" si="2"/>
        <v>0</v>
      </c>
      <c r="O23" s="276">
        <f t="shared" si="2"/>
        <v>0</v>
      </c>
      <c r="P23" s="276">
        <f t="shared" si="2"/>
        <v>0</v>
      </c>
      <c r="Q23" s="276">
        <f t="shared" si="2"/>
        <v>7914104</v>
      </c>
      <c r="R23" s="276">
        <f t="shared" si="2"/>
        <v>0</v>
      </c>
      <c r="S23" s="276">
        <f t="shared" si="2"/>
        <v>0</v>
      </c>
      <c r="T23" s="276">
        <f t="shared" si="2"/>
        <v>13205397</v>
      </c>
      <c r="U23" s="276">
        <f t="shared" si="2"/>
        <v>6436521</v>
      </c>
      <c r="V23" s="276">
        <f>SUM(V19:V22)</f>
        <v>12780184</v>
      </c>
      <c r="W23" s="276"/>
      <c r="X23" s="276">
        <f t="shared" si="2"/>
        <v>286478567</v>
      </c>
    </row>
    <row r="24" spans="1:25" x14ac:dyDescent="0.2">
      <c r="F24" s="32"/>
      <c r="G24" s="32"/>
      <c r="H24" s="32"/>
      <c r="I24" s="32"/>
      <c r="J24" s="32"/>
      <c r="K24" s="32"/>
      <c r="L24" s="32"/>
      <c r="M24" s="32"/>
      <c r="N24" s="32"/>
      <c r="O24" s="32"/>
      <c r="P24" s="32"/>
      <c r="Q24" s="32"/>
      <c r="R24" s="32"/>
      <c r="S24" s="32"/>
      <c r="T24" s="32"/>
      <c r="U24" s="32"/>
      <c r="V24" s="32"/>
      <c r="W24" s="32"/>
      <c r="X24" s="32"/>
    </row>
    <row r="25" spans="1:25" x14ac:dyDescent="0.2">
      <c r="A25" s="108"/>
      <c r="B25" s="109"/>
      <c r="C25" s="254" t="s">
        <v>435</v>
      </c>
      <c r="E25" s="109">
        <f>E16-E23</f>
        <v>0</v>
      </c>
      <c r="F25" s="269">
        <f t="shared" ref="F25:X25" si="3">F16-F23</f>
        <v>3695727</v>
      </c>
      <c r="G25" s="269">
        <f t="shared" si="3"/>
        <v>9691603</v>
      </c>
      <c r="H25" s="269">
        <f t="shared" si="3"/>
        <v>0</v>
      </c>
      <c r="I25" s="269">
        <f t="shared" si="3"/>
        <v>5993750</v>
      </c>
      <c r="J25" s="269">
        <f t="shared" si="3"/>
        <v>946121</v>
      </c>
      <c r="K25" s="269">
        <f t="shared" si="3"/>
        <v>0</v>
      </c>
      <c r="L25" s="269">
        <f t="shared" si="3"/>
        <v>16639235</v>
      </c>
      <c r="M25" s="269">
        <f>M16-M23</f>
        <v>5121806</v>
      </c>
      <c r="N25" s="269">
        <f t="shared" si="3"/>
        <v>0</v>
      </c>
      <c r="O25" s="269">
        <f t="shared" si="3"/>
        <v>0</v>
      </c>
      <c r="P25" s="269">
        <f t="shared" si="3"/>
        <v>0</v>
      </c>
      <c r="Q25" s="269">
        <f t="shared" si="3"/>
        <v>934482</v>
      </c>
      <c r="R25" s="269">
        <f t="shared" si="3"/>
        <v>0</v>
      </c>
      <c r="S25" s="269">
        <f t="shared" si="3"/>
        <v>0</v>
      </c>
      <c r="T25" s="269">
        <f t="shared" si="3"/>
        <v>6828442</v>
      </c>
      <c r="U25" s="269">
        <f t="shared" si="3"/>
        <v>278862</v>
      </c>
      <c r="V25" s="269">
        <f>V16-V23</f>
        <v>-3669451</v>
      </c>
      <c r="W25" s="32"/>
      <c r="X25" s="269">
        <f t="shared" si="3"/>
        <v>46460577</v>
      </c>
    </row>
    <row r="26" spans="1:25" x14ac:dyDescent="0.2">
      <c r="A26" s="108"/>
      <c r="B26" s="109"/>
      <c r="C26" s="256"/>
      <c r="F26" s="32"/>
      <c r="G26" s="32"/>
      <c r="H26" s="32"/>
      <c r="I26" s="32"/>
      <c r="J26" s="32"/>
      <c r="K26" s="32"/>
      <c r="L26" s="32"/>
      <c r="M26" s="32"/>
      <c r="N26" s="32"/>
      <c r="O26" s="32"/>
      <c r="P26" s="32"/>
      <c r="Q26" s="32"/>
      <c r="R26" s="32"/>
      <c r="S26" s="32"/>
      <c r="T26" s="32"/>
      <c r="U26" s="32"/>
      <c r="V26" s="32"/>
      <c r="W26" s="32"/>
      <c r="X26" s="32"/>
    </row>
    <row r="27" spans="1:25" x14ac:dyDescent="0.2">
      <c r="A27" s="108">
        <v>2980</v>
      </c>
      <c r="B27" s="109"/>
      <c r="C27" s="256" t="s">
        <v>436</v>
      </c>
      <c r="E27" s="278"/>
      <c r="F27" s="268">
        <f>VLOOKUP(A27,'PYExhE Data'!$A$7:$V$31,6,FALSE)</f>
        <v>1483921907</v>
      </c>
      <c r="G27" s="268">
        <f>VLOOKUP(A27,'PYExhE Data'!$A$7:$V$31,7,FALSE)</f>
        <v>915928566</v>
      </c>
      <c r="H27" s="267"/>
      <c r="I27" s="268">
        <f>VLOOKUP(A27,'PYExhE Data'!$A$7:$V$31,9,FALSE)</f>
        <v>257872771</v>
      </c>
      <c r="J27" s="268">
        <f>VLOOKUP(A27,'PYExhE Data'!$A$7:$V$31,10,FALSE)</f>
        <v>56588603</v>
      </c>
      <c r="K27" s="267"/>
      <c r="L27" s="268">
        <f>VLOOKUP(A27,'PYExhE Data'!$A$7:$V$31,12,FALSE)</f>
        <v>187172696</v>
      </c>
      <c r="M27" s="268">
        <f>VLOOKUP(A27,'PYExhE Data'!$A$7:$V$31,13,FALSE)</f>
        <v>44455728</v>
      </c>
      <c r="N27" s="267"/>
      <c r="O27" s="268">
        <f>VLOOKUP(A27,'PYExhE Data'!$A$7:$V$31,15,FALSE)</f>
        <v>0</v>
      </c>
      <c r="P27" s="267"/>
      <c r="Q27" s="268">
        <f>VLOOKUP(A27,'PYExhE Data'!$A$7:$V$31,17,FALSE)</f>
        <v>66417223</v>
      </c>
      <c r="R27" s="267"/>
      <c r="S27" s="267"/>
      <c r="T27" s="268">
        <f>VLOOKUP(A27,'PYExhE Data'!$A$7:$V$31,20,FALSE)</f>
        <v>41355225</v>
      </c>
      <c r="U27" s="268">
        <f>VLOOKUP(A27,'PYExhE Data'!$A$7:$V$31,21,FALSE)</f>
        <v>99120894</v>
      </c>
      <c r="V27" s="268">
        <f>VLOOKUP(A27,'PYExhE Data'!$A$7:$V$31,22,FALSE)</f>
        <v>45039548</v>
      </c>
      <c r="W27" s="32"/>
      <c r="X27" s="269">
        <f>SUM(D27:W27)</f>
        <v>3197873161</v>
      </c>
    </row>
    <row r="28" spans="1:25" x14ac:dyDescent="0.2">
      <c r="A28" s="108">
        <v>2990</v>
      </c>
      <c r="B28" s="109"/>
      <c r="C28" s="256" t="s">
        <v>127</v>
      </c>
      <c r="E28" s="278"/>
      <c r="F28" s="268">
        <f>VLOOKUP(A28,'PYExhE Data'!$A$7:$V$31,6,FALSE)</f>
        <v>-151022</v>
      </c>
      <c r="G28" s="268">
        <f>VLOOKUP(A28,'PYExhE Data'!$A$7:$V$31,7,FALSE)</f>
        <v>0</v>
      </c>
      <c r="H28" s="267"/>
      <c r="I28" s="268">
        <f>VLOOKUP(A28,'PYExhE Data'!$A$7:$V$31,9,FALSE)</f>
        <v>-3683815</v>
      </c>
      <c r="J28" s="268">
        <f>VLOOKUP(A28,'PYExhE Data'!$A$7:$V$31,10,FALSE)</f>
        <v>0</v>
      </c>
      <c r="K28" s="267"/>
      <c r="L28" s="268">
        <f>VLOOKUP(A28,'PYExhE Data'!$A$7:$V$31,12,FALSE)</f>
        <v>0</v>
      </c>
      <c r="M28" s="268">
        <f>VLOOKUP(A28,'PYExhE Data'!$A$7:$V$31,13,FALSE)</f>
        <v>7624670</v>
      </c>
      <c r="N28" s="267"/>
      <c r="O28" s="268">
        <f>VLOOKUP(A28,'PYExhE Data'!$A$7:$V$31,15,FALSE)</f>
        <v>0</v>
      </c>
      <c r="P28" s="267"/>
      <c r="Q28" s="268">
        <f>VLOOKUP(A28,'PYExhE Data'!$A$7:$V$31,17,FALSE)</f>
        <v>-124652</v>
      </c>
      <c r="R28" s="267"/>
      <c r="S28" s="267"/>
      <c r="T28" s="268">
        <f>VLOOKUP(A28,'PYExhE Data'!$A$7:$V$31,20,FALSE)</f>
        <v>0</v>
      </c>
      <c r="U28" s="268">
        <f>VLOOKUP(A28,'PYExhE Data'!$A$7:$V$31,21,FALSE)</f>
        <v>-97877</v>
      </c>
      <c r="V28" s="268">
        <f>VLOOKUP(A28,'PYExhE Data'!$A$7:$V$31,22,FALSE)</f>
        <v>0</v>
      </c>
      <c r="W28" s="32"/>
      <c r="X28" s="269">
        <f>SUM(D28:W28)</f>
        <v>3567304</v>
      </c>
    </row>
    <row r="29" spans="1:25" ht="13.5" thickBot="1" x14ac:dyDescent="0.25">
      <c r="A29" s="108">
        <v>3000</v>
      </c>
      <c r="B29" s="109"/>
      <c r="C29" s="256" t="s">
        <v>128</v>
      </c>
      <c r="E29" s="279">
        <f>SUM(E25:E28)</f>
        <v>0</v>
      </c>
      <c r="F29" s="280">
        <f t="shared" ref="F29:X29" si="4">SUM(F25:F28)</f>
        <v>1487466612</v>
      </c>
      <c r="G29" s="280">
        <f t="shared" si="4"/>
        <v>925620169</v>
      </c>
      <c r="H29" s="280">
        <f t="shared" si="4"/>
        <v>0</v>
      </c>
      <c r="I29" s="280">
        <f t="shared" si="4"/>
        <v>260182706</v>
      </c>
      <c r="J29" s="280">
        <f t="shared" si="4"/>
        <v>57534724</v>
      </c>
      <c r="K29" s="280">
        <f t="shared" si="4"/>
        <v>0</v>
      </c>
      <c r="L29" s="280">
        <f t="shared" si="4"/>
        <v>203811931</v>
      </c>
      <c r="M29" s="280">
        <f>SUM(M25:M28)</f>
        <v>57202204</v>
      </c>
      <c r="N29" s="280">
        <f t="shared" si="4"/>
        <v>0</v>
      </c>
      <c r="O29" s="280">
        <f t="shared" si="4"/>
        <v>0</v>
      </c>
      <c r="P29" s="280">
        <f t="shared" si="4"/>
        <v>0</v>
      </c>
      <c r="Q29" s="280">
        <f t="shared" si="4"/>
        <v>67227053</v>
      </c>
      <c r="R29" s="280">
        <f t="shared" si="4"/>
        <v>0</v>
      </c>
      <c r="S29" s="280">
        <f t="shared" si="4"/>
        <v>0</v>
      </c>
      <c r="T29" s="280">
        <f t="shared" si="4"/>
        <v>48183667</v>
      </c>
      <c r="U29" s="280">
        <f t="shared" si="4"/>
        <v>99301879</v>
      </c>
      <c r="V29" s="280">
        <f>SUM(V25:V28)</f>
        <v>41370097</v>
      </c>
      <c r="W29" s="32"/>
      <c r="X29" s="280">
        <f t="shared" si="4"/>
        <v>3247901042</v>
      </c>
    </row>
    <row r="30" spans="1:25" ht="13.5" thickTop="1" x14ac:dyDescent="0.2">
      <c r="E30" s="109"/>
      <c r="F30" s="109"/>
      <c r="G30" s="109"/>
      <c r="H30" s="109"/>
      <c r="I30" s="109"/>
      <c r="J30" s="109"/>
      <c r="K30" s="109"/>
      <c r="L30" s="109"/>
      <c r="M30" s="109"/>
      <c r="N30" s="109"/>
      <c r="O30" s="109"/>
      <c r="P30" s="109"/>
      <c r="Q30" s="109"/>
      <c r="R30" s="109"/>
      <c r="S30" s="109"/>
      <c r="T30" s="109"/>
      <c r="U30" s="109"/>
      <c r="V30" s="109"/>
    </row>
    <row r="31" spans="1:25" x14ac:dyDescent="0.2">
      <c r="E31" s="281" t="str">
        <f>IF(E29='PYExhD Data'!E41,"OK","Problem")</f>
        <v>OK</v>
      </c>
      <c r="F31" s="281" t="str">
        <f>IF(F29='PYExhD Data'!F41,"OK","Problem")</f>
        <v>OK</v>
      </c>
      <c r="G31" s="281" t="str">
        <f>IF(G29='PYExhD Data'!G41,"OK","Problem")</f>
        <v>OK</v>
      </c>
      <c r="H31" s="281" t="str">
        <f>IF(H29='PYExhD Data'!H41,"OK","Problem")</f>
        <v>OK</v>
      </c>
      <c r="I31" s="281" t="str">
        <f>IF(I29='PYExhD Data'!I41,"OK","Problem")</f>
        <v>OK</v>
      </c>
      <c r="J31" s="281" t="str">
        <f>IF(J29='PYExhD Data'!J41,"OK","Problem")</f>
        <v>OK</v>
      </c>
      <c r="K31" s="281" t="str">
        <f>IF(K29='PYExhD Data'!K41,"OK","Problem")</f>
        <v>OK</v>
      </c>
      <c r="L31" s="281" t="str">
        <f>IF(L29='PYExhD Data'!L41,"OK","Problem")</f>
        <v>OK</v>
      </c>
      <c r="M31" s="281" t="str">
        <f>IF(M29='PYExhD Data'!M41,"OK","Problem")</f>
        <v>OK</v>
      </c>
      <c r="N31" s="281" t="str">
        <f>IF(N29='PYExhD Data'!N41,"OK","Problem")</f>
        <v>OK</v>
      </c>
      <c r="O31" s="281" t="str">
        <f>IF(O29='PYExhD Data'!O41,"OK","Problem")</f>
        <v>OK</v>
      </c>
      <c r="P31" s="281" t="str">
        <f>IF(P29='PYExhD Data'!P41,"OK","Problem")</f>
        <v>OK</v>
      </c>
      <c r="Q31" s="281" t="str">
        <f>IF(Q29='PYExhD Data'!Q41,"OK","Problem")</f>
        <v>OK</v>
      </c>
      <c r="R31" s="281" t="str">
        <f>IF(R29='PYExhD Data'!R41,"OK","Problem")</f>
        <v>OK</v>
      </c>
      <c r="S31" s="281" t="str">
        <f>IF(S29='PYExhD Data'!S41,"OK","Problem")</f>
        <v>OK</v>
      </c>
      <c r="T31" s="281" t="str">
        <f>IF(T29='PYExhD Data'!T41,"OK","Problem")</f>
        <v>OK</v>
      </c>
      <c r="U31" s="281" t="str">
        <f>IF(U29='PYExhD Data'!U41,"OK","Problem")</f>
        <v>OK</v>
      </c>
      <c r="V31" s="281" t="str">
        <f>IF(V29='PYExhD Data'!V41,"OK","Problem")</f>
        <v>OK</v>
      </c>
      <c r="W31" s="281" t="str">
        <f>IF(W29='PYExhD Data'!W41,"OK","Problem")</f>
        <v>OK</v>
      </c>
      <c r="X31" s="281" t="str">
        <f>IF(X29='PYExhD Data'!X41,"OK","Problem")</f>
        <v>OK</v>
      </c>
      <c r="Y31" t="s">
        <v>479</v>
      </c>
    </row>
    <row r="32" spans="1:25" x14ac:dyDescent="0.2">
      <c r="A32" s="154" t="s">
        <v>477</v>
      </c>
      <c r="E32" s="281" t="str">
        <f>IF(E29=PriorYrExhD!E41,"OK","Problem")</f>
        <v>OK</v>
      </c>
      <c r="F32" s="281" t="str">
        <f>IF(F29=PriorYrExhD!F41,"OK","Problem")</f>
        <v>OK</v>
      </c>
      <c r="G32" s="281" t="str">
        <f>IF(G29=PriorYrExhD!G41,"OK","Problem")</f>
        <v>OK</v>
      </c>
      <c r="H32" s="281" t="str">
        <f>IF(H29=PriorYrExhD!H41,"OK","Problem")</f>
        <v>OK</v>
      </c>
      <c r="I32" s="281" t="str">
        <f>IF(I29=PriorYrExhD!I41,"OK","Problem")</f>
        <v>OK</v>
      </c>
      <c r="J32" s="281" t="str">
        <f>IF(J29=PriorYrExhD!J41,"OK","Problem")</f>
        <v>OK</v>
      </c>
      <c r="K32" s="281" t="str">
        <f>IF(K29=PriorYrExhD!K41,"OK","Problem")</f>
        <v>OK</v>
      </c>
      <c r="L32" s="281" t="str">
        <f>IF(L29=PriorYrExhD!L41,"OK","Problem")</f>
        <v>OK</v>
      </c>
      <c r="M32" s="281" t="str">
        <f>IF(M29=PriorYrExhD!M41,"OK","Problem")</f>
        <v>OK</v>
      </c>
      <c r="N32" s="281" t="str">
        <f>IF(N29=PriorYrExhD!N41,"OK","Problem")</f>
        <v>OK</v>
      </c>
      <c r="O32" s="281" t="str">
        <f>IF(O29=PriorYrExhD!O41,"OK","Problem")</f>
        <v>OK</v>
      </c>
      <c r="P32" s="281" t="str">
        <f>IF(P29=PriorYrExhD!P41,"OK","Problem")</f>
        <v>OK</v>
      </c>
      <c r="Q32" s="281" t="str">
        <f>IF(Q29=PriorYrExhD!Q41,"OK","Problem")</f>
        <v>OK</v>
      </c>
      <c r="R32" s="281" t="str">
        <f>IF(R29=PriorYrExhD!R41,"OK","Problem")</f>
        <v>OK</v>
      </c>
      <c r="S32" s="281" t="str">
        <f>IF(S29=PriorYrExhD!S41,"OK","Problem")</f>
        <v>OK</v>
      </c>
      <c r="T32" s="281" t="str">
        <f>IF(T29=PriorYrExhD!T41,"OK","Problem")</f>
        <v>OK</v>
      </c>
      <c r="U32" s="281" t="str">
        <f>IF(U29=PriorYrExhD!U41,"OK","Problem")</f>
        <v>OK</v>
      </c>
      <c r="V32" s="281" t="str">
        <f>IF(V29=PriorYrExhD!V41,"OK","Problem")</f>
        <v>OK</v>
      </c>
      <c r="W32" s="281" t="str">
        <f>IF(W29=PriorYrExhD!W41,"OK","Problem")</f>
        <v>OK</v>
      </c>
      <c r="X32" s="281" t="str">
        <f>IF(X29=PriorYrExhD!X41,"OK","Problem")</f>
        <v>OK</v>
      </c>
      <c r="Y32" t="s">
        <v>478</v>
      </c>
    </row>
    <row r="33" spans="1:7" ht="13.5" x14ac:dyDescent="0.25">
      <c r="A33" s="32" t="s">
        <v>424</v>
      </c>
      <c r="B33" s="115"/>
      <c r="C33" s="115"/>
      <c r="F33" s="307"/>
      <c r="G33" s="306"/>
    </row>
    <row r="34" spans="1:7" ht="13.5" x14ac:dyDescent="0.25">
      <c r="A34" s="225" t="s">
        <v>425</v>
      </c>
      <c r="B34" s="115"/>
      <c r="C34" s="115"/>
      <c r="F34" s="307"/>
    </row>
    <row r="35" spans="1:7" ht="13.5" x14ac:dyDescent="0.25">
      <c r="A35" s="32"/>
      <c r="B35" s="115"/>
      <c r="C35" s="115"/>
    </row>
    <row r="36" spans="1:7" ht="13.5" x14ac:dyDescent="0.25">
      <c r="A36" s="32"/>
      <c r="B36" s="115"/>
      <c r="C36" s="115"/>
    </row>
    <row r="37" spans="1:7" ht="13.5" x14ac:dyDescent="0.25">
      <c r="A37" s="32"/>
      <c r="B37" s="115"/>
      <c r="C37" s="80"/>
    </row>
    <row r="38" spans="1:7" ht="13.5" x14ac:dyDescent="0.25">
      <c r="A38" s="32"/>
      <c r="B38" s="115"/>
      <c r="C38" s="115"/>
    </row>
  </sheetData>
  <sheetProtection algorithmName="SHA-512" hashValue="Lba/PX1thpPj+BYdIjazYoxITLrJAfcMdQ9WHlp9IQVGC2Ud+BPztLyVYcVLH9xMchjt5a5Edoc+UxcxD8KaaQ==" saltValue="uVH3zRIynD4C7KLtKxk4vw==" spinCount="100000" sheet="1" autoFilter="0"/>
  <pageMargins left="0.7" right="0.7" top="0.75" bottom="0.75" header="0.3" footer="0.3"/>
  <pageSetup orientation="landscape" r:id="rId1"/>
  <ignoredErrors>
    <ignoredError sqref="F7:F28 G7:G30 I7:I28 J7:J29 L7:L29 M7:M24 O7:O28 Q7:Q28 T7:T28 U7:U29 V7:V29 M26:M28" unlocked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70B64-49D7-47A4-B1FF-3F65D5B57353}">
  <sheetPr codeName="Sheet11"/>
  <dimension ref="A1:AK54"/>
  <sheetViews>
    <sheetView showGridLines="0" showRuler="0" zoomScaleNormal="100" workbookViewId="0">
      <selection activeCell="S43" sqref="S43"/>
    </sheetView>
  </sheetViews>
  <sheetFormatPr defaultColWidth="8" defaultRowHeight="12.75" x14ac:dyDescent="0.25"/>
  <cols>
    <col min="1" max="1" width="4.42578125" style="79" customWidth="1"/>
    <col min="2" max="2" width="4.7109375" style="115" customWidth="1"/>
    <col min="3" max="3" width="35.85546875" style="115" bestFit="1" customWidth="1"/>
    <col min="4" max="4" width="2.28515625" style="115" customWidth="1"/>
    <col min="5" max="5" width="6.7109375" style="115" customWidth="1"/>
    <col min="6" max="6" width="12.85546875" style="115" bestFit="1" customWidth="1"/>
    <col min="7" max="7" width="10.42578125" style="115" customWidth="1"/>
    <col min="8" max="8" width="6" style="115" customWidth="1"/>
    <col min="9" max="9" width="11.7109375" style="115" bestFit="1" customWidth="1"/>
    <col min="10" max="10" width="10.5703125" style="115" customWidth="1"/>
    <col min="11" max="11" width="7.140625" style="115" customWidth="1"/>
    <col min="12" max="13" width="10.7109375" style="115" customWidth="1"/>
    <col min="14" max="14" width="6.85546875" style="115" customWidth="1"/>
    <col min="15" max="15" width="10.5703125" style="115" customWidth="1"/>
    <col min="16" max="16" width="7" style="115" customWidth="1"/>
    <col min="17" max="17" width="10.140625" style="115" customWidth="1"/>
    <col min="18" max="18" width="6.42578125" style="115" customWidth="1"/>
    <col min="19" max="19" width="6.140625" style="115" customWidth="1"/>
    <col min="20" max="20" width="9.5703125" style="115" customWidth="1"/>
    <col min="21" max="21" width="11" style="115" bestFit="1" customWidth="1"/>
    <col min="22" max="22" width="10.5703125" style="115" customWidth="1"/>
    <col min="23" max="23" width="1.5703125" style="115" customWidth="1"/>
    <col min="24" max="24" width="11.42578125" style="98" customWidth="1"/>
    <col min="25" max="25" width="4.140625" style="98" customWidth="1"/>
    <col min="26" max="26" width="12.140625" style="98" hidden="1" customWidth="1"/>
    <col min="27" max="27" width="12.7109375" style="98" hidden="1" customWidth="1"/>
    <col min="28" max="28" width="11.42578125" style="98" hidden="1" customWidth="1"/>
    <col min="29" max="29" width="1" style="98" hidden="1" customWidth="1"/>
    <col min="30" max="30" width="11" style="98" hidden="1" customWidth="1"/>
    <col min="31" max="31" width="16" style="98" hidden="1" customWidth="1"/>
    <col min="32" max="32" width="13.140625" style="80" hidden="1" customWidth="1"/>
    <col min="33" max="33" width="9" style="115" hidden="1" customWidth="1"/>
    <col min="34" max="34" width="10.5703125" style="115" hidden="1" customWidth="1"/>
    <col min="35" max="35" width="13.140625" style="115" customWidth="1"/>
    <col min="36" max="36" width="11" style="115" customWidth="1"/>
    <col min="37" max="81" width="9.28515625" style="115" customWidth="1"/>
    <col min="82" max="16384" width="8" style="115"/>
  </cols>
  <sheetData>
    <row r="1" spans="1:36" x14ac:dyDescent="0.25">
      <c r="C1" s="116" t="s">
        <v>376</v>
      </c>
      <c r="D1" s="117"/>
    </row>
    <row r="2" spans="1:36" s="117" customFormat="1" ht="13.5" x14ac:dyDescent="0.25">
      <c r="A2" s="83"/>
      <c r="C2" s="118" t="s">
        <v>377</v>
      </c>
      <c r="E2" s="46" t="s">
        <v>378</v>
      </c>
      <c r="F2" s="46" t="s">
        <v>379</v>
      </c>
      <c r="G2" s="46" t="s">
        <v>380</v>
      </c>
      <c r="H2" s="46" t="s">
        <v>381</v>
      </c>
      <c r="I2" s="46" t="s">
        <v>382</v>
      </c>
      <c r="J2" s="46" t="s">
        <v>383</v>
      </c>
      <c r="K2" s="46" t="s">
        <v>384</v>
      </c>
      <c r="L2" s="46" t="s">
        <v>385</v>
      </c>
      <c r="M2" s="46" t="s">
        <v>386</v>
      </c>
      <c r="N2" s="46" t="s">
        <v>387</v>
      </c>
      <c r="O2" s="46" t="s">
        <v>388</v>
      </c>
      <c r="P2" s="46" t="s">
        <v>389</v>
      </c>
      <c r="Q2" s="46" t="s">
        <v>390</v>
      </c>
      <c r="R2" s="46" t="s">
        <v>391</v>
      </c>
      <c r="S2" s="46" t="s">
        <v>392</v>
      </c>
      <c r="T2" s="46" t="s">
        <v>393</v>
      </c>
      <c r="U2" s="46" t="s">
        <v>394</v>
      </c>
      <c r="V2" s="46" t="s">
        <v>395</v>
      </c>
      <c r="X2" s="99"/>
      <c r="Y2" s="99"/>
      <c r="Z2" s="470" t="s">
        <v>482</v>
      </c>
      <c r="AA2" s="470"/>
      <c r="AB2" s="470"/>
      <c r="AC2" s="470"/>
      <c r="AD2" s="470"/>
      <c r="AE2" s="470"/>
      <c r="AF2" s="470"/>
    </row>
    <row r="3" spans="1:36" s="117" customFormat="1" ht="15" x14ac:dyDescent="0.35">
      <c r="A3" s="83"/>
      <c r="C3" s="86">
        <v>45107</v>
      </c>
      <c r="D3" s="155"/>
      <c r="X3" s="99"/>
      <c r="Y3" s="99"/>
      <c r="Z3" s="74"/>
      <c r="AA3" s="74"/>
      <c r="AB3" s="74"/>
      <c r="AC3" s="99"/>
      <c r="AD3" s="99"/>
      <c r="AE3" s="99"/>
      <c r="AF3" s="156" t="s">
        <v>437</v>
      </c>
    </row>
    <row r="4" spans="1:36" s="117" customFormat="1" ht="13.5" x14ac:dyDescent="0.25">
      <c r="A4" s="83"/>
      <c r="C4" s="157"/>
      <c r="D4" s="155"/>
      <c r="M4" s="158"/>
      <c r="X4" s="99"/>
      <c r="Y4" s="99"/>
      <c r="Z4" s="74"/>
      <c r="AA4" s="74"/>
      <c r="AB4" s="74"/>
      <c r="AC4" s="99"/>
      <c r="AD4" s="99" t="s">
        <v>41</v>
      </c>
      <c r="AE4" s="99" t="s">
        <v>41</v>
      </c>
      <c r="AF4" s="159" t="s">
        <v>41</v>
      </c>
    </row>
    <row r="5" spans="1:36" s="117" customFormat="1" ht="15" x14ac:dyDescent="0.4">
      <c r="A5" s="83"/>
      <c r="C5" s="160" t="s">
        <v>457</v>
      </c>
      <c r="D5" s="155"/>
      <c r="M5" s="158"/>
      <c r="X5" s="99" t="s">
        <v>398</v>
      </c>
      <c r="Y5" s="99"/>
      <c r="Z5" s="161" t="s">
        <v>438</v>
      </c>
      <c r="AA5" s="161" t="s">
        <v>438</v>
      </c>
      <c r="AB5" s="161" t="s">
        <v>438</v>
      </c>
      <c r="AC5" s="99"/>
      <c r="AD5" s="159" t="s">
        <v>438</v>
      </c>
      <c r="AE5" s="159" t="s">
        <v>439</v>
      </c>
      <c r="AF5" s="82" t="s">
        <v>440</v>
      </c>
      <c r="AI5" s="117" t="s">
        <v>474</v>
      </c>
      <c r="AJ5" s="117" t="s">
        <v>475</v>
      </c>
    </row>
    <row r="6" spans="1:36" s="117" customFormat="1" ht="13.5" x14ac:dyDescent="0.25">
      <c r="A6" s="83"/>
      <c r="C6" s="162" t="s">
        <v>241</v>
      </c>
      <c r="E6" s="119" t="s">
        <v>399</v>
      </c>
      <c r="F6" s="119" t="s">
        <v>400</v>
      </c>
      <c r="G6" s="119" t="s">
        <v>401</v>
      </c>
      <c r="H6" s="119" t="s">
        <v>402</v>
      </c>
      <c r="I6" s="119" t="s">
        <v>403</v>
      </c>
      <c r="J6" s="119" t="s">
        <v>404</v>
      </c>
      <c r="K6" s="119" t="s">
        <v>405</v>
      </c>
      <c r="L6" s="119" t="s">
        <v>406</v>
      </c>
      <c r="M6" s="119" t="s">
        <v>407</v>
      </c>
      <c r="N6" s="119" t="s">
        <v>408</v>
      </c>
      <c r="O6" s="119" t="s">
        <v>409</v>
      </c>
      <c r="P6" s="119" t="s">
        <v>410</v>
      </c>
      <c r="Q6" s="119" t="s">
        <v>411</v>
      </c>
      <c r="R6" s="119" t="s">
        <v>412</v>
      </c>
      <c r="S6" s="119" t="s">
        <v>413</v>
      </c>
      <c r="T6" s="119" t="s">
        <v>414</v>
      </c>
      <c r="U6" s="119" t="s">
        <v>415</v>
      </c>
      <c r="V6" s="119" t="s">
        <v>416</v>
      </c>
      <c r="W6" s="119"/>
      <c r="X6" s="100" t="s">
        <v>417</v>
      </c>
      <c r="Y6" s="100"/>
      <c r="Z6" s="119" t="s">
        <v>441</v>
      </c>
      <c r="AA6" s="119" t="s">
        <v>442</v>
      </c>
      <c r="AB6" s="119" t="s">
        <v>443</v>
      </c>
      <c r="AC6" s="100"/>
      <c r="AD6" s="119" t="s">
        <v>444</v>
      </c>
      <c r="AE6" s="119" t="s">
        <v>445</v>
      </c>
      <c r="AF6" s="89" t="s">
        <v>446</v>
      </c>
      <c r="AG6" s="117" t="s">
        <v>447</v>
      </c>
    </row>
    <row r="7" spans="1:36" s="117" customFormat="1" ht="13.5" x14ac:dyDescent="0.25">
      <c r="A7" s="83">
        <v>3240</v>
      </c>
      <c r="B7" s="163">
        <v>100</v>
      </c>
      <c r="C7" s="164" t="s">
        <v>43</v>
      </c>
      <c r="E7" s="178"/>
      <c r="F7" s="259">
        <v>84340515</v>
      </c>
      <c r="G7" s="259">
        <v>60602966</v>
      </c>
      <c r="H7" s="259"/>
      <c r="I7" s="259">
        <v>36513674</v>
      </c>
      <c r="J7" s="178">
        <v>4486312</v>
      </c>
      <c r="K7" s="178"/>
      <c r="L7" s="178">
        <v>6788687</v>
      </c>
      <c r="M7" s="178">
        <v>42837588</v>
      </c>
      <c r="N7" s="178"/>
      <c r="O7" s="178">
        <v>0</v>
      </c>
      <c r="P7" s="178"/>
      <c r="Q7" s="178">
        <v>4872208</v>
      </c>
      <c r="R7" s="178"/>
      <c r="S7" s="178"/>
      <c r="T7" s="178">
        <v>6391958</v>
      </c>
      <c r="U7" s="178">
        <v>15879570</v>
      </c>
      <c r="V7" s="178">
        <v>17995331</v>
      </c>
      <c r="W7" s="179"/>
      <c r="X7" s="180">
        <f>SUM(E7:V7)</f>
        <v>280708809</v>
      </c>
      <c r="Y7" s="180"/>
      <c r="Z7" s="179"/>
      <c r="AA7" s="179"/>
      <c r="AB7" s="179"/>
      <c r="AC7" s="179"/>
      <c r="AD7" s="181">
        <v>0</v>
      </c>
      <c r="AE7" s="181">
        <v>239597503</v>
      </c>
      <c r="AF7" s="180">
        <v>239598</v>
      </c>
      <c r="AG7" s="115">
        <v>0</v>
      </c>
      <c r="AI7" s="179">
        <v>280708809</v>
      </c>
      <c r="AJ7" s="299">
        <f>+AI7-X7</f>
        <v>0</v>
      </c>
    </row>
    <row r="8" spans="1:36" ht="13.5" x14ac:dyDescent="0.25">
      <c r="A8" s="79">
        <v>3250</v>
      </c>
      <c r="B8" s="163">
        <v>105</v>
      </c>
      <c r="C8" s="164" t="s">
        <v>45</v>
      </c>
      <c r="D8" s="90"/>
      <c r="E8" s="178"/>
      <c r="F8" s="259">
        <v>1312535241</v>
      </c>
      <c r="G8" s="259">
        <v>63889746</v>
      </c>
      <c r="H8" s="259"/>
      <c r="I8" s="259">
        <v>15918687</v>
      </c>
      <c r="J8" s="178">
        <v>1175735</v>
      </c>
      <c r="K8" s="178"/>
      <c r="L8" s="178">
        <v>36258158</v>
      </c>
      <c r="M8" s="178">
        <v>1535999</v>
      </c>
      <c r="N8" s="178"/>
      <c r="O8" s="178">
        <v>0</v>
      </c>
      <c r="P8" s="178"/>
      <c r="Q8" s="178">
        <v>25032490</v>
      </c>
      <c r="R8" s="178"/>
      <c r="S8" s="178"/>
      <c r="T8" s="178">
        <v>10497878</v>
      </c>
      <c r="U8" s="178">
        <v>313075</v>
      </c>
      <c r="V8" s="178">
        <v>0</v>
      </c>
      <c r="W8" s="180"/>
      <c r="X8" s="180">
        <f t="shared" ref="X8:X17" si="0">SUM(E8:V8)</f>
        <v>1467157009</v>
      </c>
      <c r="Y8" s="180"/>
      <c r="Z8" s="180"/>
      <c r="AA8" s="180"/>
      <c r="AB8" s="180"/>
      <c r="AC8" s="180"/>
      <c r="AD8" s="181">
        <v>0</v>
      </c>
      <c r="AE8" s="181">
        <v>974286357</v>
      </c>
      <c r="AF8" s="180">
        <v>974286</v>
      </c>
      <c r="AI8" s="179">
        <f>1469634176-2477167</f>
        <v>1467157009</v>
      </c>
      <c r="AJ8" s="299">
        <f t="shared" ref="AJ8:AJ41" si="1">+AI8-X8</f>
        <v>0</v>
      </c>
    </row>
    <row r="9" spans="1:36" ht="13.5" x14ac:dyDescent="0.25">
      <c r="A9" s="79">
        <v>3270</v>
      </c>
      <c r="B9" s="163">
        <v>110</v>
      </c>
      <c r="C9" s="164" t="s">
        <v>52</v>
      </c>
      <c r="D9" s="90"/>
      <c r="E9" s="178"/>
      <c r="F9" s="259">
        <v>85348931</v>
      </c>
      <c r="G9" s="259">
        <v>26392849</v>
      </c>
      <c r="H9" s="259"/>
      <c r="I9" s="259">
        <v>18452583</v>
      </c>
      <c r="J9" s="178">
        <v>2987472</v>
      </c>
      <c r="K9" s="178"/>
      <c r="L9" s="178">
        <v>9837474</v>
      </c>
      <c r="M9" s="178">
        <v>5816241</v>
      </c>
      <c r="N9" s="178"/>
      <c r="O9" s="178">
        <v>0</v>
      </c>
      <c r="P9" s="178"/>
      <c r="Q9" s="178">
        <v>577673</v>
      </c>
      <c r="R9" s="178"/>
      <c r="S9" s="178"/>
      <c r="T9" s="178">
        <v>6915527</v>
      </c>
      <c r="U9" s="178">
        <v>2939225</v>
      </c>
      <c r="V9" s="178">
        <v>5563959</v>
      </c>
      <c r="W9" s="180"/>
      <c r="X9" s="180">
        <f t="shared" si="0"/>
        <v>164831934</v>
      </c>
      <c r="Y9" s="180"/>
      <c r="Z9" s="180"/>
      <c r="AA9" s="180">
        <v>-6407641</v>
      </c>
      <c r="AB9" s="180"/>
      <c r="AC9" s="180"/>
      <c r="AD9" s="181">
        <v>-6407641</v>
      </c>
      <c r="AE9" s="181">
        <v>111334068</v>
      </c>
      <c r="AF9" s="180">
        <v>111334</v>
      </c>
      <c r="AI9" s="179">
        <v>164831934</v>
      </c>
      <c r="AJ9" s="299">
        <f t="shared" si="1"/>
        <v>0</v>
      </c>
    </row>
    <row r="10" spans="1:36" ht="13.5" x14ac:dyDescent="0.25">
      <c r="A10" s="79">
        <v>3285</v>
      </c>
      <c r="B10" s="170">
        <v>112</v>
      </c>
      <c r="C10" s="171" t="s">
        <v>242</v>
      </c>
      <c r="D10" s="167"/>
      <c r="E10" s="182"/>
      <c r="F10" s="182">
        <v>3375511</v>
      </c>
      <c r="G10" s="182">
        <v>0</v>
      </c>
      <c r="H10" s="182"/>
      <c r="I10" s="182">
        <v>70204731</v>
      </c>
      <c r="J10" s="182">
        <v>217407</v>
      </c>
      <c r="K10" s="182"/>
      <c r="L10" s="182">
        <v>0</v>
      </c>
      <c r="M10" s="182">
        <v>2704852</v>
      </c>
      <c r="N10" s="182"/>
      <c r="O10" s="182">
        <v>0</v>
      </c>
      <c r="P10" s="182"/>
      <c r="Q10" s="182">
        <v>8626</v>
      </c>
      <c r="R10" s="182"/>
      <c r="S10" s="182"/>
      <c r="T10" s="182">
        <v>0</v>
      </c>
      <c r="U10" s="182">
        <v>0</v>
      </c>
      <c r="V10" s="182">
        <v>0</v>
      </c>
      <c r="W10" s="183"/>
      <c r="X10" s="183">
        <f t="shared" si="0"/>
        <v>76511127</v>
      </c>
      <c r="Y10" s="183"/>
      <c r="Z10" s="183"/>
      <c r="AA10" s="183">
        <v>6407641</v>
      </c>
      <c r="AB10" s="183"/>
      <c r="AC10" s="183"/>
      <c r="AD10" s="184">
        <v>6407641</v>
      </c>
      <c r="AE10" s="184">
        <v>12264879</v>
      </c>
      <c r="AF10" s="183">
        <v>12265</v>
      </c>
      <c r="AG10" s="168" t="s">
        <v>448</v>
      </c>
      <c r="AI10" s="179">
        <v>76511127</v>
      </c>
      <c r="AJ10" s="299">
        <f t="shared" si="1"/>
        <v>0</v>
      </c>
    </row>
    <row r="11" spans="1:36" ht="13.5" x14ac:dyDescent="0.25">
      <c r="A11" s="79">
        <v>3310</v>
      </c>
      <c r="B11" s="163">
        <v>115</v>
      </c>
      <c r="C11" s="164" t="s">
        <v>55</v>
      </c>
      <c r="D11" s="91"/>
      <c r="E11" s="178"/>
      <c r="F11" s="259">
        <v>0</v>
      </c>
      <c r="G11" s="259">
        <v>0</v>
      </c>
      <c r="H11" s="259"/>
      <c r="I11" s="259">
        <v>0</v>
      </c>
      <c r="J11" s="178">
        <v>0</v>
      </c>
      <c r="K11" s="178"/>
      <c r="L11" s="178">
        <v>0</v>
      </c>
      <c r="M11" s="178">
        <v>0</v>
      </c>
      <c r="N11" s="178"/>
      <c r="O11" s="178">
        <v>0</v>
      </c>
      <c r="P11" s="178"/>
      <c r="Q11" s="178">
        <v>0</v>
      </c>
      <c r="R11" s="178"/>
      <c r="S11" s="178"/>
      <c r="T11" s="178">
        <v>0</v>
      </c>
      <c r="U11" s="178">
        <v>0</v>
      </c>
      <c r="V11" s="178">
        <v>0</v>
      </c>
      <c r="W11" s="180"/>
      <c r="X11" s="180">
        <f t="shared" si="0"/>
        <v>0</v>
      </c>
      <c r="Y11" s="180"/>
      <c r="Z11" s="180"/>
      <c r="AA11" s="180"/>
      <c r="AB11" s="180"/>
      <c r="AC11" s="180"/>
      <c r="AD11" s="181">
        <v>0</v>
      </c>
      <c r="AE11" s="181">
        <v>0</v>
      </c>
      <c r="AF11" s="180">
        <v>0</v>
      </c>
      <c r="AI11" s="179"/>
      <c r="AJ11" s="299">
        <f t="shared" si="1"/>
        <v>0</v>
      </c>
    </row>
    <row r="12" spans="1:36" ht="13.5" x14ac:dyDescent="0.25">
      <c r="A12" s="79">
        <v>3320</v>
      </c>
      <c r="B12" s="163">
        <v>120</v>
      </c>
      <c r="C12" s="164" t="s">
        <v>243</v>
      </c>
      <c r="D12" s="92"/>
      <c r="E12" s="178"/>
      <c r="F12" s="259">
        <v>142661</v>
      </c>
      <c r="G12" s="259">
        <v>0</v>
      </c>
      <c r="H12" s="259"/>
      <c r="I12" s="259">
        <v>1865832</v>
      </c>
      <c r="J12" s="178">
        <v>132312</v>
      </c>
      <c r="K12" s="178"/>
      <c r="L12" s="178">
        <v>23391</v>
      </c>
      <c r="M12" s="178">
        <v>0</v>
      </c>
      <c r="N12" s="178"/>
      <c r="O12" s="178">
        <v>0</v>
      </c>
      <c r="P12" s="178"/>
      <c r="Q12" s="178">
        <v>0</v>
      </c>
      <c r="R12" s="178"/>
      <c r="S12" s="178"/>
      <c r="T12" s="178">
        <v>0</v>
      </c>
      <c r="U12" s="178">
        <v>51210</v>
      </c>
      <c r="V12" s="178">
        <v>0</v>
      </c>
      <c r="W12" s="180"/>
      <c r="X12" s="180">
        <f t="shared" si="0"/>
        <v>2215406</v>
      </c>
      <c r="Y12" s="180"/>
      <c r="Z12" s="180"/>
      <c r="AA12" s="180"/>
      <c r="AB12" s="180"/>
      <c r="AC12" s="180"/>
      <c r="AD12" s="181">
        <v>0</v>
      </c>
      <c r="AE12" s="181">
        <v>1718017</v>
      </c>
      <c r="AF12" s="180">
        <v>1718</v>
      </c>
      <c r="AI12" s="179">
        <v>2215406</v>
      </c>
      <c r="AJ12" s="299">
        <f t="shared" si="1"/>
        <v>0</v>
      </c>
    </row>
    <row r="13" spans="1:36" ht="13.5" x14ac:dyDescent="0.25">
      <c r="A13" s="79">
        <v>3340</v>
      </c>
      <c r="B13" s="163">
        <v>125</v>
      </c>
      <c r="C13" s="164" t="s">
        <v>244</v>
      </c>
      <c r="D13" s="93"/>
      <c r="E13" s="178"/>
      <c r="F13" s="259">
        <v>0</v>
      </c>
      <c r="G13" s="259">
        <v>0</v>
      </c>
      <c r="H13" s="259"/>
      <c r="I13" s="259">
        <v>0</v>
      </c>
      <c r="J13" s="178">
        <v>0</v>
      </c>
      <c r="K13" s="178"/>
      <c r="L13" s="178">
        <v>0</v>
      </c>
      <c r="M13" s="178">
        <v>0</v>
      </c>
      <c r="N13" s="178"/>
      <c r="O13" s="178">
        <v>0</v>
      </c>
      <c r="P13" s="178"/>
      <c r="Q13" s="178">
        <v>0</v>
      </c>
      <c r="R13" s="178"/>
      <c r="S13" s="178"/>
      <c r="T13" s="178">
        <v>0</v>
      </c>
      <c r="U13" s="178">
        <v>0</v>
      </c>
      <c r="V13" s="178">
        <v>0</v>
      </c>
      <c r="W13" s="180"/>
      <c r="X13" s="180">
        <f t="shared" si="0"/>
        <v>0</v>
      </c>
      <c r="Y13" s="180"/>
      <c r="Z13" s="180"/>
      <c r="AA13" s="180"/>
      <c r="AB13" s="180"/>
      <c r="AC13" s="180"/>
      <c r="AD13" s="181">
        <v>0</v>
      </c>
      <c r="AE13" s="181">
        <v>12881</v>
      </c>
      <c r="AF13" s="180">
        <v>13</v>
      </c>
      <c r="AI13" s="179"/>
      <c r="AJ13" s="299">
        <f t="shared" si="1"/>
        <v>0</v>
      </c>
    </row>
    <row r="14" spans="1:36" ht="13.5" x14ac:dyDescent="0.25">
      <c r="A14" s="79">
        <v>3345</v>
      </c>
      <c r="B14" s="163">
        <v>128</v>
      </c>
      <c r="C14" s="164" t="s">
        <v>419</v>
      </c>
      <c r="D14" s="93"/>
      <c r="E14" s="178"/>
      <c r="F14" s="259">
        <v>0</v>
      </c>
      <c r="G14" s="259">
        <v>0</v>
      </c>
      <c r="H14" s="259"/>
      <c r="I14" s="259">
        <v>0</v>
      </c>
      <c r="J14" s="178">
        <v>0</v>
      </c>
      <c r="K14" s="178"/>
      <c r="L14" s="178">
        <v>0</v>
      </c>
      <c r="M14" s="178">
        <v>0</v>
      </c>
      <c r="N14" s="178"/>
      <c r="O14" s="178">
        <v>0</v>
      </c>
      <c r="P14" s="178"/>
      <c r="Q14" s="178">
        <v>27129286</v>
      </c>
      <c r="R14" s="178"/>
      <c r="S14" s="178"/>
      <c r="T14" s="178">
        <v>0</v>
      </c>
      <c r="U14" s="178">
        <v>0</v>
      </c>
      <c r="V14" s="178">
        <v>0</v>
      </c>
      <c r="W14" s="180"/>
      <c r="X14" s="180">
        <f t="shared" si="0"/>
        <v>27129286</v>
      </c>
      <c r="Y14" s="180"/>
      <c r="Z14" s="180"/>
      <c r="AA14" s="180"/>
      <c r="AB14" s="180"/>
      <c r="AC14" s="180"/>
      <c r="AD14" s="181">
        <v>0</v>
      </c>
      <c r="AE14" s="181">
        <v>31578965</v>
      </c>
      <c r="AF14" s="180">
        <v>31579</v>
      </c>
      <c r="AI14" s="179">
        <v>27129286</v>
      </c>
      <c r="AJ14" s="299">
        <f t="shared" si="1"/>
        <v>0</v>
      </c>
    </row>
    <row r="15" spans="1:36" ht="13.5" x14ac:dyDescent="0.25">
      <c r="A15" s="79">
        <v>3350</v>
      </c>
      <c r="B15" s="163">
        <v>130</v>
      </c>
      <c r="C15" s="164" t="s">
        <v>247</v>
      </c>
      <c r="D15" s="93"/>
      <c r="E15" s="178"/>
      <c r="F15" s="259">
        <v>0</v>
      </c>
      <c r="G15" s="259">
        <v>753960693</v>
      </c>
      <c r="H15" s="259"/>
      <c r="I15" s="259">
        <v>180892679</v>
      </c>
      <c r="J15" s="178">
        <v>46817785</v>
      </c>
      <c r="K15" s="178"/>
      <c r="L15" s="178">
        <v>148772067</v>
      </c>
      <c r="M15" s="178">
        <v>18515272</v>
      </c>
      <c r="N15" s="178"/>
      <c r="O15" s="178">
        <v>0</v>
      </c>
      <c r="P15" s="178"/>
      <c r="Q15" s="178">
        <v>35988495</v>
      </c>
      <c r="R15" s="178"/>
      <c r="S15" s="178"/>
      <c r="T15" s="178">
        <v>24421792</v>
      </c>
      <c r="U15" s="178">
        <v>80155390</v>
      </c>
      <c r="V15" s="178">
        <v>19749805</v>
      </c>
      <c r="W15" s="180"/>
      <c r="X15" s="180">
        <f t="shared" si="0"/>
        <v>1309273978</v>
      </c>
      <c r="Y15" s="180"/>
      <c r="Z15" s="180"/>
      <c r="AA15" s="180"/>
      <c r="AB15" s="180"/>
      <c r="AC15" s="180"/>
      <c r="AD15" s="181">
        <v>0</v>
      </c>
      <c r="AE15" s="181">
        <v>900072369</v>
      </c>
      <c r="AF15" s="180">
        <v>900072</v>
      </c>
      <c r="AI15" s="179">
        <f>1306796811+2477167</f>
        <v>1309273978</v>
      </c>
      <c r="AJ15" s="299">
        <f t="shared" si="1"/>
        <v>0</v>
      </c>
    </row>
    <row r="16" spans="1:36" ht="13.5" x14ac:dyDescent="0.25">
      <c r="A16" s="79">
        <v>3370</v>
      </c>
      <c r="B16" s="163">
        <v>140</v>
      </c>
      <c r="C16" s="164" t="s">
        <v>248</v>
      </c>
      <c r="D16" s="90"/>
      <c r="E16" s="178"/>
      <c r="F16" s="259">
        <v>0</v>
      </c>
      <c r="G16" s="259">
        <v>32009549</v>
      </c>
      <c r="H16" s="259"/>
      <c r="I16" s="259">
        <v>6884583</v>
      </c>
      <c r="J16" s="178">
        <v>4758415</v>
      </c>
      <c r="K16" s="178"/>
      <c r="L16" s="178">
        <v>4017222</v>
      </c>
      <c r="M16" s="178">
        <v>12573575</v>
      </c>
      <c r="N16" s="178"/>
      <c r="O16" s="178">
        <v>0</v>
      </c>
      <c r="P16" s="178"/>
      <c r="Q16" s="178">
        <v>5023120</v>
      </c>
      <c r="R16" s="178"/>
      <c r="S16" s="178"/>
      <c r="T16" s="178">
        <v>0</v>
      </c>
      <c r="U16" s="178">
        <v>52442</v>
      </c>
      <c r="V16" s="178">
        <v>101945</v>
      </c>
      <c r="W16" s="180"/>
      <c r="X16" s="180">
        <f t="shared" si="0"/>
        <v>65420851</v>
      </c>
      <c r="Y16" s="180"/>
      <c r="Z16" s="180"/>
      <c r="AA16" s="180"/>
      <c r="AB16" s="180"/>
      <c r="AC16" s="180"/>
      <c r="AD16" s="181">
        <v>0</v>
      </c>
      <c r="AE16" s="181">
        <v>101951135</v>
      </c>
      <c r="AF16" s="180">
        <v>101951</v>
      </c>
      <c r="AI16" s="179">
        <v>65420851</v>
      </c>
      <c r="AJ16" s="299">
        <f t="shared" si="1"/>
        <v>0</v>
      </c>
    </row>
    <row r="17" spans="1:36" ht="13.5" x14ac:dyDescent="0.25">
      <c r="A17" s="79">
        <v>3380</v>
      </c>
      <c r="B17" s="163">
        <v>145</v>
      </c>
      <c r="C17" s="164" t="s">
        <v>249</v>
      </c>
      <c r="D17" s="90"/>
      <c r="E17" s="178"/>
      <c r="F17" s="259">
        <v>8730800</v>
      </c>
      <c r="G17" s="259">
        <v>5549701</v>
      </c>
      <c r="H17" s="259"/>
      <c r="I17" s="259">
        <v>107737</v>
      </c>
      <c r="J17" s="178">
        <v>2308579</v>
      </c>
      <c r="K17" s="178"/>
      <c r="L17" s="178">
        <v>4256751</v>
      </c>
      <c r="M17" s="178">
        <v>109828167</v>
      </c>
      <c r="N17" s="178"/>
      <c r="O17" s="178">
        <v>0</v>
      </c>
      <c r="P17" s="178"/>
      <c r="Q17" s="178">
        <v>0</v>
      </c>
      <c r="R17" s="178"/>
      <c r="S17" s="178"/>
      <c r="T17" s="178">
        <v>247786</v>
      </c>
      <c r="U17" s="178">
        <v>0</v>
      </c>
      <c r="V17" s="178">
        <v>0</v>
      </c>
      <c r="W17" s="185"/>
      <c r="X17" s="180">
        <f t="shared" si="0"/>
        <v>131029521</v>
      </c>
      <c r="Y17" s="180"/>
      <c r="Z17" s="185"/>
      <c r="AA17" s="185"/>
      <c r="AB17" s="185"/>
      <c r="AC17" s="185"/>
      <c r="AD17" s="186">
        <v>0</v>
      </c>
      <c r="AE17" s="186">
        <v>122923476</v>
      </c>
      <c r="AF17" s="185">
        <v>122923</v>
      </c>
      <c r="AI17" s="179">
        <v>131029521</v>
      </c>
      <c r="AJ17" s="299">
        <f t="shared" si="1"/>
        <v>0</v>
      </c>
    </row>
    <row r="18" spans="1:36" ht="13.5" x14ac:dyDescent="0.25">
      <c r="C18" s="162" t="s">
        <v>62</v>
      </c>
      <c r="D18" s="90"/>
      <c r="E18" s="187"/>
      <c r="F18" s="301">
        <f t="shared" ref="F18:X18" si="2">SUM(F7:F17)</f>
        <v>1494473659</v>
      </c>
      <c r="G18" s="301">
        <f t="shared" si="2"/>
        <v>942405504</v>
      </c>
      <c r="H18" s="301">
        <f t="shared" si="2"/>
        <v>0</v>
      </c>
      <c r="I18" s="301">
        <f t="shared" si="2"/>
        <v>330840506</v>
      </c>
      <c r="J18" s="187">
        <f t="shared" si="2"/>
        <v>62884017</v>
      </c>
      <c r="K18" s="187">
        <f t="shared" si="2"/>
        <v>0</v>
      </c>
      <c r="L18" s="187">
        <f t="shared" si="2"/>
        <v>209953750</v>
      </c>
      <c r="M18" s="187">
        <f t="shared" si="2"/>
        <v>193811694</v>
      </c>
      <c r="N18" s="187">
        <f t="shared" si="2"/>
        <v>0</v>
      </c>
      <c r="O18" s="187">
        <f t="shared" si="2"/>
        <v>0</v>
      </c>
      <c r="P18" s="187">
        <f t="shared" si="2"/>
        <v>0</v>
      </c>
      <c r="Q18" s="187">
        <f t="shared" si="2"/>
        <v>98631898</v>
      </c>
      <c r="R18" s="187">
        <f t="shared" si="2"/>
        <v>0</v>
      </c>
      <c r="S18" s="187">
        <f t="shared" si="2"/>
        <v>0</v>
      </c>
      <c r="T18" s="187">
        <f t="shared" si="2"/>
        <v>48474941</v>
      </c>
      <c r="U18" s="187">
        <f t="shared" si="2"/>
        <v>99390912</v>
      </c>
      <c r="V18" s="187">
        <f t="shared" si="2"/>
        <v>43411040</v>
      </c>
      <c r="W18" s="187">
        <f t="shared" si="2"/>
        <v>0</v>
      </c>
      <c r="X18" s="187">
        <f t="shared" si="2"/>
        <v>3524277921</v>
      </c>
      <c r="Y18" s="187"/>
      <c r="Z18" s="187">
        <v>0</v>
      </c>
      <c r="AA18" s="187">
        <v>0</v>
      </c>
      <c r="AB18" s="187">
        <v>0</v>
      </c>
      <c r="AC18" s="188"/>
      <c r="AD18" s="189">
        <v>0</v>
      </c>
      <c r="AE18" s="189">
        <v>2495739650</v>
      </c>
      <c r="AF18" s="188">
        <v>2495739</v>
      </c>
      <c r="AI18" s="179">
        <v>3524277921</v>
      </c>
      <c r="AJ18" s="299">
        <f t="shared" si="1"/>
        <v>0</v>
      </c>
    </row>
    <row r="19" spans="1:36" ht="6" customHeight="1" x14ac:dyDescent="0.25">
      <c r="C19" s="90"/>
      <c r="D19" s="90"/>
      <c r="E19" s="180"/>
      <c r="F19" s="302"/>
      <c r="G19" s="302"/>
      <c r="H19" s="302"/>
      <c r="I19" s="302"/>
      <c r="J19" s="180"/>
      <c r="K19" s="180"/>
      <c r="L19" s="180"/>
      <c r="M19" s="180"/>
      <c r="N19" s="180"/>
      <c r="O19" s="180"/>
      <c r="P19" s="180"/>
      <c r="Q19" s="180"/>
      <c r="R19" s="180"/>
      <c r="S19" s="180"/>
      <c r="T19" s="180"/>
      <c r="U19" s="180"/>
      <c r="V19" s="180"/>
      <c r="W19" s="180"/>
      <c r="X19" s="180"/>
      <c r="Y19" s="180"/>
      <c r="Z19" s="180"/>
      <c r="AA19" s="180"/>
      <c r="AB19" s="180"/>
      <c r="AC19" s="180"/>
      <c r="AD19" s="181"/>
      <c r="AE19" s="181"/>
      <c r="AF19" s="180"/>
      <c r="AI19" s="179"/>
      <c r="AJ19" s="299">
        <f t="shared" si="1"/>
        <v>0</v>
      </c>
    </row>
    <row r="20" spans="1:36" ht="13.5" x14ac:dyDescent="0.25">
      <c r="C20" s="162" t="s">
        <v>250</v>
      </c>
      <c r="D20" s="90"/>
      <c r="E20" s="180"/>
      <c r="F20" s="302"/>
      <c r="G20" s="302"/>
      <c r="H20" s="302"/>
      <c r="I20" s="302"/>
      <c r="J20" s="180"/>
      <c r="K20" s="180"/>
      <c r="L20" s="180"/>
      <c r="M20" s="180"/>
      <c r="N20" s="180"/>
      <c r="O20" s="180"/>
      <c r="P20" s="180"/>
      <c r="Q20" s="180"/>
      <c r="R20" s="180"/>
      <c r="S20" s="180"/>
      <c r="T20" s="180"/>
      <c r="U20" s="180"/>
      <c r="V20" s="180"/>
      <c r="W20" s="180"/>
      <c r="X20" s="180"/>
      <c r="Y20" s="180"/>
      <c r="Z20" s="180"/>
      <c r="AA20" s="180"/>
      <c r="AB20" s="180"/>
      <c r="AC20" s="180"/>
      <c r="AD20" s="180"/>
      <c r="AE20" s="181"/>
      <c r="AF20" s="190"/>
      <c r="AI20" s="179"/>
      <c r="AJ20" s="299">
        <f t="shared" si="1"/>
        <v>0</v>
      </c>
    </row>
    <row r="21" spans="1:36" ht="13.5" x14ac:dyDescent="0.25">
      <c r="A21" s="79">
        <v>3430</v>
      </c>
      <c r="B21" s="121">
        <v>200</v>
      </c>
      <c r="C21" s="164" t="s">
        <v>251</v>
      </c>
      <c r="D21" s="90"/>
      <c r="E21" s="178"/>
      <c r="F21" s="259">
        <v>2041565</v>
      </c>
      <c r="G21" s="259">
        <v>1385998</v>
      </c>
      <c r="H21" s="259"/>
      <c r="I21" s="259">
        <v>1053050</v>
      </c>
      <c r="J21" s="178">
        <v>851592</v>
      </c>
      <c r="K21" s="178"/>
      <c r="L21" s="178">
        <v>1667006</v>
      </c>
      <c r="M21" s="178">
        <v>2755531</v>
      </c>
      <c r="N21" s="178"/>
      <c r="O21" s="178">
        <v>0</v>
      </c>
      <c r="P21" s="178"/>
      <c r="Q21" s="178">
        <v>684153</v>
      </c>
      <c r="R21" s="178"/>
      <c r="S21" s="178"/>
      <c r="T21" s="178">
        <v>91756</v>
      </c>
      <c r="U21" s="178">
        <v>55564</v>
      </c>
      <c r="V21" s="178">
        <v>536224</v>
      </c>
      <c r="W21" s="180"/>
      <c r="X21" s="180">
        <f>SUM(E21:V21)</f>
        <v>11122439</v>
      </c>
      <c r="Y21" s="180"/>
      <c r="Z21" s="180">
        <v>896912.47</v>
      </c>
      <c r="AA21" s="180"/>
      <c r="AB21" s="180"/>
      <c r="AC21" s="180"/>
      <c r="AD21" s="181">
        <v>896912</v>
      </c>
      <c r="AE21" s="181">
        <v>17334253</v>
      </c>
      <c r="AF21" s="180">
        <v>17334</v>
      </c>
      <c r="AG21" s="169"/>
      <c r="AI21" s="179">
        <v>11122439</v>
      </c>
      <c r="AJ21" s="299">
        <f t="shared" si="1"/>
        <v>0</v>
      </c>
    </row>
    <row r="22" spans="1:36" ht="15" x14ac:dyDescent="0.25">
      <c r="A22" s="79">
        <v>3432</v>
      </c>
      <c r="B22" s="170">
        <v>202</v>
      </c>
      <c r="C22" s="171" t="s">
        <v>420</v>
      </c>
      <c r="D22" s="95"/>
      <c r="E22" s="191"/>
      <c r="F22" s="308">
        <v>0</v>
      </c>
      <c r="G22" s="308">
        <v>1990261</v>
      </c>
      <c r="H22" s="308"/>
      <c r="I22" s="308">
        <v>0</v>
      </c>
      <c r="J22" s="191">
        <v>0</v>
      </c>
      <c r="K22" s="191"/>
      <c r="L22" s="191">
        <v>97564</v>
      </c>
      <c r="M22" s="191">
        <v>1463981</v>
      </c>
      <c r="N22" s="191"/>
      <c r="O22" s="191">
        <v>0</v>
      </c>
      <c r="P22" s="191"/>
      <c r="Q22" s="191">
        <v>0</v>
      </c>
      <c r="R22" s="191"/>
      <c r="S22" s="191"/>
      <c r="T22" s="191">
        <v>0</v>
      </c>
      <c r="U22" s="191">
        <v>33469</v>
      </c>
      <c r="V22" s="191">
        <v>1504719</v>
      </c>
      <c r="W22" s="192"/>
      <c r="X22" s="192">
        <f t="shared" ref="X22:X30" si="3">SUM(E22:V22)</f>
        <v>5089994</v>
      </c>
      <c r="Y22" s="192"/>
      <c r="Z22" s="192">
        <v>-896912.47</v>
      </c>
      <c r="AA22" s="192"/>
      <c r="AB22" s="192"/>
      <c r="AC22" s="192"/>
      <c r="AD22" s="193">
        <v>-896912</v>
      </c>
      <c r="AE22" s="193">
        <v>7063262</v>
      </c>
      <c r="AF22" s="192">
        <v>7063</v>
      </c>
      <c r="AG22" s="168" t="s">
        <v>448</v>
      </c>
      <c r="AI22" s="179">
        <v>5089994</v>
      </c>
      <c r="AJ22" s="299">
        <f t="shared" si="1"/>
        <v>0</v>
      </c>
    </row>
    <row r="23" spans="1:36" ht="14.25" x14ac:dyDescent="0.25">
      <c r="A23" s="79">
        <v>3434</v>
      </c>
      <c r="B23" s="170">
        <v>203</v>
      </c>
      <c r="C23" s="172" t="s">
        <v>421</v>
      </c>
      <c r="D23" s="95"/>
      <c r="E23" s="191"/>
      <c r="F23" s="308">
        <v>0</v>
      </c>
      <c r="G23" s="308">
        <v>0</v>
      </c>
      <c r="H23" s="308"/>
      <c r="I23" s="308">
        <v>0</v>
      </c>
      <c r="J23" s="191">
        <v>0</v>
      </c>
      <c r="K23" s="191"/>
      <c r="L23" s="191">
        <v>0</v>
      </c>
      <c r="M23" s="191">
        <v>0</v>
      </c>
      <c r="N23" s="191"/>
      <c r="O23" s="191">
        <v>0</v>
      </c>
      <c r="P23" s="191"/>
      <c r="Q23" s="191">
        <v>0</v>
      </c>
      <c r="R23" s="191"/>
      <c r="S23" s="191"/>
      <c r="T23" s="191">
        <v>0</v>
      </c>
      <c r="U23" s="191">
        <v>0</v>
      </c>
      <c r="V23" s="191">
        <v>0</v>
      </c>
      <c r="W23" s="192"/>
      <c r="X23" s="192">
        <f t="shared" si="3"/>
        <v>0</v>
      </c>
      <c r="Y23" s="192"/>
      <c r="Z23" s="192"/>
      <c r="AA23" s="192"/>
      <c r="AB23" s="192"/>
      <c r="AC23" s="192"/>
      <c r="AD23" s="193">
        <v>0</v>
      </c>
      <c r="AE23" s="193">
        <v>0</v>
      </c>
      <c r="AF23" s="192">
        <v>0</v>
      </c>
      <c r="AG23" s="168" t="s">
        <v>448</v>
      </c>
      <c r="AI23" s="179"/>
      <c r="AJ23" s="299">
        <f t="shared" si="1"/>
        <v>0</v>
      </c>
    </row>
    <row r="24" spans="1:36" ht="13.5" x14ac:dyDescent="0.25">
      <c r="A24" s="79">
        <v>3500</v>
      </c>
      <c r="B24" s="121">
        <v>205</v>
      </c>
      <c r="C24" s="164" t="s">
        <v>67</v>
      </c>
      <c r="D24" s="96"/>
      <c r="E24" s="178"/>
      <c r="F24" s="259">
        <v>0</v>
      </c>
      <c r="G24" s="259">
        <v>262090</v>
      </c>
      <c r="H24" s="259"/>
      <c r="I24" s="259">
        <v>2546035</v>
      </c>
      <c r="J24" s="178">
        <v>30940</v>
      </c>
      <c r="K24" s="178"/>
      <c r="L24" s="178">
        <v>0</v>
      </c>
      <c r="M24" s="178">
        <v>0</v>
      </c>
      <c r="N24" s="178"/>
      <c r="O24" s="178">
        <v>0</v>
      </c>
      <c r="P24" s="178"/>
      <c r="Q24" s="178">
        <v>0</v>
      </c>
      <c r="R24" s="178"/>
      <c r="S24" s="178"/>
      <c r="T24" s="178">
        <v>0</v>
      </c>
      <c r="U24" s="178">
        <v>0</v>
      </c>
      <c r="V24" s="178">
        <v>0</v>
      </c>
      <c r="W24" s="180"/>
      <c r="X24" s="180">
        <f t="shared" si="3"/>
        <v>2839065</v>
      </c>
      <c r="Y24" s="180"/>
      <c r="Z24" s="180"/>
      <c r="AA24" s="180"/>
      <c r="AB24" s="180"/>
      <c r="AC24" s="180"/>
      <c r="AD24" s="181">
        <v>0</v>
      </c>
      <c r="AE24" s="181">
        <v>244598</v>
      </c>
      <c r="AF24" s="180">
        <v>245</v>
      </c>
      <c r="AI24" s="179">
        <v>2839065</v>
      </c>
      <c r="AJ24" s="299">
        <f t="shared" si="1"/>
        <v>0</v>
      </c>
    </row>
    <row r="25" spans="1:36" ht="13.5" x14ac:dyDescent="0.25">
      <c r="A25" s="79">
        <v>3550</v>
      </c>
      <c r="B25" s="121">
        <v>210</v>
      </c>
      <c r="C25" s="164" t="s">
        <v>68</v>
      </c>
      <c r="D25" s="90"/>
      <c r="E25" s="178"/>
      <c r="F25" s="259">
        <v>0</v>
      </c>
      <c r="G25" s="259">
        <v>0</v>
      </c>
      <c r="H25" s="259"/>
      <c r="I25" s="259">
        <v>859227</v>
      </c>
      <c r="J25" s="178">
        <v>0</v>
      </c>
      <c r="K25" s="178"/>
      <c r="L25" s="178">
        <v>0</v>
      </c>
      <c r="M25" s="178">
        <v>0</v>
      </c>
      <c r="N25" s="178"/>
      <c r="O25" s="178">
        <v>0</v>
      </c>
      <c r="P25" s="178"/>
      <c r="Q25" s="178">
        <v>0</v>
      </c>
      <c r="R25" s="178"/>
      <c r="S25" s="178"/>
      <c r="T25" s="178">
        <v>0</v>
      </c>
      <c r="U25" s="178">
        <v>0</v>
      </c>
      <c r="V25" s="178">
        <v>0</v>
      </c>
      <c r="W25" s="190"/>
      <c r="X25" s="180">
        <f t="shared" si="3"/>
        <v>859227</v>
      </c>
      <c r="Y25" s="180"/>
      <c r="Z25" s="190"/>
      <c r="AA25" s="190"/>
      <c r="AB25" s="190"/>
      <c r="AC25" s="190"/>
      <c r="AD25" s="181">
        <v>0</v>
      </c>
      <c r="AE25" s="181">
        <v>0</v>
      </c>
      <c r="AF25" s="180">
        <v>0</v>
      </c>
      <c r="AI25" s="179">
        <v>859227</v>
      </c>
      <c r="AJ25" s="299">
        <f t="shared" si="1"/>
        <v>0</v>
      </c>
    </row>
    <row r="26" spans="1:36" ht="13.5" x14ac:dyDescent="0.25">
      <c r="A26" s="79">
        <v>3530</v>
      </c>
      <c r="B26" s="121">
        <v>215</v>
      </c>
      <c r="C26" s="164" t="s">
        <v>69</v>
      </c>
      <c r="D26" s="90"/>
      <c r="E26" s="178"/>
      <c r="F26" s="259">
        <v>0</v>
      </c>
      <c r="G26" s="259">
        <v>0</v>
      </c>
      <c r="H26" s="259"/>
      <c r="I26" s="259">
        <v>0</v>
      </c>
      <c r="J26" s="178">
        <v>0</v>
      </c>
      <c r="K26" s="178"/>
      <c r="L26" s="178">
        <v>0</v>
      </c>
      <c r="M26" s="178">
        <v>0</v>
      </c>
      <c r="N26" s="178"/>
      <c r="O26" s="178">
        <v>0</v>
      </c>
      <c r="P26" s="178"/>
      <c r="Q26" s="178">
        <v>0</v>
      </c>
      <c r="R26" s="178"/>
      <c r="S26" s="178"/>
      <c r="T26" s="178">
        <v>0</v>
      </c>
      <c r="U26" s="178">
        <v>0</v>
      </c>
      <c r="V26" s="178">
        <v>0</v>
      </c>
      <c r="W26" s="190"/>
      <c r="X26" s="180">
        <f t="shared" si="3"/>
        <v>0</v>
      </c>
      <c r="Y26" s="180"/>
      <c r="Z26" s="190"/>
      <c r="AA26" s="190"/>
      <c r="AB26" s="190"/>
      <c r="AC26" s="190"/>
      <c r="AD26" s="181">
        <v>0</v>
      </c>
      <c r="AE26" s="181">
        <v>0</v>
      </c>
      <c r="AF26" s="180">
        <v>0</v>
      </c>
      <c r="AG26" s="115">
        <v>0</v>
      </c>
      <c r="AI26" s="179"/>
      <c r="AJ26" s="299">
        <f t="shared" si="1"/>
        <v>0</v>
      </c>
    </row>
    <row r="27" spans="1:36" ht="13.5" x14ac:dyDescent="0.25">
      <c r="A27" s="79">
        <v>3540</v>
      </c>
      <c r="B27" s="121">
        <v>220</v>
      </c>
      <c r="C27" s="164" t="s">
        <v>70</v>
      </c>
      <c r="D27" s="90"/>
      <c r="E27" s="178"/>
      <c r="F27" s="259">
        <v>0</v>
      </c>
      <c r="G27" s="259">
        <v>293721</v>
      </c>
      <c r="H27" s="259"/>
      <c r="I27" s="259">
        <v>79000</v>
      </c>
      <c r="J27" s="178">
        <v>0</v>
      </c>
      <c r="K27" s="178"/>
      <c r="L27" s="178">
        <v>0</v>
      </c>
      <c r="M27" s="178">
        <v>2414451</v>
      </c>
      <c r="N27" s="178"/>
      <c r="O27" s="178">
        <v>0</v>
      </c>
      <c r="P27" s="178"/>
      <c r="Q27" s="178">
        <v>0</v>
      </c>
      <c r="R27" s="178"/>
      <c r="S27" s="178"/>
      <c r="T27" s="178">
        <v>199518</v>
      </c>
      <c r="U27" s="178">
        <v>0</v>
      </c>
      <c r="V27" s="178">
        <v>0</v>
      </c>
      <c r="W27" s="190"/>
      <c r="X27" s="180">
        <f t="shared" si="3"/>
        <v>2986690</v>
      </c>
      <c r="Y27" s="180"/>
      <c r="Z27" s="190"/>
      <c r="AA27" s="190"/>
      <c r="AB27" s="190"/>
      <c r="AC27" s="190"/>
      <c r="AD27" s="181">
        <v>0</v>
      </c>
      <c r="AE27" s="181">
        <v>2007725</v>
      </c>
      <c r="AF27" s="180">
        <v>2008</v>
      </c>
      <c r="AI27" s="179">
        <v>2986690</v>
      </c>
      <c r="AJ27" s="299">
        <f t="shared" si="1"/>
        <v>0</v>
      </c>
    </row>
    <row r="28" spans="1:36" ht="13.5" x14ac:dyDescent="0.25">
      <c r="B28" s="121"/>
      <c r="C28" s="164" t="s">
        <v>255</v>
      </c>
      <c r="D28" s="90"/>
      <c r="E28" s="178"/>
      <c r="F28" s="259"/>
      <c r="G28" s="259"/>
      <c r="H28" s="259"/>
      <c r="I28" s="259"/>
      <c r="J28" s="178"/>
      <c r="K28" s="178"/>
      <c r="L28" s="178"/>
      <c r="M28" s="178"/>
      <c r="N28" s="178"/>
      <c r="O28" s="178"/>
      <c r="P28" s="178"/>
      <c r="Q28" s="178"/>
      <c r="R28" s="178"/>
      <c r="S28" s="178"/>
      <c r="T28" s="178"/>
      <c r="U28" s="178"/>
      <c r="V28" s="178"/>
      <c r="W28" s="190"/>
      <c r="X28" s="180">
        <f t="shared" si="3"/>
        <v>0</v>
      </c>
      <c r="Y28" s="180"/>
      <c r="Z28" s="190"/>
      <c r="AA28" s="190"/>
      <c r="AB28" s="190"/>
      <c r="AC28" s="190"/>
      <c r="AD28" s="181">
        <v>0</v>
      </c>
      <c r="AE28" s="181">
        <v>0</v>
      </c>
      <c r="AF28" s="180">
        <v>0</v>
      </c>
      <c r="AI28" s="179"/>
      <c r="AJ28" s="299">
        <f t="shared" si="1"/>
        <v>0</v>
      </c>
    </row>
    <row r="29" spans="1:36" ht="13.5" x14ac:dyDescent="0.25">
      <c r="A29" s="79">
        <v>3570</v>
      </c>
      <c r="B29" s="121">
        <v>260</v>
      </c>
      <c r="C29" s="173" t="s">
        <v>256</v>
      </c>
      <c r="D29" s="90"/>
      <c r="E29" s="178"/>
      <c r="F29" s="259">
        <v>643598</v>
      </c>
      <c r="G29" s="259">
        <v>1124674</v>
      </c>
      <c r="H29" s="259"/>
      <c r="I29" s="259">
        <v>81847</v>
      </c>
      <c r="J29" s="178">
        <v>3525268</v>
      </c>
      <c r="K29" s="178"/>
      <c r="L29" s="178">
        <v>806025</v>
      </c>
      <c r="M29" s="178">
        <v>28706834</v>
      </c>
      <c r="N29" s="178"/>
      <c r="O29" s="178">
        <v>0</v>
      </c>
      <c r="P29" s="178"/>
      <c r="Q29" s="178">
        <v>0</v>
      </c>
      <c r="R29" s="178"/>
      <c r="S29" s="178"/>
      <c r="T29" s="178">
        <v>0</v>
      </c>
      <c r="U29" s="178">
        <v>0</v>
      </c>
      <c r="V29" s="178">
        <v>0</v>
      </c>
      <c r="W29" s="190"/>
      <c r="X29" s="180">
        <f t="shared" si="3"/>
        <v>34888246</v>
      </c>
      <c r="Y29" s="180"/>
      <c r="Z29" s="190"/>
      <c r="AA29" s="190"/>
      <c r="AB29" s="190"/>
      <c r="AC29" s="190"/>
      <c r="AD29" s="181">
        <v>0</v>
      </c>
      <c r="AE29" s="181">
        <v>4448463</v>
      </c>
      <c r="AF29" s="180">
        <v>4448</v>
      </c>
      <c r="AI29" s="179">
        <v>34888246</v>
      </c>
      <c r="AJ29" s="299">
        <f t="shared" si="1"/>
        <v>0</v>
      </c>
    </row>
    <row r="30" spans="1:36" ht="13.5" x14ac:dyDescent="0.25">
      <c r="A30" s="79">
        <v>3580</v>
      </c>
      <c r="B30" s="121">
        <v>261</v>
      </c>
      <c r="C30" s="173" t="s">
        <v>258</v>
      </c>
      <c r="D30" s="90"/>
      <c r="E30" s="194"/>
      <c r="F30" s="303">
        <v>4321884</v>
      </c>
      <c r="G30" s="303">
        <v>11728591</v>
      </c>
      <c r="H30" s="303"/>
      <c r="I30" s="303">
        <v>66038641</v>
      </c>
      <c r="J30" s="194">
        <v>941493</v>
      </c>
      <c r="K30" s="194"/>
      <c r="L30" s="194">
        <v>3571224</v>
      </c>
      <c r="M30" s="194">
        <v>101268693</v>
      </c>
      <c r="N30" s="194"/>
      <c r="O30" s="194">
        <v>0</v>
      </c>
      <c r="P30" s="194"/>
      <c r="Q30" s="194">
        <v>30720692</v>
      </c>
      <c r="R30" s="194"/>
      <c r="S30" s="194"/>
      <c r="T30" s="194">
        <v>0</v>
      </c>
      <c r="U30" s="194">
        <v>0</v>
      </c>
      <c r="V30" s="194">
        <v>0</v>
      </c>
      <c r="W30" s="185"/>
      <c r="X30" s="185">
        <f t="shared" si="3"/>
        <v>218591218</v>
      </c>
      <c r="Y30" s="185"/>
      <c r="Z30" s="185"/>
      <c r="AA30" s="185"/>
      <c r="AB30" s="185"/>
      <c r="AC30" s="185"/>
      <c r="AD30" s="186">
        <v>0</v>
      </c>
      <c r="AE30" s="186">
        <v>196669837</v>
      </c>
      <c r="AF30" s="185">
        <v>196670</v>
      </c>
      <c r="AI30" s="179">
        <v>218591218</v>
      </c>
      <c r="AJ30" s="299">
        <f t="shared" si="1"/>
        <v>0</v>
      </c>
    </row>
    <row r="31" spans="1:36" ht="13.5" x14ac:dyDescent="0.25">
      <c r="C31" s="162" t="s">
        <v>77</v>
      </c>
      <c r="D31" s="80"/>
      <c r="E31" s="185"/>
      <c r="F31" s="304">
        <f>SUM(F21:F30)</f>
        <v>7007047</v>
      </c>
      <c r="G31" s="304">
        <f t="shared" ref="G31:X31" si="4">SUM(G21:G30)</f>
        <v>16785335</v>
      </c>
      <c r="H31" s="304"/>
      <c r="I31" s="304">
        <f t="shared" si="4"/>
        <v>70657800</v>
      </c>
      <c r="J31" s="185">
        <f t="shared" si="4"/>
        <v>5349293</v>
      </c>
      <c r="K31" s="185">
        <f t="shared" si="4"/>
        <v>0</v>
      </c>
      <c r="L31" s="185">
        <f t="shared" si="4"/>
        <v>6141819</v>
      </c>
      <c r="M31" s="185">
        <f t="shared" si="4"/>
        <v>136609490</v>
      </c>
      <c r="N31" s="185">
        <f t="shared" si="4"/>
        <v>0</v>
      </c>
      <c r="O31" s="185">
        <f t="shared" si="4"/>
        <v>0</v>
      </c>
      <c r="P31" s="185">
        <f t="shared" si="4"/>
        <v>0</v>
      </c>
      <c r="Q31" s="185">
        <f t="shared" si="4"/>
        <v>31404845</v>
      </c>
      <c r="R31" s="185">
        <f t="shared" si="4"/>
        <v>0</v>
      </c>
      <c r="S31" s="185">
        <f t="shared" si="4"/>
        <v>0</v>
      </c>
      <c r="T31" s="185">
        <f t="shared" si="4"/>
        <v>291274</v>
      </c>
      <c r="U31" s="185">
        <f t="shared" si="4"/>
        <v>89033</v>
      </c>
      <c r="V31" s="185">
        <f t="shared" si="4"/>
        <v>2040943</v>
      </c>
      <c r="W31" s="185">
        <f t="shared" si="4"/>
        <v>0</v>
      </c>
      <c r="X31" s="185">
        <f t="shared" si="4"/>
        <v>276376879</v>
      </c>
      <c r="Y31" s="185"/>
      <c r="Z31" s="185">
        <v>0</v>
      </c>
      <c r="AA31" s="185">
        <v>0</v>
      </c>
      <c r="AB31" s="185">
        <v>0</v>
      </c>
      <c r="AC31" s="185"/>
      <c r="AD31" s="185">
        <v>0</v>
      </c>
      <c r="AE31" s="185">
        <v>227768138</v>
      </c>
      <c r="AF31" s="185">
        <v>227768</v>
      </c>
      <c r="AI31" s="179">
        <v>276376879</v>
      </c>
      <c r="AJ31" s="299">
        <f t="shared" si="1"/>
        <v>0</v>
      </c>
    </row>
    <row r="32" spans="1:36" ht="6.75" customHeight="1" x14ac:dyDescent="0.25">
      <c r="C32" s="90"/>
      <c r="D32" s="93"/>
      <c r="E32" s="180"/>
      <c r="F32" s="302"/>
      <c r="G32" s="302"/>
      <c r="H32" s="302"/>
      <c r="I32" s="302"/>
      <c r="J32" s="180"/>
      <c r="K32" s="180"/>
      <c r="L32" s="180"/>
      <c r="M32" s="180"/>
      <c r="N32" s="180"/>
      <c r="O32" s="180"/>
      <c r="P32" s="180"/>
      <c r="Q32" s="180"/>
      <c r="R32" s="180"/>
      <c r="S32" s="180"/>
      <c r="T32" s="180"/>
      <c r="U32" s="180"/>
      <c r="V32" s="180"/>
      <c r="W32" s="180"/>
      <c r="X32" s="180"/>
      <c r="Y32" s="180"/>
      <c r="Z32" s="180"/>
      <c r="AA32" s="180"/>
      <c r="AB32" s="180"/>
      <c r="AC32" s="180"/>
      <c r="AD32" s="181"/>
      <c r="AE32" s="181"/>
      <c r="AF32" s="180"/>
      <c r="AI32" s="179"/>
      <c r="AJ32" s="299">
        <f t="shared" si="1"/>
        <v>0</v>
      </c>
    </row>
    <row r="33" spans="1:37" ht="13.5" x14ac:dyDescent="0.25">
      <c r="C33" s="162" t="s">
        <v>260</v>
      </c>
      <c r="D33" s="93"/>
      <c r="E33" s="180"/>
      <c r="F33" s="302"/>
      <c r="G33" s="302"/>
      <c r="H33" s="302"/>
      <c r="I33" s="302"/>
      <c r="J33" s="180"/>
      <c r="K33" s="180"/>
      <c r="L33" s="180"/>
      <c r="M33" s="180"/>
      <c r="N33" s="180"/>
      <c r="O33" s="180"/>
      <c r="P33" s="180"/>
      <c r="Q33" s="180"/>
      <c r="R33" s="180"/>
      <c r="S33" s="180"/>
      <c r="T33" s="180"/>
      <c r="U33" s="180"/>
      <c r="V33" s="180"/>
      <c r="W33" s="180"/>
      <c r="X33" s="180"/>
      <c r="Y33" s="180"/>
      <c r="Z33" s="180"/>
      <c r="AA33" s="180"/>
      <c r="AB33" s="180"/>
      <c r="AC33" s="180"/>
      <c r="AD33" s="181"/>
      <c r="AE33" s="181"/>
      <c r="AF33" s="180"/>
      <c r="AI33" s="179"/>
      <c r="AJ33" s="299">
        <f t="shared" si="1"/>
        <v>0</v>
      </c>
    </row>
    <row r="34" spans="1:37" ht="13.5" x14ac:dyDescent="0.25">
      <c r="A34" s="79">
        <v>3630</v>
      </c>
      <c r="C34" s="174" t="s">
        <v>180</v>
      </c>
      <c r="D34" s="93"/>
      <c r="E34" s="178"/>
      <c r="F34" s="259">
        <v>3817536</v>
      </c>
      <c r="G34" s="259">
        <v>37559250</v>
      </c>
      <c r="H34" s="259"/>
      <c r="I34" s="259">
        <v>6929567</v>
      </c>
      <c r="J34" s="178">
        <v>4754659</v>
      </c>
      <c r="K34" s="178"/>
      <c r="L34" s="178">
        <v>8273973</v>
      </c>
      <c r="M34" s="178">
        <v>14000892</v>
      </c>
      <c r="N34" s="178"/>
      <c r="O34" s="178">
        <v>0</v>
      </c>
      <c r="P34" s="178"/>
      <c r="Q34" s="178">
        <v>5023120</v>
      </c>
      <c r="R34" s="178"/>
      <c r="S34" s="178"/>
      <c r="T34" s="178">
        <v>247786</v>
      </c>
      <c r="U34" s="178">
        <v>52442</v>
      </c>
      <c r="V34" s="178">
        <v>101945</v>
      </c>
      <c r="W34" s="180"/>
      <c r="X34" s="180">
        <f>SUM(E34:V34)</f>
        <v>80761170</v>
      </c>
      <c r="Y34" s="180"/>
      <c r="Z34" s="180">
        <v>0</v>
      </c>
      <c r="AA34" s="180">
        <v>0</v>
      </c>
      <c r="AB34" s="180"/>
      <c r="AC34" s="180"/>
      <c r="AD34" s="181">
        <v>0</v>
      </c>
      <c r="AE34" s="181">
        <v>96013759</v>
      </c>
      <c r="AF34" s="180">
        <v>96014</v>
      </c>
      <c r="AI34" s="179"/>
      <c r="AJ34" s="299">
        <f t="shared" si="1"/>
        <v>-80761170</v>
      </c>
      <c r="AK34" s="115" t="s">
        <v>476</v>
      </c>
    </row>
    <row r="35" spans="1:37" ht="13.5" x14ac:dyDescent="0.25">
      <c r="C35" s="174" t="s">
        <v>264</v>
      </c>
      <c r="D35" s="93"/>
      <c r="E35" s="178"/>
      <c r="F35" s="259"/>
      <c r="G35" s="259"/>
      <c r="H35" s="259"/>
      <c r="I35" s="259"/>
      <c r="J35" s="178"/>
      <c r="K35" s="178"/>
      <c r="L35" s="178"/>
      <c r="M35" s="178"/>
      <c r="N35" s="178"/>
      <c r="O35" s="178"/>
      <c r="P35" s="178"/>
      <c r="Q35" s="178"/>
      <c r="R35" s="178"/>
      <c r="S35" s="178"/>
      <c r="T35" s="178"/>
      <c r="U35" s="178"/>
      <c r="V35" s="178"/>
      <c r="W35" s="180"/>
      <c r="X35" s="180">
        <f t="shared" ref="X35:X40" si="5">SUM(E35:V35)</f>
        <v>0</v>
      </c>
      <c r="Y35" s="180"/>
      <c r="Z35" s="180"/>
      <c r="AA35" s="180"/>
      <c r="AB35" s="180"/>
      <c r="AC35" s="180"/>
      <c r="AD35" s="181">
        <v>0</v>
      </c>
      <c r="AE35" s="181">
        <v>0</v>
      </c>
      <c r="AF35" s="180">
        <v>0</v>
      </c>
      <c r="AI35" s="179"/>
      <c r="AJ35" s="299">
        <f t="shared" si="1"/>
        <v>0</v>
      </c>
      <c r="AK35" s="115" t="str">
        <f>+AK34</f>
        <v>OK No classification in SmartView Combo File</v>
      </c>
    </row>
    <row r="36" spans="1:37" ht="13.5" x14ac:dyDescent="0.25">
      <c r="C36" s="164" t="s">
        <v>265</v>
      </c>
      <c r="D36" s="90"/>
      <c r="E36" s="178"/>
      <c r="F36" s="259"/>
      <c r="G36" s="259"/>
      <c r="H36" s="259"/>
      <c r="I36" s="259"/>
      <c r="J36" s="178"/>
      <c r="K36" s="178"/>
      <c r="L36" s="178"/>
      <c r="M36" s="178"/>
      <c r="N36" s="178"/>
      <c r="O36" s="178"/>
      <c r="P36" s="178"/>
      <c r="Q36" s="178"/>
      <c r="R36" s="178"/>
      <c r="S36" s="178"/>
      <c r="T36" s="178"/>
      <c r="U36" s="259"/>
      <c r="V36" s="259"/>
      <c r="W36" s="180"/>
      <c r="X36" s="180">
        <f t="shared" si="5"/>
        <v>0</v>
      </c>
      <c r="Y36" s="180"/>
      <c r="Z36" s="180"/>
      <c r="AA36" s="180"/>
      <c r="AB36" s="180"/>
      <c r="AC36" s="180"/>
      <c r="AD36" s="181">
        <v>0</v>
      </c>
      <c r="AE36" s="181">
        <v>0</v>
      </c>
      <c r="AF36" s="180">
        <v>0</v>
      </c>
      <c r="AI36" s="179"/>
      <c r="AJ36" s="299">
        <f t="shared" si="1"/>
        <v>0</v>
      </c>
      <c r="AK36" s="115" t="str">
        <f t="shared" ref="AK36:AK40" si="6">+AK35</f>
        <v>OK No classification in SmartView Combo File</v>
      </c>
    </row>
    <row r="37" spans="1:37" ht="13.5" x14ac:dyDescent="0.25">
      <c r="A37" s="79">
        <v>3640</v>
      </c>
      <c r="C37" s="173" t="s">
        <v>266</v>
      </c>
      <c r="D37" s="90"/>
      <c r="E37" s="178"/>
      <c r="F37" s="259">
        <v>598346619</v>
      </c>
      <c r="G37" s="259">
        <v>471463328</v>
      </c>
      <c r="H37" s="259"/>
      <c r="I37" s="259">
        <v>99667017</v>
      </c>
      <c r="J37" s="178">
        <v>27446674</v>
      </c>
      <c r="K37" s="178"/>
      <c r="L37" s="178">
        <v>97376164</v>
      </c>
      <c r="M37" s="178">
        <v>6854399</v>
      </c>
      <c r="N37" s="178"/>
      <c r="O37" s="178">
        <v>0</v>
      </c>
      <c r="P37" s="178"/>
      <c r="Q37" s="178">
        <v>0</v>
      </c>
      <c r="R37" s="178"/>
      <c r="S37" s="178"/>
      <c r="T37" s="178">
        <v>24421792</v>
      </c>
      <c r="U37" s="178">
        <v>84245349</v>
      </c>
      <c r="V37" s="178">
        <v>26071084</v>
      </c>
      <c r="W37" s="180"/>
      <c r="X37" s="180">
        <f t="shared" si="5"/>
        <v>1435892426</v>
      </c>
      <c r="Y37" s="180"/>
      <c r="Z37" s="180"/>
      <c r="AA37" s="180"/>
      <c r="AB37" s="180"/>
      <c r="AC37" s="180"/>
      <c r="AD37" s="181">
        <v>0</v>
      </c>
      <c r="AE37" s="181">
        <v>1149601428</v>
      </c>
      <c r="AF37" s="180">
        <v>1149601</v>
      </c>
      <c r="AI37" s="179"/>
      <c r="AJ37" s="299">
        <f t="shared" si="1"/>
        <v>-1435892426</v>
      </c>
      <c r="AK37" s="115" t="str">
        <f t="shared" si="6"/>
        <v>OK No classification in SmartView Combo File</v>
      </c>
    </row>
    <row r="38" spans="1:37" ht="13.5" x14ac:dyDescent="0.25">
      <c r="C38" s="164" t="s">
        <v>269</v>
      </c>
      <c r="D38" s="90"/>
      <c r="E38" s="178"/>
      <c r="F38" s="259"/>
      <c r="G38" s="259"/>
      <c r="H38" s="259"/>
      <c r="I38" s="259"/>
      <c r="J38" s="178"/>
      <c r="K38" s="178"/>
      <c r="L38" s="178"/>
      <c r="M38" s="178"/>
      <c r="N38" s="178"/>
      <c r="O38" s="178"/>
      <c r="P38" s="178"/>
      <c r="Q38" s="178"/>
      <c r="R38" s="178"/>
      <c r="S38" s="178"/>
      <c r="T38" s="178"/>
      <c r="U38" s="178"/>
      <c r="V38" s="178"/>
      <c r="W38" s="180"/>
      <c r="X38" s="180">
        <f t="shared" si="5"/>
        <v>0</v>
      </c>
      <c r="Y38" s="180"/>
      <c r="Z38" s="180"/>
      <c r="AA38" s="180"/>
      <c r="AB38" s="180"/>
      <c r="AC38" s="180"/>
      <c r="AD38" s="181">
        <v>0</v>
      </c>
      <c r="AE38" s="181">
        <v>0</v>
      </c>
      <c r="AF38" s="180">
        <v>0</v>
      </c>
      <c r="AI38" s="179"/>
      <c r="AJ38" s="299">
        <f t="shared" si="1"/>
        <v>0</v>
      </c>
      <c r="AK38" s="115" t="str">
        <f t="shared" si="6"/>
        <v>OK No classification in SmartView Combo File</v>
      </c>
    </row>
    <row r="39" spans="1:37" ht="13.5" x14ac:dyDescent="0.25">
      <c r="A39" s="79">
        <v>3650</v>
      </c>
      <c r="C39" s="173" t="s">
        <v>266</v>
      </c>
      <c r="D39" s="90"/>
      <c r="E39" s="178"/>
      <c r="F39" s="259">
        <v>768251951</v>
      </c>
      <c r="G39" s="259">
        <v>395933872</v>
      </c>
      <c r="H39" s="259"/>
      <c r="I39" s="259">
        <v>131914566</v>
      </c>
      <c r="J39" s="178">
        <v>28339360</v>
      </c>
      <c r="K39" s="178"/>
      <c r="L39" s="178">
        <v>82528959</v>
      </c>
      <c r="M39" s="178">
        <v>26341962</v>
      </c>
      <c r="N39" s="178"/>
      <c r="O39" s="178">
        <v>0</v>
      </c>
      <c r="P39" s="178"/>
      <c r="Q39" s="178">
        <v>33529469</v>
      </c>
      <c r="R39" s="178"/>
      <c r="S39" s="178"/>
      <c r="T39" s="178">
        <v>21980801</v>
      </c>
      <c r="U39" s="178">
        <v>13253777</v>
      </c>
      <c r="V39" s="178">
        <v>10731306</v>
      </c>
      <c r="W39" s="180"/>
      <c r="X39" s="180">
        <f t="shared" si="5"/>
        <v>1512806023</v>
      </c>
      <c r="Y39" s="180"/>
      <c r="Z39" s="180"/>
      <c r="AA39" s="180">
        <v>0</v>
      </c>
      <c r="AB39" s="180"/>
      <c r="AC39" s="180"/>
      <c r="AD39" s="181">
        <v>0</v>
      </c>
      <c r="AE39" s="181">
        <v>894589867</v>
      </c>
      <c r="AF39" s="180">
        <v>894590</v>
      </c>
      <c r="AI39" s="179"/>
      <c r="AJ39" s="299">
        <f t="shared" si="1"/>
        <v>-1512806023</v>
      </c>
      <c r="AK39" s="115" t="str">
        <f t="shared" si="6"/>
        <v>OK No classification in SmartView Combo File</v>
      </c>
    </row>
    <row r="40" spans="1:37" ht="13.5" x14ac:dyDescent="0.25">
      <c r="A40" s="79">
        <v>3680</v>
      </c>
      <c r="C40" s="174" t="s">
        <v>271</v>
      </c>
      <c r="D40" s="90"/>
      <c r="E40" s="178"/>
      <c r="F40" s="259">
        <v>117050506</v>
      </c>
      <c r="G40" s="259">
        <v>20663719</v>
      </c>
      <c r="H40" s="259"/>
      <c r="I40" s="259">
        <v>21671556</v>
      </c>
      <c r="J40" s="178">
        <v>-3005969</v>
      </c>
      <c r="K40" s="178"/>
      <c r="L40" s="178">
        <v>15632835</v>
      </c>
      <c r="M40" s="178">
        <v>10004951</v>
      </c>
      <c r="N40" s="178"/>
      <c r="O40" s="178">
        <v>0</v>
      </c>
      <c r="P40" s="178"/>
      <c r="Q40" s="178">
        <v>28674464</v>
      </c>
      <c r="R40" s="178"/>
      <c r="S40" s="178"/>
      <c r="T40" s="178">
        <v>1533288</v>
      </c>
      <c r="U40" s="178">
        <v>1750311</v>
      </c>
      <c r="V40" s="178">
        <v>4465762</v>
      </c>
      <c r="W40" s="180"/>
      <c r="X40" s="180">
        <f t="shared" si="5"/>
        <v>218441423</v>
      </c>
      <c r="Y40" s="180"/>
      <c r="Z40" s="180">
        <v>0</v>
      </c>
      <c r="AA40" s="180"/>
      <c r="AB40" s="180"/>
      <c r="AC40" s="180"/>
      <c r="AD40" s="181">
        <v>0</v>
      </c>
      <c r="AE40" s="181">
        <v>127766458</v>
      </c>
      <c r="AF40" s="180">
        <v>127766</v>
      </c>
      <c r="AI40" s="179"/>
      <c r="AJ40" s="299">
        <f t="shared" si="1"/>
        <v>-218441423</v>
      </c>
      <c r="AK40" s="115" t="str">
        <f t="shared" si="6"/>
        <v>OK No classification in SmartView Combo File</v>
      </c>
    </row>
    <row r="41" spans="1:37" ht="14.25" thickBot="1" x14ac:dyDescent="0.3">
      <c r="C41" s="162" t="s">
        <v>274</v>
      </c>
      <c r="D41" s="90"/>
      <c r="E41" s="195"/>
      <c r="F41" s="305">
        <f>SUM(F34:F40)</f>
        <v>1487466612</v>
      </c>
      <c r="G41" s="305">
        <f>SUM(G34:G40)</f>
        <v>925620169</v>
      </c>
      <c r="H41" s="305"/>
      <c r="I41" s="305">
        <f>SUM(I34:I40)</f>
        <v>260182706</v>
      </c>
      <c r="J41" s="195">
        <f>SUM(J34:J40)</f>
        <v>57534724</v>
      </c>
      <c r="K41" s="195">
        <f t="shared" ref="K41:X41" si="7">SUM(K34:K40)</f>
        <v>0</v>
      </c>
      <c r="L41" s="195">
        <f t="shared" si="7"/>
        <v>203811931</v>
      </c>
      <c r="M41" s="195">
        <f t="shared" si="7"/>
        <v>57202204</v>
      </c>
      <c r="N41" s="195">
        <f t="shared" si="7"/>
        <v>0</v>
      </c>
      <c r="O41" s="195">
        <f t="shared" si="7"/>
        <v>0</v>
      </c>
      <c r="P41" s="195">
        <f t="shared" si="7"/>
        <v>0</v>
      </c>
      <c r="Q41" s="195">
        <f t="shared" si="7"/>
        <v>67227053</v>
      </c>
      <c r="R41" s="195">
        <f t="shared" si="7"/>
        <v>0</v>
      </c>
      <c r="S41" s="195">
        <f t="shared" si="7"/>
        <v>0</v>
      </c>
      <c r="T41" s="195">
        <f t="shared" si="7"/>
        <v>48183667</v>
      </c>
      <c r="U41" s="195">
        <f t="shared" si="7"/>
        <v>99301879</v>
      </c>
      <c r="V41" s="195">
        <f t="shared" si="7"/>
        <v>41370097</v>
      </c>
      <c r="W41" s="195">
        <f t="shared" si="7"/>
        <v>0</v>
      </c>
      <c r="X41" s="195">
        <f t="shared" si="7"/>
        <v>3247901042</v>
      </c>
      <c r="Y41" s="195"/>
      <c r="Z41" s="195">
        <v>0</v>
      </c>
      <c r="AA41" s="195">
        <v>0</v>
      </c>
      <c r="AB41" s="195">
        <v>0</v>
      </c>
      <c r="AC41" s="195"/>
      <c r="AD41" s="195">
        <v>0</v>
      </c>
      <c r="AE41" s="196">
        <v>2267971512</v>
      </c>
      <c r="AF41" s="196">
        <v>2267971</v>
      </c>
      <c r="AI41" s="179">
        <v>3247901042</v>
      </c>
      <c r="AJ41" s="299">
        <f t="shared" si="1"/>
        <v>0</v>
      </c>
    </row>
    <row r="42" spans="1:37" ht="6" customHeight="1" thickTop="1" x14ac:dyDescent="0.25">
      <c r="C42" s="90"/>
      <c r="D42" s="90"/>
      <c r="E42" s="166"/>
      <c r="F42" s="166"/>
      <c r="G42" s="166"/>
      <c r="H42" s="166"/>
      <c r="I42" s="166"/>
      <c r="J42" s="166"/>
      <c r="K42" s="166"/>
      <c r="L42" s="166"/>
      <c r="M42" s="166"/>
      <c r="N42" s="166"/>
      <c r="O42" s="166"/>
      <c r="P42" s="166"/>
      <c r="Q42" s="166"/>
      <c r="R42" s="166"/>
      <c r="S42" s="166"/>
      <c r="T42" s="166"/>
      <c r="U42" s="166"/>
      <c r="V42" s="166"/>
      <c r="W42" s="166"/>
      <c r="AD42" s="165"/>
      <c r="AE42" s="165"/>
      <c r="AI42" s="117"/>
    </row>
    <row r="43" spans="1:37" ht="10.5" customHeight="1" x14ac:dyDescent="0.25">
      <c r="C43" s="117"/>
      <c r="D43" s="126"/>
      <c r="E43" s="175" t="str">
        <f t="shared" ref="E43:U43" si="8">IF(E18-E31=E41,"In Balance","Not Balanced")</f>
        <v>In Balance</v>
      </c>
      <c r="F43" s="175" t="str">
        <f t="shared" si="8"/>
        <v>In Balance</v>
      </c>
      <c r="G43" s="175" t="str">
        <f t="shared" si="8"/>
        <v>In Balance</v>
      </c>
      <c r="H43" s="175" t="str">
        <f t="shared" si="8"/>
        <v>In Balance</v>
      </c>
      <c r="I43" s="175" t="str">
        <f>IF(I18-I31=I41,"In Balance","Not Balanced")</f>
        <v>In Balance</v>
      </c>
      <c r="J43" s="175" t="str">
        <f t="shared" si="8"/>
        <v>In Balance</v>
      </c>
      <c r="K43" s="175" t="str">
        <f t="shared" si="8"/>
        <v>In Balance</v>
      </c>
      <c r="L43" s="175" t="str">
        <f t="shared" si="8"/>
        <v>In Balance</v>
      </c>
      <c r="M43" s="175" t="str">
        <f t="shared" si="8"/>
        <v>In Balance</v>
      </c>
      <c r="N43" s="175" t="str">
        <f t="shared" si="8"/>
        <v>In Balance</v>
      </c>
      <c r="O43" s="175" t="str">
        <f t="shared" si="8"/>
        <v>In Balance</v>
      </c>
      <c r="P43" s="175" t="str">
        <f t="shared" si="8"/>
        <v>In Balance</v>
      </c>
      <c r="Q43" s="175" t="str">
        <f t="shared" si="8"/>
        <v>In Balance</v>
      </c>
      <c r="R43" s="175" t="str">
        <f t="shared" si="8"/>
        <v>In Balance</v>
      </c>
      <c r="S43" s="175" t="str">
        <f t="shared" si="8"/>
        <v>In Balance</v>
      </c>
      <c r="T43" s="175" t="str">
        <f t="shared" si="8"/>
        <v>In Balance</v>
      </c>
      <c r="U43" s="175" t="str">
        <f t="shared" si="8"/>
        <v>In Balance</v>
      </c>
      <c r="V43" s="175" t="str">
        <f>IF(V18-V31=V41,"In Balance","Not Balanced")</f>
        <v>In Balance</v>
      </c>
      <c r="W43" s="175"/>
      <c r="X43" s="175" t="str">
        <f>IF(X18-X31=X41,"In Balance","Not Balanced")</f>
        <v>In Balance</v>
      </c>
      <c r="Y43" s="175"/>
      <c r="Z43" s="175" t="str">
        <f>IF(Z18-Z31=Z41,"In Balance","Not Balanced")</f>
        <v>In Balance</v>
      </c>
      <c r="AA43" s="175" t="str">
        <f>IF(AA18-AA31=AA41,"In Balance","Not Balanced")</f>
        <v>In Balance</v>
      </c>
      <c r="AB43" s="175" t="str">
        <f>IF(AB18-AB31=AB41,"In Balance","Not Balanced")</f>
        <v>In Balance</v>
      </c>
      <c r="AC43" s="175"/>
      <c r="AD43" s="175" t="str">
        <f>IF(AD18-AD31=AD41,"In Balance","Not Balanced")</f>
        <v>In Balance</v>
      </c>
      <c r="AE43" s="175" t="str">
        <f>IF(AE18-AE31=AE41,"In Balance","Not Balanced")</f>
        <v>In Balance</v>
      </c>
      <c r="AF43" s="175" t="str">
        <f>IF(AF18-AF31=AF41,"In Balance","Not Balanced")</f>
        <v>In Balance</v>
      </c>
      <c r="AI43" s="117"/>
    </row>
    <row r="44" spans="1:37" x14ac:dyDescent="0.25">
      <c r="E44" s="176"/>
      <c r="F44" s="176"/>
      <c r="G44" s="176"/>
      <c r="H44" s="176"/>
      <c r="I44" s="176"/>
      <c r="J44" s="176"/>
      <c r="K44" s="176"/>
      <c r="L44" s="176"/>
      <c r="M44" s="176"/>
      <c r="N44" s="176"/>
      <c r="O44" s="176"/>
      <c r="P44" s="176"/>
      <c r="Q44" s="176"/>
      <c r="R44" s="176"/>
      <c r="S44" s="176"/>
      <c r="T44" s="176"/>
      <c r="U44" s="176"/>
      <c r="V44" s="176"/>
      <c r="W44" s="176"/>
      <c r="X44" s="176"/>
      <c r="Y44" s="176"/>
    </row>
    <row r="45" spans="1:37" x14ac:dyDescent="0.25">
      <c r="X45" s="99"/>
      <c r="Y45" s="99"/>
      <c r="AF45" s="80">
        <f>-AF31+AF18</f>
        <v>2267971</v>
      </c>
    </row>
    <row r="46" spans="1:37" x14ac:dyDescent="0.25">
      <c r="E46" s="128"/>
      <c r="F46" s="128"/>
      <c r="G46" s="128"/>
      <c r="H46" s="128"/>
      <c r="I46" s="128"/>
      <c r="J46" s="128"/>
      <c r="K46" s="128"/>
      <c r="L46" s="128"/>
      <c r="M46" s="128"/>
      <c r="N46" s="128"/>
      <c r="O46" s="128"/>
      <c r="P46" s="128"/>
      <c r="Q46" s="128"/>
      <c r="R46" s="128"/>
      <c r="S46" s="128"/>
      <c r="T46" s="128"/>
      <c r="U46" s="128"/>
      <c r="V46" s="128"/>
      <c r="W46" s="128"/>
      <c r="AF46" s="80">
        <f>+AF41</f>
        <v>2267971</v>
      </c>
    </row>
    <row r="47" spans="1:37" x14ac:dyDescent="0.25">
      <c r="E47" s="128"/>
      <c r="F47" s="128"/>
      <c r="G47" s="128"/>
      <c r="H47" s="128"/>
      <c r="I47" s="128"/>
      <c r="J47" s="128"/>
      <c r="K47" s="128"/>
      <c r="L47" s="128"/>
      <c r="M47" s="128"/>
      <c r="N47" s="128"/>
      <c r="O47" s="128"/>
      <c r="P47" s="128"/>
      <c r="Q47" s="128"/>
      <c r="R47" s="128"/>
      <c r="S47" s="128"/>
      <c r="T47" s="128"/>
      <c r="U47" s="128"/>
      <c r="V47" s="128"/>
      <c r="W47" s="128"/>
    </row>
    <row r="48" spans="1:37" x14ac:dyDescent="0.25">
      <c r="E48" s="128"/>
      <c r="F48" s="128"/>
      <c r="G48" s="128"/>
      <c r="H48" s="128"/>
      <c r="I48" s="128"/>
      <c r="J48" s="128"/>
      <c r="K48" s="128"/>
      <c r="L48" s="128"/>
      <c r="M48" s="128"/>
      <c r="N48" s="128"/>
      <c r="O48" s="128"/>
      <c r="P48" s="128"/>
      <c r="Q48" s="128"/>
      <c r="R48" s="128"/>
      <c r="S48" s="128"/>
      <c r="T48" s="128"/>
      <c r="U48" s="128"/>
      <c r="V48" s="128"/>
      <c r="W48" s="128"/>
    </row>
    <row r="49" spans="2:31" x14ac:dyDescent="0.25">
      <c r="E49" s="128"/>
      <c r="F49" s="128"/>
      <c r="G49" s="128"/>
      <c r="H49" s="128"/>
      <c r="I49" s="128"/>
      <c r="J49" s="128"/>
      <c r="K49" s="128"/>
      <c r="L49" s="128"/>
      <c r="M49" s="128"/>
      <c r="N49" s="128"/>
      <c r="O49" s="128"/>
      <c r="P49" s="128"/>
      <c r="Q49" s="128"/>
      <c r="R49" s="128"/>
      <c r="S49" s="128"/>
      <c r="T49" s="128"/>
      <c r="U49" s="128"/>
      <c r="V49" s="128"/>
      <c r="W49" s="128"/>
      <c r="X49" s="128"/>
      <c r="Y49" s="128"/>
    </row>
    <row r="50" spans="2:31" x14ac:dyDescent="0.25">
      <c r="E50" s="128"/>
      <c r="F50" s="128"/>
      <c r="G50" s="128"/>
      <c r="H50" s="128"/>
      <c r="I50" s="128"/>
      <c r="J50" s="128"/>
      <c r="K50" s="128"/>
      <c r="L50" s="128"/>
      <c r="M50" s="128"/>
      <c r="N50" s="128"/>
      <c r="O50" s="128"/>
      <c r="P50" s="128"/>
      <c r="Q50" s="128"/>
      <c r="R50" s="128"/>
      <c r="S50" s="128"/>
      <c r="T50" s="128"/>
      <c r="U50" s="128"/>
      <c r="V50" s="128"/>
      <c r="W50" s="128"/>
      <c r="X50" s="128"/>
      <c r="Y50" s="128"/>
    </row>
    <row r="51" spans="2:31" x14ac:dyDescent="0.25">
      <c r="E51" s="128"/>
      <c r="F51" s="128"/>
      <c r="G51" s="128"/>
      <c r="H51" s="128"/>
      <c r="I51" s="128"/>
      <c r="J51" s="128"/>
      <c r="K51" s="128"/>
      <c r="L51" s="128"/>
      <c r="M51" s="128"/>
      <c r="N51" s="128"/>
      <c r="O51" s="128"/>
      <c r="P51" s="128"/>
      <c r="Q51" s="128"/>
      <c r="R51" s="128"/>
      <c r="S51" s="128"/>
      <c r="T51" s="128"/>
      <c r="U51" s="128"/>
      <c r="V51" s="128"/>
      <c r="W51" s="128"/>
    </row>
    <row r="52" spans="2:31" ht="13.5" x14ac:dyDescent="0.25">
      <c r="B52" s="121"/>
      <c r="C52" s="177"/>
      <c r="E52" s="74"/>
      <c r="F52" s="128"/>
      <c r="G52" s="128"/>
      <c r="H52" s="128"/>
      <c r="I52" s="128"/>
      <c r="J52" s="128"/>
      <c r="K52" s="128"/>
      <c r="L52" s="128"/>
      <c r="M52" s="128"/>
      <c r="N52" s="128"/>
      <c r="O52" s="128"/>
      <c r="P52" s="128"/>
      <c r="Q52" s="128"/>
      <c r="R52" s="128"/>
      <c r="S52" s="128"/>
      <c r="T52" s="128"/>
      <c r="U52" s="128"/>
      <c r="V52" s="128"/>
      <c r="W52" s="128"/>
      <c r="X52" s="128"/>
      <c r="Y52" s="128"/>
    </row>
    <row r="53" spans="2:31" ht="13.5" x14ac:dyDescent="0.25">
      <c r="E53" s="74"/>
      <c r="F53" s="128"/>
      <c r="G53" s="128"/>
      <c r="H53" s="128"/>
      <c r="I53" s="128"/>
      <c r="J53" s="128"/>
      <c r="K53" s="128"/>
      <c r="L53" s="128"/>
      <c r="M53" s="128"/>
      <c r="N53" s="128"/>
      <c r="O53" s="128"/>
      <c r="P53" s="128"/>
      <c r="Q53" s="128"/>
      <c r="R53" s="128"/>
      <c r="S53" s="128"/>
      <c r="T53" s="128"/>
      <c r="U53" s="128"/>
      <c r="V53" s="128"/>
      <c r="W53" s="128"/>
      <c r="X53" s="128"/>
      <c r="Y53" s="128"/>
      <c r="AE53" s="98">
        <f>SUM(AE49:AE51)</f>
        <v>0</v>
      </c>
    </row>
    <row r="54" spans="2:31" x14ac:dyDescent="0.25">
      <c r="E54" s="128"/>
      <c r="F54" s="128"/>
      <c r="G54" s="128"/>
      <c r="H54" s="128"/>
      <c r="I54" s="128"/>
      <c r="J54" s="128"/>
      <c r="K54" s="128"/>
      <c r="L54" s="128"/>
      <c r="M54" s="128"/>
      <c r="N54" s="128"/>
      <c r="O54" s="128"/>
      <c r="P54" s="128"/>
      <c r="Q54" s="128"/>
      <c r="R54" s="128"/>
      <c r="S54" s="128"/>
      <c r="T54" s="128"/>
      <c r="U54" s="128"/>
      <c r="V54" s="128"/>
      <c r="W54" s="128"/>
      <c r="X54" s="128"/>
      <c r="Y54" s="128"/>
    </row>
  </sheetData>
  <sheetProtection algorithmName="SHA-512" hashValue="V4kFmmlDn/tgHXd8cZ5ib8ihYt51qEcuCFkjm/PMIjjBk5T5O6nndkLl2FGJAYb2K9QSXT3THy91eT8HZ7/JRA==" saltValue="q65Id8tbmgKBu6EqJ5+yKA==" spinCount="100000" sheet="1" formatCells="0" formatColumns="0" formatRows="0" insertColumns="0" insertRows="0" autoFilter="0"/>
  <mergeCells count="1">
    <mergeCell ref="Z2:AF2"/>
  </mergeCells>
  <pageMargins left="0.7" right="0.7" top="0.75" bottom="0.75" header="0.3" footer="0.3"/>
  <pageSetup scale="87" fitToHeight="0" orientation="landscape" r:id="rId1"/>
  <colBreaks count="1" manualBreakCount="1">
    <brk id="12" max="1048575"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4DBAC-D4BD-437D-8539-E29F1B76647D}">
  <sheetPr codeName="Sheet12"/>
  <dimension ref="A1:AD36"/>
  <sheetViews>
    <sheetView zoomScaleNormal="100" workbookViewId="0">
      <pane xSplit="4" topLeftCell="E1" activePane="topRight" state="frozen"/>
      <selection pane="topRight" activeCell="O32" sqref="O32"/>
    </sheetView>
  </sheetViews>
  <sheetFormatPr defaultColWidth="9.140625" defaultRowHeight="12.75" x14ac:dyDescent="0.2"/>
  <cols>
    <col min="1" max="1" width="5" style="197" bestFit="1" customWidth="1"/>
    <col min="2" max="2" width="4.85546875" style="74" customWidth="1"/>
    <col min="3" max="3" width="42.5703125" style="74" customWidth="1"/>
    <col min="4" max="4" width="2.42578125" style="74" customWidth="1"/>
    <col min="5" max="5" width="7" style="74" customWidth="1"/>
    <col min="6" max="6" width="17.7109375" style="74" bestFit="1" customWidth="1"/>
    <col min="7" max="7" width="12.28515625" style="74" customWidth="1"/>
    <col min="8" max="8" width="5" style="74" customWidth="1"/>
    <col min="9" max="9" width="12.28515625" style="74" bestFit="1" customWidth="1"/>
    <col min="10" max="11" width="11" style="74" customWidth="1"/>
    <col min="12" max="12" width="12.140625" style="74" customWidth="1"/>
    <col min="13" max="13" width="11.28515625" style="74" bestFit="1" customWidth="1"/>
    <col min="14" max="14" width="5.5703125" style="74" customWidth="1"/>
    <col min="15" max="15" width="16" style="74" bestFit="1" customWidth="1"/>
    <col min="16" max="16" width="6.28515625" style="74" customWidth="1"/>
    <col min="17" max="17" width="11.28515625" style="74" bestFit="1" customWidth="1"/>
    <col min="18" max="18" width="6" style="74" customWidth="1"/>
    <col min="19" max="19" width="5.5703125" style="74" customWidth="1"/>
    <col min="20" max="20" width="11.5703125" style="74" bestFit="1" customWidth="1"/>
    <col min="21" max="21" width="11" style="74" customWidth="1"/>
    <col min="22" max="22" width="11.140625" style="74" customWidth="1"/>
    <col min="23" max="23" width="11.85546875" style="74" hidden="1" customWidth="1"/>
    <col min="24" max="24" width="14" style="74" bestFit="1" customWidth="1"/>
    <col min="25" max="25" width="1.85546875" style="74" customWidth="1"/>
    <col min="26" max="26" width="13" style="74" hidden="1" customWidth="1"/>
    <col min="27" max="28" width="9.140625" style="74" hidden="1" customWidth="1"/>
    <col min="29" max="29" width="17.42578125" style="74" customWidth="1"/>
    <col min="30" max="30" width="10.28515625" style="74" customWidth="1"/>
    <col min="31" max="16384" width="9.140625" style="74"/>
  </cols>
  <sheetData>
    <row r="1" spans="1:30" ht="13.5" x14ac:dyDescent="0.25">
      <c r="C1" s="116" t="s">
        <v>376</v>
      </c>
      <c r="D1" s="117"/>
      <c r="E1" s="115"/>
      <c r="F1" s="117"/>
      <c r="G1" s="117"/>
      <c r="H1" s="117"/>
      <c r="I1" s="117"/>
      <c r="J1" s="117"/>
      <c r="K1" s="117"/>
      <c r="L1" s="117"/>
      <c r="M1" s="117"/>
      <c r="N1" s="117"/>
      <c r="O1" s="117"/>
      <c r="P1" s="117"/>
      <c r="Q1" s="117"/>
      <c r="R1" s="117"/>
      <c r="S1" s="117"/>
      <c r="T1" s="117"/>
      <c r="U1" s="117"/>
      <c r="V1" s="117"/>
      <c r="W1" s="117"/>
      <c r="X1" s="99"/>
    </row>
    <row r="2" spans="1:30" ht="15" x14ac:dyDescent="0.35">
      <c r="C2" s="118" t="s">
        <v>377</v>
      </c>
      <c r="D2" s="117"/>
      <c r="E2" s="46" t="s">
        <v>378</v>
      </c>
      <c r="F2" s="46" t="s">
        <v>379</v>
      </c>
      <c r="G2" s="46" t="s">
        <v>380</v>
      </c>
      <c r="H2" s="46" t="s">
        <v>381</v>
      </c>
      <c r="I2" s="46" t="s">
        <v>382</v>
      </c>
      <c r="J2" s="46" t="s">
        <v>383</v>
      </c>
      <c r="K2" s="46" t="s">
        <v>384</v>
      </c>
      <c r="L2" s="46" t="s">
        <v>385</v>
      </c>
      <c r="M2" s="46" t="s">
        <v>386</v>
      </c>
      <c r="N2" s="46" t="s">
        <v>387</v>
      </c>
      <c r="O2" s="46" t="s">
        <v>388</v>
      </c>
      <c r="P2" s="46" t="s">
        <v>389</v>
      </c>
      <c r="Q2" s="46" t="s">
        <v>390</v>
      </c>
      <c r="R2" s="46" t="s">
        <v>391</v>
      </c>
      <c r="S2" s="46" t="s">
        <v>392</v>
      </c>
      <c r="T2" s="46" t="s">
        <v>393</v>
      </c>
      <c r="U2" s="46" t="s">
        <v>394</v>
      </c>
      <c r="V2" s="46" t="s">
        <v>395</v>
      </c>
      <c r="W2" s="117"/>
      <c r="X2" s="99"/>
      <c r="Z2" s="156" t="s">
        <v>437</v>
      </c>
    </row>
    <row r="3" spans="1:30" ht="13.5" x14ac:dyDescent="0.25">
      <c r="C3" s="86">
        <v>45107</v>
      </c>
      <c r="D3" s="155"/>
      <c r="E3" s="117"/>
      <c r="F3" s="117"/>
      <c r="G3" s="117"/>
      <c r="H3" s="117"/>
      <c r="I3" s="117"/>
      <c r="J3" s="117"/>
      <c r="K3" s="117"/>
      <c r="L3" s="117"/>
      <c r="M3" s="158"/>
      <c r="N3" s="117"/>
      <c r="O3" s="117"/>
      <c r="P3" s="117"/>
      <c r="Q3" s="117"/>
      <c r="R3" s="117"/>
      <c r="S3" s="117"/>
      <c r="T3" s="117"/>
      <c r="U3" s="117"/>
      <c r="V3" s="117"/>
      <c r="W3" s="117"/>
      <c r="X3" s="99"/>
      <c r="Z3" s="159" t="s">
        <v>41</v>
      </c>
    </row>
    <row r="4" spans="1:30" ht="13.5" x14ac:dyDescent="0.25">
      <c r="C4" s="160" t="s">
        <v>457</v>
      </c>
      <c r="E4" s="117"/>
      <c r="F4" s="117"/>
      <c r="G4" s="117"/>
      <c r="H4" s="117"/>
      <c r="I4" s="117"/>
      <c r="J4" s="117"/>
      <c r="K4" s="117"/>
      <c r="L4" s="117"/>
      <c r="M4" s="158"/>
      <c r="N4" s="117"/>
      <c r="O4" s="117"/>
      <c r="P4" s="117"/>
      <c r="Q4" s="117"/>
      <c r="R4" s="117"/>
      <c r="S4" s="117"/>
      <c r="T4" s="117"/>
      <c r="U4" s="117"/>
      <c r="V4" s="117"/>
      <c r="W4" s="117" t="s">
        <v>449</v>
      </c>
      <c r="X4" s="99" t="s">
        <v>398</v>
      </c>
      <c r="Y4" s="99"/>
      <c r="Z4" s="82" t="s">
        <v>440</v>
      </c>
      <c r="AC4" s="117" t="s">
        <v>474</v>
      </c>
      <c r="AD4" s="117" t="s">
        <v>475</v>
      </c>
    </row>
    <row r="5" spans="1:30" ht="25.5" x14ac:dyDescent="0.25">
      <c r="C5" s="160"/>
      <c r="E5" s="119" t="s">
        <v>399</v>
      </c>
      <c r="F5" s="119" t="s">
        <v>400</v>
      </c>
      <c r="G5" s="119" t="s">
        <v>401</v>
      </c>
      <c r="H5" s="119" t="s">
        <v>402</v>
      </c>
      <c r="I5" s="119" t="s">
        <v>403</v>
      </c>
      <c r="J5" s="119" t="s">
        <v>404</v>
      </c>
      <c r="K5" s="233" t="s">
        <v>450</v>
      </c>
      <c r="L5" s="119" t="s">
        <v>406</v>
      </c>
      <c r="M5" s="119" t="s">
        <v>407</v>
      </c>
      <c r="N5" s="119" t="s">
        <v>408</v>
      </c>
      <c r="O5" s="119" t="s">
        <v>409</v>
      </c>
      <c r="P5" s="119" t="s">
        <v>410</v>
      </c>
      <c r="Q5" s="119" t="s">
        <v>411</v>
      </c>
      <c r="R5" s="119" t="s">
        <v>412</v>
      </c>
      <c r="S5" s="119" t="s">
        <v>413</v>
      </c>
      <c r="T5" s="119" t="s">
        <v>429</v>
      </c>
      <c r="U5" s="119" t="s">
        <v>430</v>
      </c>
      <c r="V5" s="119" t="s">
        <v>416</v>
      </c>
      <c r="W5" s="119" t="s">
        <v>451</v>
      </c>
      <c r="X5" s="100" t="s">
        <v>417</v>
      </c>
      <c r="Y5" s="100"/>
      <c r="Z5" s="89" t="s">
        <v>446</v>
      </c>
      <c r="AA5" s="82" t="s">
        <v>447</v>
      </c>
    </row>
    <row r="6" spans="1:30" x14ac:dyDescent="0.2">
      <c r="C6" s="162" t="s">
        <v>290</v>
      </c>
      <c r="E6" s="207"/>
      <c r="F6" s="207"/>
      <c r="G6" s="207"/>
      <c r="H6" s="207"/>
      <c r="I6" s="207"/>
      <c r="J6" s="207"/>
      <c r="K6" s="207"/>
      <c r="L6" s="207"/>
      <c r="M6" s="207"/>
      <c r="N6" s="207"/>
      <c r="O6" s="207"/>
      <c r="P6" s="207"/>
      <c r="Q6" s="207"/>
      <c r="R6" s="207"/>
      <c r="S6" s="207"/>
      <c r="T6" s="207"/>
      <c r="U6" s="207"/>
      <c r="V6" s="207"/>
      <c r="W6" s="207"/>
      <c r="X6" s="207"/>
      <c r="Y6" s="207"/>
      <c r="Z6" s="207"/>
    </row>
    <row r="7" spans="1:30" ht="13.5" x14ac:dyDescent="0.25">
      <c r="A7" s="197">
        <v>2700</v>
      </c>
      <c r="B7" s="163">
        <v>505</v>
      </c>
      <c r="C7" s="198" t="s">
        <v>291</v>
      </c>
      <c r="E7" s="260"/>
      <c r="F7" s="260">
        <v>0</v>
      </c>
      <c r="G7" s="260">
        <v>449803</v>
      </c>
      <c r="H7" s="260"/>
      <c r="I7" s="260">
        <v>259500</v>
      </c>
      <c r="J7" s="260">
        <v>1182934</v>
      </c>
      <c r="K7" s="260"/>
      <c r="L7" s="260">
        <v>0</v>
      </c>
      <c r="M7" s="260">
        <v>0</v>
      </c>
      <c r="N7" s="260"/>
      <c r="O7" s="260">
        <v>0</v>
      </c>
      <c r="P7" s="260"/>
      <c r="Q7" s="260">
        <v>0</v>
      </c>
      <c r="R7" s="260"/>
      <c r="S7" s="260"/>
      <c r="T7" s="260">
        <v>0</v>
      </c>
      <c r="U7" s="260">
        <v>0</v>
      </c>
      <c r="V7" s="260">
        <v>0</v>
      </c>
      <c r="W7" s="208"/>
      <c r="X7" s="208">
        <f>SUM(E7:V7)</f>
        <v>1892237</v>
      </c>
      <c r="Y7" s="208"/>
      <c r="Z7" s="180">
        <v>1289</v>
      </c>
      <c r="AC7" s="300">
        <v>1892237</v>
      </c>
      <c r="AD7" s="257">
        <f>+X7-AC7</f>
        <v>0</v>
      </c>
    </row>
    <row r="8" spans="1:30" ht="13.5" x14ac:dyDescent="0.25">
      <c r="A8" s="197">
        <v>2710</v>
      </c>
      <c r="B8" s="163">
        <v>500</v>
      </c>
      <c r="C8" s="198" t="s">
        <v>155</v>
      </c>
      <c r="E8" s="260"/>
      <c r="F8" s="260">
        <v>62351593</v>
      </c>
      <c r="G8" s="260">
        <v>19750603</v>
      </c>
      <c r="H8" s="260"/>
      <c r="I8" s="260">
        <v>18090475</v>
      </c>
      <c r="J8" s="260">
        <v>4474782</v>
      </c>
      <c r="K8" s="260"/>
      <c r="L8" s="260">
        <v>7263534</v>
      </c>
      <c r="M8" s="260">
        <v>8363123</v>
      </c>
      <c r="N8" s="260"/>
      <c r="O8" s="260">
        <v>0</v>
      </c>
      <c r="P8" s="260"/>
      <c r="Q8" s="260">
        <v>4732972</v>
      </c>
      <c r="R8" s="260"/>
      <c r="S8" s="260"/>
      <c r="T8" s="260">
        <v>14665538</v>
      </c>
      <c r="U8" s="260">
        <v>5925981</v>
      </c>
      <c r="V8" s="260">
        <v>5967074</v>
      </c>
      <c r="W8" s="208"/>
      <c r="X8" s="208">
        <f t="shared" ref="X8:X31" si="0">SUM(E8:V8)</f>
        <v>151585675</v>
      </c>
      <c r="Y8" s="208"/>
      <c r="Z8" s="180">
        <v>102370</v>
      </c>
      <c r="AC8" s="300">
        <v>151585675</v>
      </c>
      <c r="AD8" s="257">
        <f t="shared" ref="AD8:AD31" si="1">+X8-AC8</f>
        <v>0</v>
      </c>
    </row>
    <row r="9" spans="1:30" ht="13.5" x14ac:dyDescent="0.25">
      <c r="A9" s="197">
        <v>2890</v>
      </c>
      <c r="B9" s="163">
        <v>510</v>
      </c>
      <c r="C9" s="198" t="s">
        <v>156</v>
      </c>
      <c r="E9" s="260"/>
      <c r="F9" s="260">
        <v>0</v>
      </c>
      <c r="G9" s="260">
        <v>0</v>
      </c>
      <c r="H9" s="260"/>
      <c r="I9" s="260">
        <v>362240</v>
      </c>
      <c r="J9" s="260">
        <v>1176448</v>
      </c>
      <c r="K9" s="260"/>
      <c r="L9" s="260">
        <v>0</v>
      </c>
      <c r="M9" s="260">
        <v>0</v>
      </c>
      <c r="N9" s="260"/>
      <c r="O9" s="260">
        <v>0</v>
      </c>
      <c r="P9" s="260"/>
      <c r="Q9" s="260">
        <v>0</v>
      </c>
      <c r="R9" s="260"/>
      <c r="S9" s="260"/>
      <c r="T9" s="260">
        <v>0</v>
      </c>
      <c r="U9" s="260">
        <v>0</v>
      </c>
      <c r="V9" s="260">
        <v>1889308</v>
      </c>
      <c r="W9" s="208"/>
      <c r="X9" s="208">
        <f t="shared" si="0"/>
        <v>3427996</v>
      </c>
      <c r="Y9" s="208"/>
      <c r="Z9" s="180">
        <v>5038</v>
      </c>
      <c r="AC9" s="300">
        <v>3427996</v>
      </c>
      <c r="AD9" s="257">
        <f t="shared" si="1"/>
        <v>0</v>
      </c>
    </row>
    <row r="10" spans="1:30" ht="13.5" x14ac:dyDescent="0.25">
      <c r="A10" s="197">
        <v>2900</v>
      </c>
      <c r="B10" s="163">
        <v>520</v>
      </c>
      <c r="C10" s="198" t="s">
        <v>157</v>
      </c>
      <c r="E10" s="260"/>
      <c r="F10" s="260">
        <v>39883455</v>
      </c>
      <c r="G10" s="260">
        <v>26958934</v>
      </c>
      <c r="H10" s="260"/>
      <c r="I10" s="260">
        <v>8708159</v>
      </c>
      <c r="J10" s="260">
        <v>545492</v>
      </c>
      <c r="K10" s="260"/>
      <c r="L10" s="260">
        <v>6205378</v>
      </c>
      <c r="M10" s="260">
        <v>0</v>
      </c>
      <c r="N10" s="260"/>
      <c r="O10" s="260">
        <v>0</v>
      </c>
      <c r="P10" s="260"/>
      <c r="Q10" s="260">
        <v>0</v>
      </c>
      <c r="R10" s="260"/>
      <c r="S10" s="260"/>
      <c r="T10" s="260">
        <v>2471549</v>
      </c>
      <c r="U10" s="260">
        <v>559526</v>
      </c>
      <c r="V10" s="260">
        <v>1347756</v>
      </c>
      <c r="W10" s="208"/>
      <c r="X10" s="208">
        <f t="shared" si="0"/>
        <v>86680249</v>
      </c>
      <c r="Y10" s="208"/>
      <c r="Z10" s="180">
        <v>60952</v>
      </c>
      <c r="AC10" s="300">
        <v>86680249</v>
      </c>
      <c r="AD10" s="257">
        <f t="shared" si="1"/>
        <v>0</v>
      </c>
    </row>
    <row r="11" spans="1:30" ht="13.5" x14ac:dyDescent="0.25">
      <c r="A11" s="197">
        <v>2760</v>
      </c>
      <c r="B11" s="163">
        <v>530</v>
      </c>
      <c r="C11" s="198" t="s">
        <v>114</v>
      </c>
      <c r="E11" s="260"/>
      <c r="F11" s="260">
        <v>4486617</v>
      </c>
      <c r="G11" s="260">
        <v>13552939</v>
      </c>
      <c r="H11" s="260"/>
      <c r="I11" s="260">
        <v>4139940</v>
      </c>
      <c r="J11" s="261">
        <v>486390</v>
      </c>
      <c r="K11" s="260"/>
      <c r="L11" s="260">
        <v>15034794</v>
      </c>
      <c r="M11" s="260">
        <v>-19077</v>
      </c>
      <c r="N11" s="260"/>
      <c r="O11" s="260">
        <v>0</v>
      </c>
      <c r="P11" s="260"/>
      <c r="Q11" s="260">
        <v>1230407</v>
      </c>
      <c r="R11" s="260"/>
      <c r="S11" s="260"/>
      <c r="T11" s="260">
        <v>1546906</v>
      </c>
      <c r="U11" s="260">
        <v>27263</v>
      </c>
      <c r="V11" s="260">
        <v>-409185</v>
      </c>
      <c r="W11" s="208"/>
      <c r="X11" s="208">
        <f t="shared" si="0"/>
        <v>40076994</v>
      </c>
      <c r="Y11" s="208"/>
      <c r="Z11" s="180">
        <v>35942</v>
      </c>
      <c r="AC11" s="300">
        <v>40076994</v>
      </c>
      <c r="AD11" s="257">
        <f t="shared" si="1"/>
        <v>0</v>
      </c>
    </row>
    <row r="12" spans="1:30" ht="13.5" x14ac:dyDescent="0.25">
      <c r="A12" s="197">
        <v>2310</v>
      </c>
      <c r="B12" s="163">
        <v>540</v>
      </c>
      <c r="C12" s="198" t="s">
        <v>116</v>
      </c>
      <c r="E12" s="260"/>
      <c r="F12" s="260">
        <v>0</v>
      </c>
      <c r="G12" s="260">
        <v>0</v>
      </c>
      <c r="H12" s="260"/>
      <c r="I12" s="260">
        <v>0</v>
      </c>
      <c r="J12" s="261">
        <v>214914</v>
      </c>
      <c r="K12" s="260"/>
      <c r="L12" s="260">
        <v>0</v>
      </c>
      <c r="M12" s="260">
        <v>595362</v>
      </c>
      <c r="N12" s="260"/>
      <c r="O12" s="260">
        <v>0</v>
      </c>
      <c r="P12" s="260"/>
      <c r="Q12" s="260">
        <v>0</v>
      </c>
      <c r="R12" s="260"/>
      <c r="S12" s="260"/>
      <c r="T12" s="260">
        <v>0</v>
      </c>
      <c r="U12" s="260">
        <v>0</v>
      </c>
      <c r="V12" s="260">
        <v>0</v>
      </c>
      <c r="W12" s="208"/>
      <c r="X12" s="208">
        <f t="shared" si="0"/>
        <v>810276</v>
      </c>
      <c r="Y12" s="208"/>
      <c r="Z12" s="180">
        <v>4926</v>
      </c>
      <c r="AC12" s="300">
        <v>810276</v>
      </c>
      <c r="AD12" s="257">
        <f t="shared" si="1"/>
        <v>0</v>
      </c>
    </row>
    <row r="13" spans="1:30" ht="13.5" x14ac:dyDescent="0.25">
      <c r="A13" s="197">
        <v>2420</v>
      </c>
      <c r="B13" s="163">
        <v>550</v>
      </c>
      <c r="C13" s="198" t="s">
        <v>293</v>
      </c>
      <c r="E13" s="260"/>
      <c r="F13" s="260">
        <v>0</v>
      </c>
      <c r="G13" s="260">
        <v>0</v>
      </c>
      <c r="H13" s="260"/>
      <c r="I13" s="260">
        <v>0</v>
      </c>
      <c r="J13" s="261">
        <v>206969</v>
      </c>
      <c r="K13" s="260"/>
      <c r="L13" s="260">
        <v>0</v>
      </c>
      <c r="M13" s="260">
        <v>24434394</v>
      </c>
      <c r="N13" s="260"/>
      <c r="O13" s="260">
        <v>0</v>
      </c>
      <c r="P13" s="260"/>
      <c r="Q13" s="260">
        <v>1730207</v>
      </c>
      <c r="R13" s="260"/>
      <c r="S13" s="260"/>
      <c r="T13" s="260">
        <v>24996</v>
      </c>
      <c r="U13" s="260">
        <v>0</v>
      </c>
      <c r="V13" s="260">
        <v>0</v>
      </c>
      <c r="W13" s="208"/>
      <c r="X13" s="208">
        <f t="shared" si="0"/>
        <v>26396566</v>
      </c>
      <c r="Y13" s="208"/>
      <c r="Z13" s="204">
        <v>21735</v>
      </c>
      <c r="AC13" s="300">
        <v>26396566</v>
      </c>
      <c r="AD13" s="257">
        <f t="shared" si="1"/>
        <v>0</v>
      </c>
    </row>
    <row r="14" spans="1:30" ht="13.5" x14ac:dyDescent="0.25">
      <c r="A14" s="197">
        <v>2740</v>
      </c>
      <c r="B14" s="163">
        <v>555</v>
      </c>
      <c r="C14" s="198" t="s">
        <v>118</v>
      </c>
      <c r="E14" s="260"/>
      <c r="F14" s="260">
        <v>0</v>
      </c>
      <c r="G14" s="260">
        <v>253668</v>
      </c>
      <c r="H14" s="260"/>
      <c r="I14" s="260">
        <v>0</v>
      </c>
      <c r="J14" s="260">
        <v>0</v>
      </c>
      <c r="K14" s="260"/>
      <c r="L14" s="260">
        <v>0</v>
      </c>
      <c r="M14" s="260">
        <v>0</v>
      </c>
      <c r="N14" s="260"/>
      <c r="O14" s="260">
        <v>0</v>
      </c>
      <c r="P14" s="260"/>
      <c r="Q14" s="260">
        <v>0</v>
      </c>
      <c r="R14" s="260"/>
      <c r="S14" s="260"/>
      <c r="T14" s="260">
        <v>0</v>
      </c>
      <c r="U14" s="260">
        <v>0</v>
      </c>
      <c r="V14" s="260">
        <v>0</v>
      </c>
      <c r="W14" s="208"/>
      <c r="X14" s="208">
        <f t="shared" si="0"/>
        <v>253668</v>
      </c>
      <c r="Y14" s="208"/>
      <c r="Z14" s="204">
        <v>7</v>
      </c>
      <c r="AC14" s="300">
        <v>253668</v>
      </c>
      <c r="AD14" s="257">
        <f t="shared" si="1"/>
        <v>0</v>
      </c>
    </row>
    <row r="15" spans="1:30" ht="13.5" hidden="1" x14ac:dyDescent="0.25">
      <c r="A15" s="197">
        <v>2750</v>
      </c>
      <c r="B15" s="163"/>
      <c r="C15" s="198" t="s">
        <v>452</v>
      </c>
      <c r="E15" s="260"/>
      <c r="F15" s="260"/>
      <c r="G15" s="260"/>
      <c r="H15" s="260"/>
      <c r="I15" s="260"/>
      <c r="J15" s="260"/>
      <c r="K15" s="260"/>
      <c r="L15" s="260"/>
      <c r="M15" s="260">
        <v>0</v>
      </c>
      <c r="N15" s="260"/>
      <c r="O15" s="260"/>
      <c r="P15" s="260"/>
      <c r="Q15" s="260"/>
      <c r="R15" s="260"/>
      <c r="S15" s="260"/>
      <c r="T15" s="260"/>
      <c r="U15" s="260">
        <v>0</v>
      </c>
      <c r="V15" s="260"/>
      <c r="W15" s="208"/>
      <c r="X15" s="208">
        <f t="shared" si="0"/>
        <v>0</v>
      </c>
      <c r="Y15" s="208"/>
      <c r="Z15" s="180">
        <v>0</v>
      </c>
      <c r="AC15" s="300"/>
      <c r="AD15" s="257">
        <f t="shared" si="1"/>
        <v>0</v>
      </c>
    </row>
    <row r="16" spans="1:30" ht="13.5" hidden="1" x14ac:dyDescent="0.25">
      <c r="A16" s="197">
        <v>2810</v>
      </c>
      <c r="B16" s="163"/>
      <c r="C16" s="198" t="s">
        <v>453</v>
      </c>
      <c r="E16" s="260"/>
      <c r="F16" s="260"/>
      <c r="G16" s="260"/>
      <c r="H16" s="260"/>
      <c r="I16" s="260"/>
      <c r="J16" s="260"/>
      <c r="K16" s="260"/>
      <c r="L16" s="260"/>
      <c r="M16" s="260">
        <v>0</v>
      </c>
      <c r="N16" s="260"/>
      <c r="O16" s="260"/>
      <c r="P16" s="260"/>
      <c r="Q16" s="260"/>
      <c r="R16" s="260"/>
      <c r="S16" s="260"/>
      <c r="T16" s="260"/>
      <c r="U16" s="260"/>
      <c r="V16" s="260"/>
      <c r="W16" s="208"/>
      <c r="X16" s="208">
        <f t="shared" si="0"/>
        <v>0</v>
      </c>
      <c r="Y16" s="208"/>
      <c r="Z16" s="180">
        <v>0</v>
      </c>
      <c r="AC16" s="300"/>
      <c r="AD16" s="257">
        <f t="shared" si="1"/>
        <v>0</v>
      </c>
    </row>
    <row r="17" spans="1:30" ht="13.5" x14ac:dyDescent="0.25">
      <c r="A17" s="197">
        <v>2800</v>
      </c>
      <c r="B17" s="163">
        <v>560</v>
      </c>
      <c r="C17" s="198" t="s">
        <v>431</v>
      </c>
      <c r="E17" s="260"/>
      <c r="F17" s="260">
        <v>1973053</v>
      </c>
      <c r="G17" s="260">
        <v>10723807</v>
      </c>
      <c r="H17" s="260"/>
      <c r="I17" s="260">
        <v>923999</v>
      </c>
      <c r="J17" s="260">
        <v>216082</v>
      </c>
      <c r="K17" s="260"/>
      <c r="L17" s="260">
        <v>1631707</v>
      </c>
      <c r="M17" s="260">
        <v>3348592</v>
      </c>
      <c r="N17" s="260"/>
      <c r="O17" s="260">
        <v>0</v>
      </c>
      <c r="P17" s="260"/>
      <c r="Q17" s="260">
        <v>1155000</v>
      </c>
      <c r="R17" s="260"/>
      <c r="S17" s="260"/>
      <c r="T17" s="260">
        <v>1324850</v>
      </c>
      <c r="U17" s="260">
        <v>202613</v>
      </c>
      <c r="V17" s="260">
        <v>315780</v>
      </c>
      <c r="W17" s="208"/>
      <c r="X17" s="208">
        <f t="shared" si="0"/>
        <v>21815483</v>
      </c>
      <c r="Y17" s="208"/>
      <c r="Z17" s="180">
        <v>23242</v>
      </c>
      <c r="AA17" s="199">
        <v>-2</v>
      </c>
      <c r="AB17" s="200" t="s">
        <v>454</v>
      </c>
      <c r="AC17" s="300">
        <v>21815483</v>
      </c>
      <c r="AD17" s="257">
        <f t="shared" si="1"/>
        <v>0</v>
      </c>
    </row>
    <row r="18" spans="1:30" x14ac:dyDescent="0.2">
      <c r="B18" s="163"/>
      <c r="C18" s="173" t="s">
        <v>120</v>
      </c>
      <c r="E18" s="262"/>
      <c r="F18" s="262">
        <f>SUM(F7:F17)</f>
        <v>108694718</v>
      </c>
      <c r="G18" s="262">
        <f t="shared" ref="G18:W18" si="2">SUM(G7:G17)</f>
        <v>71689754</v>
      </c>
      <c r="H18" s="262">
        <f t="shared" si="2"/>
        <v>0</v>
      </c>
      <c r="I18" s="262">
        <f t="shared" si="2"/>
        <v>32484313</v>
      </c>
      <c r="J18" s="262">
        <f t="shared" si="2"/>
        <v>8504011</v>
      </c>
      <c r="K18" s="262">
        <f t="shared" si="2"/>
        <v>0</v>
      </c>
      <c r="L18" s="262">
        <f t="shared" si="2"/>
        <v>30135413</v>
      </c>
      <c r="M18" s="262">
        <f t="shared" si="2"/>
        <v>36722394</v>
      </c>
      <c r="N18" s="262">
        <f t="shared" si="2"/>
        <v>0</v>
      </c>
      <c r="O18" s="262">
        <f t="shared" si="2"/>
        <v>0</v>
      </c>
      <c r="P18" s="262">
        <f t="shared" si="2"/>
        <v>0</v>
      </c>
      <c r="Q18" s="262">
        <f t="shared" si="2"/>
        <v>8848586</v>
      </c>
      <c r="R18" s="262">
        <f t="shared" si="2"/>
        <v>0</v>
      </c>
      <c r="S18" s="262">
        <f t="shared" si="2"/>
        <v>0</v>
      </c>
      <c r="T18" s="262">
        <f t="shared" si="2"/>
        <v>20033839</v>
      </c>
      <c r="U18" s="262">
        <f t="shared" si="2"/>
        <v>6715383</v>
      </c>
      <c r="V18" s="262">
        <f t="shared" si="2"/>
        <v>9110733</v>
      </c>
      <c r="W18" s="209">
        <f t="shared" si="2"/>
        <v>0</v>
      </c>
      <c r="X18" s="209">
        <f t="shared" si="0"/>
        <v>332939144</v>
      </c>
      <c r="Y18" s="209"/>
      <c r="Z18" s="209">
        <v>255501</v>
      </c>
      <c r="AC18" s="300">
        <f>SUM(AC7:AC17)</f>
        <v>332939144</v>
      </c>
      <c r="AD18" s="257">
        <f t="shared" si="1"/>
        <v>0</v>
      </c>
    </row>
    <row r="19" spans="1:30" x14ac:dyDescent="0.2">
      <c r="B19" s="121"/>
      <c r="E19" s="260"/>
      <c r="F19" s="260"/>
      <c r="G19" s="260"/>
      <c r="H19" s="260"/>
      <c r="I19" s="260"/>
      <c r="J19" s="260"/>
      <c r="K19" s="260"/>
      <c r="L19" s="260"/>
      <c r="M19" s="260"/>
      <c r="N19" s="260"/>
      <c r="O19" s="260"/>
      <c r="P19" s="260"/>
      <c r="Q19" s="260"/>
      <c r="R19" s="260"/>
      <c r="S19" s="260"/>
      <c r="T19" s="260"/>
      <c r="U19" s="260"/>
      <c r="V19" s="260"/>
      <c r="W19" s="258"/>
      <c r="X19" s="258"/>
      <c r="Y19" s="208"/>
      <c r="Z19" s="208"/>
      <c r="AC19" s="300"/>
      <c r="AD19" s="257">
        <f t="shared" si="1"/>
        <v>0</v>
      </c>
    </row>
    <row r="20" spans="1:30" x14ac:dyDescent="0.2">
      <c r="B20" s="121"/>
      <c r="C20" s="162" t="s">
        <v>295</v>
      </c>
      <c r="E20" s="260"/>
      <c r="F20" s="260"/>
      <c r="G20" s="260"/>
      <c r="H20" s="260"/>
      <c r="I20" s="260"/>
      <c r="J20" s="260"/>
      <c r="K20" s="260"/>
      <c r="L20" s="260"/>
      <c r="M20" s="260"/>
      <c r="N20" s="260"/>
      <c r="O20" s="260"/>
      <c r="P20" s="260"/>
      <c r="Q20" s="260"/>
      <c r="R20" s="260"/>
      <c r="S20" s="260"/>
      <c r="T20" s="260"/>
      <c r="U20" s="260"/>
      <c r="V20" s="260"/>
      <c r="W20" s="208"/>
      <c r="X20" s="208"/>
      <c r="Y20" s="208"/>
      <c r="Z20" s="208"/>
      <c r="AC20" s="300"/>
      <c r="AD20" s="257">
        <f t="shared" si="1"/>
        <v>0</v>
      </c>
    </row>
    <row r="21" spans="1:30" ht="14.25" x14ac:dyDescent="0.25">
      <c r="A21" s="197">
        <v>2594</v>
      </c>
      <c r="B21" s="201">
        <v>604</v>
      </c>
      <c r="C21" s="202" t="s">
        <v>455</v>
      </c>
      <c r="D21" s="202"/>
      <c r="E21" s="263"/>
      <c r="F21" s="263">
        <v>0</v>
      </c>
      <c r="G21" s="263">
        <v>2585530</v>
      </c>
      <c r="H21" s="263"/>
      <c r="I21" s="263">
        <v>0</v>
      </c>
      <c r="J21" s="263">
        <v>0</v>
      </c>
      <c r="K21" s="263"/>
      <c r="L21" s="263">
        <v>0</v>
      </c>
      <c r="M21" s="263">
        <v>2372176</v>
      </c>
      <c r="N21" s="263"/>
      <c r="O21" s="263">
        <v>0</v>
      </c>
      <c r="P21" s="263"/>
      <c r="Q21" s="263">
        <v>956569</v>
      </c>
      <c r="R21" s="263"/>
      <c r="S21" s="263"/>
      <c r="T21" s="263">
        <v>1641596</v>
      </c>
      <c r="U21" s="263">
        <v>3043973</v>
      </c>
      <c r="V21" s="263">
        <v>0</v>
      </c>
      <c r="W21" s="205"/>
      <c r="X21" s="205">
        <f t="shared" si="0"/>
        <v>10599844</v>
      </c>
      <c r="Y21" s="205"/>
      <c r="Z21" s="192">
        <v>8711</v>
      </c>
      <c r="AA21" s="168" t="s">
        <v>448</v>
      </c>
      <c r="AC21" s="300">
        <v>10599844</v>
      </c>
      <c r="AD21" s="257">
        <f t="shared" si="1"/>
        <v>0</v>
      </c>
    </row>
    <row r="22" spans="1:30" ht="15" x14ac:dyDescent="0.25">
      <c r="A22" s="197">
        <v>2595</v>
      </c>
      <c r="B22" s="201">
        <v>600</v>
      </c>
      <c r="C22" s="203" t="s">
        <v>433</v>
      </c>
      <c r="D22" s="202"/>
      <c r="E22" s="263"/>
      <c r="F22" s="263">
        <v>72911045</v>
      </c>
      <c r="G22" s="263">
        <v>44140507</v>
      </c>
      <c r="H22" s="263"/>
      <c r="I22" s="263">
        <v>15410606</v>
      </c>
      <c r="J22" s="263">
        <v>3910331</v>
      </c>
      <c r="K22" s="263"/>
      <c r="L22" s="263">
        <v>0</v>
      </c>
      <c r="M22" s="263">
        <v>0</v>
      </c>
      <c r="N22" s="263"/>
      <c r="O22" s="263">
        <v>0</v>
      </c>
      <c r="P22" s="263"/>
      <c r="Q22" s="263">
        <v>539078</v>
      </c>
      <c r="R22" s="263"/>
      <c r="S22" s="263"/>
      <c r="T22" s="263">
        <v>1939393</v>
      </c>
      <c r="U22" s="263">
        <v>0</v>
      </c>
      <c r="V22" s="263">
        <v>4356630</v>
      </c>
      <c r="W22" s="205"/>
      <c r="X22" s="205">
        <f t="shared" si="0"/>
        <v>143207590</v>
      </c>
      <c r="Y22" s="205"/>
      <c r="Z22" s="192">
        <v>109755</v>
      </c>
      <c r="AA22" s="168" t="s">
        <v>448</v>
      </c>
      <c r="AC22" s="300">
        <v>143207590</v>
      </c>
      <c r="AD22" s="257">
        <f t="shared" si="1"/>
        <v>0</v>
      </c>
    </row>
    <row r="23" spans="1:30" ht="15" x14ac:dyDescent="0.25">
      <c r="A23" s="197">
        <v>2596</v>
      </c>
      <c r="B23" s="201">
        <v>602</v>
      </c>
      <c r="C23" s="203" t="s">
        <v>434</v>
      </c>
      <c r="D23" s="202"/>
      <c r="E23" s="263"/>
      <c r="F23" s="263">
        <v>0</v>
      </c>
      <c r="G23" s="263">
        <v>2704459</v>
      </c>
      <c r="H23" s="263"/>
      <c r="I23" s="263">
        <v>362240</v>
      </c>
      <c r="J23" s="263">
        <v>403097</v>
      </c>
      <c r="K23" s="263"/>
      <c r="L23" s="263">
        <v>0</v>
      </c>
      <c r="M23" s="263">
        <v>0</v>
      </c>
      <c r="N23" s="263"/>
      <c r="O23" s="263">
        <v>0</v>
      </c>
      <c r="P23" s="263"/>
      <c r="Q23" s="263">
        <v>0</v>
      </c>
      <c r="R23" s="263"/>
      <c r="S23" s="263"/>
      <c r="T23" s="263">
        <v>0</v>
      </c>
      <c r="U23" s="263">
        <v>2673008</v>
      </c>
      <c r="V23" s="263">
        <v>0</v>
      </c>
      <c r="W23" s="205"/>
      <c r="X23" s="205">
        <f t="shared" si="0"/>
        <v>6142804</v>
      </c>
      <c r="Y23" s="205"/>
      <c r="Z23" s="192">
        <v>21338</v>
      </c>
      <c r="AA23" s="168" t="s">
        <v>448</v>
      </c>
      <c r="AC23" s="300">
        <v>6142804</v>
      </c>
      <c r="AD23" s="257">
        <f t="shared" si="1"/>
        <v>0</v>
      </c>
    </row>
    <row r="24" spans="1:30" ht="13.5" x14ac:dyDescent="0.25">
      <c r="A24" s="197">
        <v>2630</v>
      </c>
      <c r="B24" s="163">
        <v>610</v>
      </c>
      <c r="C24" s="174" t="s">
        <v>302</v>
      </c>
      <c r="E24" s="264"/>
      <c r="F24" s="264">
        <v>32087946</v>
      </c>
      <c r="G24" s="264">
        <v>12567655</v>
      </c>
      <c r="H24" s="264"/>
      <c r="I24" s="264">
        <v>10717717</v>
      </c>
      <c r="J24" s="264">
        <v>3244462</v>
      </c>
      <c r="K24" s="264"/>
      <c r="L24" s="264">
        <v>13496178</v>
      </c>
      <c r="M24" s="265">
        <v>29228412</v>
      </c>
      <c r="N24" s="264"/>
      <c r="O24" s="264">
        <v>0</v>
      </c>
      <c r="P24" s="264"/>
      <c r="Q24" s="264">
        <v>6418457</v>
      </c>
      <c r="R24" s="264"/>
      <c r="S24" s="264"/>
      <c r="T24" s="264">
        <v>9624408</v>
      </c>
      <c r="U24" s="264">
        <v>719540</v>
      </c>
      <c r="V24" s="264">
        <v>8423554</v>
      </c>
      <c r="W24" s="210"/>
      <c r="X24" s="210">
        <f t="shared" si="0"/>
        <v>126528329</v>
      </c>
      <c r="Y24" s="210"/>
      <c r="Z24" s="185">
        <v>74445</v>
      </c>
      <c r="AC24" s="300">
        <v>126528329</v>
      </c>
      <c r="AD24" s="257">
        <f t="shared" si="1"/>
        <v>0</v>
      </c>
    </row>
    <row r="25" spans="1:30" x14ac:dyDescent="0.2">
      <c r="B25" s="121"/>
      <c r="C25" s="173" t="s">
        <v>124</v>
      </c>
      <c r="E25" s="264"/>
      <c r="F25" s="264">
        <f>SUM(F21:F24)</f>
        <v>104998991</v>
      </c>
      <c r="G25" s="264">
        <f>SUM(G21:G24)</f>
        <v>61998151</v>
      </c>
      <c r="H25" s="264"/>
      <c r="I25" s="264">
        <f>SUM(I21:I24)</f>
        <v>26490563</v>
      </c>
      <c r="J25" s="264">
        <f>SUM(J21:J24)</f>
        <v>7557890</v>
      </c>
      <c r="K25" s="264"/>
      <c r="L25" s="264">
        <f>SUM(L21:L24)</f>
        <v>13496178</v>
      </c>
      <c r="M25" s="264">
        <f>SUM(M21:M24)</f>
        <v>31600588</v>
      </c>
      <c r="N25" s="264"/>
      <c r="O25" s="264">
        <f>SUM(O21:O24)</f>
        <v>0</v>
      </c>
      <c r="P25" s="264"/>
      <c r="Q25" s="264">
        <f>SUM(Q21:Q24)</f>
        <v>7914104</v>
      </c>
      <c r="R25" s="264"/>
      <c r="S25" s="264"/>
      <c r="T25" s="264">
        <f>SUM(T21:T24)</f>
        <v>13205397</v>
      </c>
      <c r="U25" s="264">
        <f>SUM(U21:U24)</f>
        <v>6436521</v>
      </c>
      <c r="V25" s="264">
        <f>SUM(V21:V24)</f>
        <v>12780184</v>
      </c>
      <c r="W25" s="210">
        <v>0</v>
      </c>
      <c r="X25" s="210">
        <f t="shared" si="0"/>
        <v>286478567</v>
      </c>
      <c r="Y25" s="208"/>
      <c r="Z25" s="210">
        <v>214249</v>
      </c>
      <c r="AC25" s="300">
        <v>286478567</v>
      </c>
      <c r="AD25" s="257">
        <f t="shared" si="1"/>
        <v>0</v>
      </c>
    </row>
    <row r="26" spans="1:30" x14ac:dyDescent="0.2">
      <c r="E26" s="260"/>
      <c r="F26" s="260"/>
      <c r="G26" s="260"/>
      <c r="H26" s="260"/>
      <c r="I26" s="260"/>
      <c r="J26" s="260"/>
      <c r="K26" s="260"/>
      <c r="L26" s="260"/>
      <c r="M26" s="260"/>
      <c r="N26" s="260"/>
      <c r="O26" s="260"/>
      <c r="P26" s="260"/>
      <c r="Q26" s="260"/>
      <c r="R26" s="260"/>
      <c r="S26" s="260"/>
      <c r="T26" s="260"/>
      <c r="U26" s="260"/>
      <c r="V26" s="260"/>
      <c r="W26" s="208"/>
      <c r="X26" s="208"/>
      <c r="Y26" s="208"/>
      <c r="Z26" s="208"/>
      <c r="AC26" s="300"/>
      <c r="AD26" s="257">
        <f t="shared" si="1"/>
        <v>0</v>
      </c>
    </row>
    <row r="27" spans="1:30" x14ac:dyDescent="0.2">
      <c r="C27" s="198" t="s">
        <v>303</v>
      </c>
      <c r="E27" s="260"/>
      <c r="F27" s="260">
        <f>+F18-F25</f>
        <v>3695727</v>
      </c>
      <c r="G27" s="260">
        <f>+G18-G25</f>
        <v>9691603</v>
      </c>
      <c r="H27" s="260"/>
      <c r="I27" s="260">
        <f>+I18-I25</f>
        <v>5993750</v>
      </c>
      <c r="J27" s="260">
        <f>+J18-J25</f>
        <v>946121</v>
      </c>
      <c r="K27" s="260"/>
      <c r="L27" s="260">
        <f>+L18-L25</f>
        <v>16639235</v>
      </c>
      <c r="M27" s="260">
        <f>+M18-M25</f>
        <v>5121806</v>
      </c>
      <c r="N27" s="260"/>
      <c r="O27" s="260">
        <v>0</v>
      </c>
      <c r="P27" s="260"/>
      <c r="Q27" s="260">
        <f>+Q18-Q25</f>
        <v>934482</v>
      </c>
      <c r="R27" s="260"/>
      <c r="S27" s="260"/>
      <c r="T27" s="260">
        <f>+T18-T25</f>
        <v>6828442</v>
      </c>
      <c r="U27" s="260">
        <f>+U18-U25</f>
        <v>278862</v>
      </c>
      <c r="V27" s="260">
        <f>+V18-V25</f>
        <v>-3669451</v>
      </c>
      <c r="W27" s="208"/>
      <c r="X27" s="208">
        <f t="shared" si="0"/>
        <v>46460577</v>
      </c>
      <c r="Y27" s="208"/>
      <c r="Z27" s="208">
        <v>41252</v>
      </c>
      <c r="AC27" s="300">
        <v>46460577</v>
      </c>
      <c r="AD27" s="257">
        <f t="shared" si="1"/>
        <v>0</v>
      </c>
    </row>
    <row r="28" spans="1:30" ht="13.5" x14ac:dyDescent="0.25">
      <c r="C28" s="174"/>
      <c r="E28" s="260"/>
      <c r="F28" s="154"/>
      <c r="G28" s="260"/>
      <c r="H28" s="260">
        <v>0</v>
      </c>
      <c r="I28" s="260"/>
      <c r="J28" s="260"/>
      <c r="K28" s="260"/>
      <c r="L28" s="260"/>
      <c r="M28" s="260"/>
      <c r="N28" s="260"/>
      <c r="O28" s="260">
        <v>0</v>
      </c>
      <c r="P28" s="260"/>
      <c r="Q28" s="260"/>
      <c r="R28" s="260"/>
      <c r="S28" s="260"/>
      <c r="T28" s="260"/>
      <c r="U28" s="260"/>
      <c r="V28" s="260"/>
      <c r="W28" s="208"/>
      <c r="X28" s="208">
        <f t="shared" si="0"/>
        <v>0</v>
      </c>
      <c r="Y28" s="208"/>
      <c r="Z28" s="180">
        <v>0</v>
      </c>
      <c r="AC28" s="300"/>
      <c r="AD28" s="257">
        <f t="shared" si="1"/>
        <v>0</v>
      </c>
    </row>
    <row r="29" spans="1:30" x14ac:dyDescent="0.2">
      <c r="A29" s="197">
        <v>2980</v>
      </c>
      <c r="C29" s="174" t="s">
        <v>304</v>
      </c>
      <c r="E29" s="260"/>
      <c r="F29" s="260">
        <v>1483921907</v>
      </c>
      <c r="G29" s="260">
        <v>915928566</v>
      </c>
      <c r="H29" s="260"/>
      <c r="I29" s="260">
        <v>257872771</v>
      </c>
      <c r="J29" s="260">
        <v>56588603</v>
      </c>
      <c r="K29" s="260"/>
      <c r="L29" s="260">
        <v>187172696</v>
      </c>
      <c r="M29" s="260">
        <v>44455728</v>
      </c>
      <c r="N29" s="260"/>
      <c r="O29" s="260">
        <v>0</v>
      </c>
      <c r="P29" s="260"/>
      <c r="Q29" s="260">
        <v>66417223</v>
      </c>
      <c r="R29" s="260"/>
      <c r="S29" s="260"/>
      <c r="T29" s="260">
        <v>41355225</v>
      </c>
      <c r="U29" s="260">
        <v>99120894</v>
      </c>
      <c r="V29" s="260">
        <v>45039548</v>
      </c>
      <c r="W29" s="208">
        <v>-158131248</v>
      </c>
      <c r="X29" s="208">
        <f t="shared" si="0"/>
        <v>3197873161</v>
      </c>
      <c r="Y29" s="208"/>
      <c r="Z29" s="206">
        <v>2226719</v>
      </c>
      <c r="AC29" s="300">
        <v>3197873161</v>
      </c>
      <c r="AD29" s="257">
        <f t="shared" si="1"/>
        <v>0</v>
      </c>
    </row>
    <row r="30" spans="1:30" x14ac:dyDescent="0.2">
      <c r="A30" s="197">
        <v>2990</v>
      </c>
      <c r="C30" s="174" t="s">
        <v>127</v>
      </c>
      <c r="E30" s="260"/>
      <c r="F30" s="260">
        <v>-151022</v>
      </c>
      <c r="G30" s="260">
        <v>0</v>
      </c>
      <c r="H30" s="260"/>
      <c r="I30" s="260">
        <v>-3683815</v>
      </c>
      <c r="J30" s="260">
        <v>0</v>
      </c>
      <c r="K30" s="260"/>
      <c r="L30" s="260">
        <v>0</v>
      </c>
      <c r="M30" s="260">
        <v>7624670</v>
      </c>
      <c r="N30" s="260"/>
      <c r="O30" s="260">
        <v>0</v>
      </c>
      <c r="P30" s="260"/>
      <c r="Q30" s="260">
        <v>-124652</v>
      </c>
      <c r="R30" s="260"/>
      <c r="S30" s="260"/>
      <c r="T30" s="260">
        <v>0</v>
      </c>
      <c r="U30" s="260">
        <v>-97877</v>
      </c>
      <c r="V30" s="260">
        <v>0</v>
      </c>
      <c r="W30" s="210">
        <v>158131248</v>
      </c>
      <c r="X30" s="208">
        <f t="shared" si="0"/>
        <v>3567304</v>
      </c>
      <c r="Y30" s="208"/>
      <c r="Z30" s="206">
        <v>0</v>
      </c>
      <c r="AC30" s="300">
        <v>3567304</v>
      </c>
      <c r="AD30" s="257">
        <f t="shared" si="1"/>
        <v>0</v>
      </c>
    </row>
    <row r="31" spans="1:30" ht="13.5" thickBot="1" x14ac:dyDescent="0.25">
      <c r="A31" s="197">
        <v>3000</v>
      </c>
      <c r="C31" s="174" t="s">
        <v>306</v>
      </c>
      <c r="E31" s="266"/>
      <c r="F31" s="266">
        <f>SUM(F27:F30)</f>
        <v>1487466612</v>
      </c>
      <c r="G31" s="266">
        <f>SUM(G27:G30)</f>
        <v>925620169</v>
      </c>
      <c r="H31" s="266">
        <f t="shared" ref="H31:V31" si="3">SUM(H27:H30)</f>
        <v>0</v>
      </c>
      <c r="I31" s="266">
        <f t="shared" si="3"/>
        <v>260182706</v>
      </c>
      <c r="J31" s="266">
        <f t="shared" si="3"/>
        <v>57534724</v>
      </c>
      <c r="K31" s="266">
        <f t="shared" si="3"/>
        <v>0</v>
      </c>
      <c r="L31" s="266">
        <f t="shared" si="3"/>
        <v>203811931</v>
      </c>
      <c r="M31" s="266">
        <f t="shared" si="3"/>
        <v>57202204</v>
      </c>
      <c r="N31" s="266">
        <f t="shared" si="3"/>
        <v>0</v>
      </c>
      <c r="O31" s="266">
        <f t="shared" si="3"/>
        <v>0</v>
      </c>
      <c r="P31" s="266">
        <f t="shared" si="3"/>
        <v>0</v>
      </c>
      <c r="Q31" s="266">
        <f t="shared" si="3"/>
        <v>67227053</v>
      </c>
      <c r="R31" s="266">
        <f t="shared" si="3"/>
        <v>0</v>
      </c>
      <c r="S31" s="266">
        <f t="shared" si="3"/>
        <v>0</v>
      </c>
      <c r="T31" s="266">
        <f t="shared" si="3"/>
        <v>48183667</v>
      </c>
      <c r="U31" s="266">
        <f t="shared" si="3"/>
        <v>99301879</v>
      </c>
      <c r="V31" s="266">
        <f t="shared" si="3"/>
        <v>41370097</v>
      </c>
      <c r="W31" s="211">
        <v>0</v>
      </c>
      <c r="X31" s="211">
        <f t="shared" si="0"/>
        <v>3247901042</v>
      </c>
      <c r="Y31" s="211"/>
      <c r="Z31" s="211">
        <v>2267971</v>
      </c>
      <c r="AC31" s="300">
        <v>3247901042</v>
      </c>
      <c r="AD31" s="257">
        <f t="shared" si="1"/>
        <v>0</v>
      </c>
    </row>
    <row r="32" spans="1:30" ht="13.5" thickTop="1" x14ac:dyDescent="0.2">
      <c r="E32" s="32"/>
      <c r="F32" s="32"/>
      <c r="G32" s="32"/>
      <c r="H32" s="32"/>
      <c r="I32" s="32"/>
      <c r="J32" s="32"/>
      <c r="K32" s="32"/>
      <c r="L32" s="32"/>
      <c r="M32" s="32"/>
      <c r="N32" s="32"/>
      <c r="O32" s="32"/>
      <c r="P32" s="32"/>
      <c r="Q32" s="32"/>
      <c r="R32" s="32"/>
      <c r="S32" s="32"/>
      <c r="T32" s="32"/>
      <c r="U32" s="32"/>
      <c r="V32" s="32"/>
      <c r="W32" s="207"/>
      <c r="X32" s="207"/>
      <c r="Y32" s="207"/>
      <c r="Z32" s="207"/>
      <c r="AC32" s="300"/>
      <c r="AD32" s="257"/>
    </row>
    <row r="33" spans="3:29" x14ac:dyDescent="0.2">
      <c r="C33" s="74" t="s">
        <v>480</v>
      </c>
      <c r="E33" s="27" t="str">
        <f>IF(E31='PYExhD Data'!E41,"OK","Problem")</f>
        <v>OK</v>
      </c>
      <c r="F33" s="27" t="str">
        <f>IF(F31='PYExhD Data'!F41,"OK","Problem")</f>
        <v>OK</v>
      </c>
      <c r="G33" s="27" t="str">
        <f>IF(G31='PYExhD Data'!G41,"OK","Problem")</f>
        <v>OK</v>
      </c>
      <c r="H33" s="27" t="str">
        <f>IF(H31='PYExhD Data'!H41,"OK","Problem")</f>
        <v>OK</v>
      </c>
      <c r="I33" s="27" t="str">
        <f>IF(I31='PYExhD Data'!I41,"OK","Problem")</f>
        <v>OK</v>
      </c>
      <c r="J33" s="27" t="str">
        <f>IF(J31='PYExhD Data'!J41,"OK","Problem")</f>
        <v>OK</v>
      </c>
      <c r="K33" s="27" t="str">
        <f>IF(K31='PYExhD Data'!K41,"OK","Problem")</f>
        <v>OK</v>
      </c>
      <c r="L33" s="27" t="str">
        <f>IF(L31='PYExhD Data'!L41,"OK","Problem")</f>
        <v>OK</v>
      </c>
      <c r="M33" s="27" t="str">
        <f>IF(M31='PYExhD Data'!M41,"OK","Problem")</f>
        <v>OK</v>
      </c>
      <c r="N33" s="27" t="str">
        <f>IF(N31='PYExhD Data'!N41,"OK","Problem")</f>
        <v>OK</v>
      </c>
      <c r="O33" s="27" t="str">
        <f>IF(O31='PYExhD Data'!O41,"OK","Problem")</f>
        <v>OK</v>
      </c>
      <c r="P33" s="27" t="str">
        <f>IF(P31='PYExhD Data'!P41,"OK","Problem")</f>
        <v>OK</v>
      </c>
      <c r="Q33" s="27" t="str">
        <f>IF(Q31='PYExhD Data'!Q41,"OK","Problem")</f>
        <v>OK</v>
      </c>
      <c r="R33" s="27" t="str">
        <f>IF(R31='PYExhD Data'!R41,"OK","Problem")</f>
        <v>OK</v>
      </c>
      <c r="S33" s="27" t="str">
        <f>IF(S31='PYExhD Data'!S41,"OK","Problem")</f>
        <v>OK</v>
      </c>
      <c r="T33" s="27" t="str">
        <f>IF(T31='PYExhD Data'!T41,"OK","Problem")</f>
        <v>OK</v>
      </c>
      <c r="U33" s="27" t="str">
        <f>IF(U31='PYExhD Data'!U41,"OK","Problem")</f>
        <v>OK</v>
      </c>
      <c r="V33" s="27" t="str">
        <f>IF(V31='PYExhD Data'!V41,"OK","Problem")</f>
        <v>OK</v>
      </c>
      <c r="W33" s="75" t="str">
        <f>IF(W31='PYExhD Data'!W41,"OK","Problem")</f>
        <v>OK</v>
      </c>
      <c r="X33" s="75" t="str">
        <f>IF(X31='PYExhD Data'!X41,"OK","Problem")</f>
        <v>OK</v>
      </c>
      <c r="Y33" s="75"/>
      <c r="Z33" s="75" t="str">
        <f>IF(Z31='PYExhD Data'!AF41,"OK","Problem")</f>
        <v>OK</v>
      </c>
      <c r="AC33" s="300"/>
    </row>
    <row r="35" spans="3:29" x14ac:dyDescent="0.2">
      <c r="C35" s="74" t="s">
        <v>481</v>
      </c>
      <c r="E35" s="27" t="str">
        <f>IF(E31-'Net Assets'!$C5=0,"OK","PROBLEM")</f>
        <v>OK</v>
      </c>
      <c r="F35" s="27" t="str">
        <f>IF(F31-'Net Assets'!$C6=0,"OK","PROBLEM")</f>
        <v>OK</v>
      </c>
      <c r="G35" s="27" t="str">
        <f>IF(G31-'Net Assets'!$C7=0,"OK","PROBLEM")</f>
        <v>OK</v>
      </c>
      <c r="H35" s="27" t="str">
        <f>IF(H31-'Net Assets'!$C8=0,"OK","PROBLEM")</f>
        <v>OK</v>
      </c>
      <c r="I35" s="27" t="str">
        <f>IF(I31-'Net Assets'!$C9=0,"OK","PROBLEM")</f>
        <v>OK</v>
      </c>
      <c r="J35" s="27" t="str">
        <f>IF(J31-'Net Assets'!$C10=0,"OK","PROBLEM")</f>
        <v>OK</v>
      </c>
      <c r="K35" s="27" t="str">
        <f>IF(K31-'Net Assets'!$C11=0,"OK","PROBLEM")</f>
        <v>OK</v>
      </c>
      <c r="L35" s="27" t="str">
        <f>IF(L31-'Net Assets'!$C12=0,"OK","PROBLEM")</f>
        <v>OK</v>
      </c>
      <c r="M35" s="27" t="str">
        <f>IF(M31-'Net Assets'!$C13=0,"OK","PROBLEM")</f>
        <v>OK</v>
      </c>
      <c r="N35" s="27" t="str">
        <f>IF(N31-'Net Assets'!$C14=0,"OK","PROBLEM")</f>
        <v>OK</v>
      </c>
      <c r="O35" s="27" t="str">
        <f>IF(O31-'Net Assets'!$C15=0,"OK","PROBLEM")</f>
        <v>OK</v>
      </c>
      <c r="P35" s="27" t="str">
        <f>IF(P31-'Net Assets'!$C16=0,"OK","PROBLEM")</f>
        <v>OK</v>
      </c>
      <c r="Q35" s="27" t="str">
        <f>IF(Q31-'Net Assets'!$C17=0,"OK","PROBLEM")</f>
        <v>OK</v>
      </c>
      <c r="R35" s="27" t="str">
        <f>IF(R31-'Net Assets'!$C18=0,"OK","PROBLEM")</f>
        <v>OK</v>
      </c>
      <c r="S35" s="27" t="str">
        <f>IF(S31-'Net Assets'!$C19=0,"OK","PROBLEM")</f>
        <v>OK</v>
      </c>
      <c r="T35" s="27" t="str">
        <f>IF(T31-'Net Assets'!$C20=0,"OK","PROBLEM")</f>
        <v>OK</v>
      </c>
      <c r="U35" s="27" t="str">
        <f>IF(U31-'Net Assets'!$C21=0,"OK","PROBLEM")</f>
        <v>OK</v>
      </c>
      <c r="V35" s="27" t="str">
        <f>IF(V31-'Net Assets'!$C22=0,"OK","PROBLEM")</f>
        <v>OK</v>
      </c>
      <c r="W35" s="27" t="str">
        <f>IF(W31-'Net Assets'!$C6=0,"OK","PROBLEM")</f>
        <v>PROBLEM</v>
      </c>
      <c r="X35" s="27" t="str">
        <f>IF(X31-'Net Assets'!$C23=0,"OK","PROBLEM")</f>
        <v>OK</v>
      </c>
    </row>
    <row r="36" spans="3:29" x14ac:dyDescent="0.2">
      <c r="F36" s="257"/>
      <c r="G36" s="257"/>
      <c r="H36" s="257"/>
      <c r="I36" s="257"/>
      <c r="J36" s="257"/>
      <c r="K36" s="257"/>
      <c r="L36" s="257"/>
      <c r="M36" s="257"/>
      <c r="N36" s="257"/>
      <c r="O36" s="257"/>
      <c r="P36" s="257"/>
      <c r="Q36" s="257"/>
      <c r="R36" s="257"/>
      <c r="S36" s="257"/>
      <c r="T36" s="257"/>
      <c r="U36" s="257"/>
    </row>
  </sheetData>
  <sheetProtection algorithmName="SHA-512" hashValue="y2BwmZRScQwnZLfi7fuNPAnTgpkjt3OHOuoJutGq+I9mQ3PGZzCf6UfH19szpWeYOrVUAC0pOc1RZ7I/YnFccA==" saltValue="kKch6LZyzW/v0yMRP8mFSA==" spinCount="100000" sheet="1" autoFilter="0"/>
  <pageMargins left="0.5" right="0.25" top="0.5" bottom="0.4" header="0.5" footer="0.25"/>
  <pageSetup orientation="landscape" r:id="rId1"/>
  <ignoredErrors>
    <ignoredError sqref="X7:X18 E33:V33 X21:X33" unlockedFormula="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DDDA6-F9C4-4405-84C8-1236A3E826BD}">
  <sheetPr codeName="Sheet15"/>
  <dimension ref="A1:S128"/>
  <sheetViews>
    <sheetView workbookViewId="0">
      <selection activeCell="D56" sqref="D56"/>
    </sheetView>
  </sheetViews>
  <sheetFormatPr defaultRowHeight="12.75" x14ac:dyDescent="0.2"/>
  <cols>
    <col min="4" max="4" width="69.42578125" customWidth="1"/>
    <col min="5" max="5" width="74.140625" customWidth="1"/>
    <col min="6" max="6" width="41.42578125" customWidth="1"/>
    <col min="7" max="7" width="14.42578125" customWidth="1"/>
    <col min="10" max="10" width="33" hidden="1" customWidth="1"/>
    <col min="11" max="19" width="0" hidden="1" customWidth="1"/>
  </cols>
  <sheetData>
    <row r="1" spans="1:19" ht="23.25" x14ac:dyDescent="0.35">
      <c r="A1" s="323" t="s">
        <v>495</v>
      </c>
      <c r="J1" s="471" t="s">
        <v>698</v>
      </c>
      <c r="K1" s="472"/>
      <c r="L1" s="472"/>
      <c r="M1" s="472"/>
      <c r="N1" s="472"/>
      <c r="O1" s="472"/>
      <c r="P1" s="374"/>
      <c r="Q1" s="374"/>
      <c r="R1" s="374"/>
      <c r="S1" s="374"/>
    </row>
    <row r="2" spans="1:19" x14ac:dyDescent="0.2">
      <c r="C2" s="32"/>
      <c r="D2" s="13"/>
      <c r="E2" s="380" t="s">
        <v>700</v>
      </c>
      <c r="F2" s="381" t="s">
        <v>525</v>
      </c>
      <c r="G2" s="381" t="s">
        <v>699</v>
      </c>
      <c r="J2" s="374"/>
      <c r="K2" s="374"/>
      <c r="L2" s="374"/>
      <c r="M2" s="374"/>
      <c r="N2" s="374"/>
      <c r="O2" s="374"/>
      <c r="P2" s="374"/>
      <c r="Q2" s="374"/>
      <c r="R2" s="374"/>
      <c r="S2" s="374"/>
    </row>
    <row r="3" spans="1:19" x14ac:dyDescent="0.2">
      <c r="C3" s="13"/>
      <c r="D3" s="137" t="s">
        <v>42</v>
      </c>
      <c r="E3" s="1" t="s">
        <v>483</v>
      </c>
      <c r="F3" t="s">
        <v>495</v>
      </c>
      <c r="G3" s="154" t="s">
        <v>526</v>
      </c>
      <c r="J3" s="374"/>
      <c r="K3" s="374"/>
      <c r="L3" s="374"/>
      <c r="M3" s="374"/>
      <c r="N3" s="374"/>
      <c r="O3" s="374"/>
      <c r="P3" s="374"/>
      <c r="Q3" s="374"/>
      <c r="R3" s="374"/>
      <c r="S3" s="374"/>
    </row>
    <row r="4" spans="1:19" ht="15.75" x14ac:dyDescent="0.25">
      <c r="C4" s="33">
        <v>100</v>
      </c>
      <c r="D4" s="32" t="s">
        <v>43</v>
      </c>
      <c r="E4" t="str">
        <f t="shared" ref="E4:E6" si="0">+C4&amp;" "&amp;D4</f>
        <v>100 Cash and cash equivalents</v>
      </c>
      <c r="F4" t="s">
        <v>524</v>
      </c>
      <c r="G4" s="229">
        <v>11111000</v>
      </c>
      <c r="J4" s="375" t="s">
        <v>524</v>
      </c>
      <c r="K4" s="374"/>
      <c r="L4" s="374"/>
      <c r="M4" s="374"/>
      <c r="N4" s="374"/>
      <c r="O4" s="374"/>
      <c r="P4" s="374"/>
      <c r="Q4" s="374"/>
      <c r="R4" s="374"/>
      <c r="S4" s="374"/>
    </row>
    <row r="5" spans="1:19" ht="15.75" x14ac:dyDescent="0.25">
      <c r="C5" s="33">
        <v>130</v>
      </c>
      <c r="D5" s="32" t="s">
        <v>143</v>
      </c>
      <c r="E5" t="str">
        <f t="shared" si="0"/>
        <v>130 Restricted/endowment investments</v>
      </c>
      <c r="F5" t="s">
        <v>658</v>
      </c>
      <c r="G5" s="229">
        <v>11212500</v>
      </c>
      <c r="J5" s="375" t="s">
        <v>527</v>
      </c>
      <c r="K5" s="376" t="s">
        <v>659</v>
      </c>
      <c r="L5" s="374"/>
      <c r="M5" s="374"/>
      <c r="N5" s="374"/>
      <c r="O5" s="374"/>
      <c r="P5" s="374"/>
      <c r="Q5" s="374"/>
      <c r="R5" s="374"/>
      <c r="S5" s="374"/>
    </row>
    <row r="6" spans="1:19" ht="15.75" x14ac:dyDescent="0.25">
      <c r="C6" s="33">
        <v>105</v>
      </c>
      <c r="D6" s="32" t="s">
        <v>144</v>
      </c>
      <c r="E6" s="320" t="str">
        <f t="shared" si="0"/>
        <v>105 Other investments</v>
      </c>
      <c r="F6" s="328" t="s">
        <v>529</v>
      </c>
      <c r="G6" s="229">
        <f>VLOOKUP(C6,'Exh D'!$A$6:$L$43,12,FALSE)</f>
        <v>11210100</v>
      </c>
      <c r="J6" s="375" t="s">
        <v>528</v>
      </c>
      <c r="K6" s="375" t="s">
        <v>544</v>
      </c>
      <c r="L6" s="374"/>
      <c r="M6" s="374"/>
      <c r="N6" s="374"/>
      <c r="O6" s="374"/>
      <c r="P6" s="374"/>
      <c r="Q6" s="374"/>
      <c r="R6" s="374"/>
      <c r="S6" s="374"/>
    </row>
    <row r="7" spans="1:19" ht="15.75" x14ac:dyDescent="0.25">
      <c r="C7" s="33">
        <v>105</v>
      </c>
      <c r="D7" s="32" t="s">
        <v>46</v>
      </c>
      <c r="E7" t="str">
        <f t="shared" ref="E7:E24" si="1">+C7&amp;" "&amp;D7</f>
        <v>105 Investment in joint venture</v>
      </c>
      <c r="F7" s="328" t="s">
        <v>529</v>
      </c>
      <c r="G7" s="229">
        <f>VLOOKUP(C7,'Exh D'!$A$6:$L$43,12,FALSE)</f>
        <v>11210100</v>
      </c>
      <c r="J7" s="375" t="s">
        <v>530</v>
      </c>
      <c r="K7" s="375" t="s">
        <v>660</v>
      </c>
      <c r="L7" s="374"/>
      <c r="M7" s="374"/>
      <c r="N7" s="374"/>
      <c r="O7" s="374"/>
      <c r="P7" s="374"/>
      <c r="Q7" s="374"/>
      <c r="R7" s="374"/>
      <c r="S7" s="374"/>
    </row>
    <row r="8" spans="1:19" ht="15.75" x14ac:dyDescent="0.25">
      <c r="C8" s="33">
        <v>105</v>
      </c>
      <c r="D8" s="32" t="s">
        <v>47</v>
      </c>
      <c r="E8" t="str">
        <f t="shared" si="1"/>
        <v>105 Cash surrender value of life insurance</v>
      </c>
      <c r="F8" s="328" t="s">
        <v>529</v>
      </c>
      <c r="G8" s="229">
        <f>VLOOKUP(C8,'Exh D'!$A$6:$L$43,12,FALSE)</f>
        <v>11210100</v>
      </c>
      <c r="J8" s="375" t="s">
        <v>531</v>
      </c>
      <c r="K8" s="375" t="s">
        <v>661</v>
      </c>
      <c r="L8" s="374"/>
      <c r="M8" s="374"/>
      <c r="N8" s="374"/>
      <c r="O8" s="374"/>
      <c r="P8" s="374"/>
      <c r="Q8" s="374"/>
      <c r="R8" s="374"/>
      <c r="S8" s="374"/>
    </row>
    <row r="9" spans="1:19" ht="15.75" x14ac:dyDescent="0.25">
      <c r="C9" s="33">
        <v>105</v>
      </c>
      <c r="D9" s="32" t="s">
        <v>48</v>
      </c>
      <c r="E9" t="str">
        <f t="shared" si="1"/>
        <v>105 Assets held in charitable trusts and annuities</v>
      </c>
      <c r="F9" s="328" t="s">
        <v>529</v>
      </c>
      <c r="G9" s="229">
        <f>VLOOKUP(C9,'Exh D'!$A$6:$L$43,12,FALSE)</f>
        <v>11210100</v>
      </c>
      <c r="J9" s="375" t="s">
        <v>532</v>
      </c>
      <c r="K9" s="375" t="s">
        <v>662</v>
      </c>
      <c r="L9" s="374"/>
      <c r="M9" s="374"/>
      <c r="N9" s="374"/>
      <c r="O9" s="374"/>
      <c r="P9" s="374"/>
      <c r="Q9" s="374"/>
      <c r="R9" s="374"/>
      <c r="S9" s="374"/>
    </row>
    <row r="10" spans="1:19" ht="15.75" x14ac:dyDescent="0.25">
      <c r="C10" s="33">
        <v>105</v>
      </c>
      <c r="D10" s="32" t="s">
        <v>49</v>
      </c>
      <c r="E10" t="str">
        <f t="shared" si="1"/>
        <v>105 Security deposits</v>
      </c>
      <c r="F10" s="328" t="s">
        <v>529</v>
      </c>
      <c r="G10" s="229">
        <f>VLOOKUP(C10,'Exh D'!$A$6:$L$43,12,FALSE)</f>
        <v>11210100</v>
      </c>
      <c r="J10" s="375" t="s">
        <v>533</v>
      </c>
      <c r="K10" s="375" t="s">
        <v>663</v>
      </c>
      <c r="L10" s="374"/>
      <c r="M10" s="374"/>
      <c r="N10" s="374"/>
      <c r="O10" s="374"/>
      <c r="P10" s="374"/>
      <c r="Q10" s="374"/>
      <c r="R10" s="374"/>
      <c r="S10" s="374"/>
    </row>
    <row r="11" spans="1:19" ht="15.75" x14ac:dyDescent="0.25">
      <c r="C11" s="33">
        <v>105</v>
      </c>
      <c r="D11" s="32" t="s">
        <v>50</v>
      </c>
      <c r="E11" t="str">
        <f t="shared" si="1"/>
        <v>105 Assets held by trustee</v>
      </c>
      <c r="F11" s="328" t="s">
        <v>529</v>
      </c>
      <c r="G11" s="229">
        <f>VLOOKUP(C11,'Exh D'!$A$6:$L$43,12,FALSE)</f>
        <v>11210100</v>
      </c>
      <c r="J11" s="375" t="s">
        <v>534</v>
      </c>
      <c r="K11" s="375" t="s">
        <v>664</v>
      </c>
      <c r="L11" s="374"/>
      <c r="M11" s="374"/>
      <c r="N11" s="374"/>
      <c r="O11" s="374"/>
      <c r="P11" s="374"/>
      <c r="Q11" s="374"/>
      <c r="R11" s="374"/>
      <c r="S11" s="374"/>
    </row>
    <row r="12" spans="1:19" ht="15.75" x14ac:dyDescent="0.25">
      <c r="C12" s="33">
        <v>105</v>
      </c>
      <c r="D12" s="32" t="s">
        <v>51</v>
      </c>
      <c r="E12" t="str">
        <f t="shared" si="1"/>
        <v>105 Real estate held for resale</v>
      </c>
      <c r="F12" s="328" t="s">
        <v>529</v>
      </c>
      <c r="G12" s="229">
        <f>VLOOKUP(C12,'Exh D'!$A$6:$L$43,12,FALSE)</f>
        <v>11210100</v>
      </c>
      <c r="J12" s="375" t="s">
        <v>535</v>
      </c>
      <c r="K12" s="375" t="s">
        <v>665</v>
      </c>
      <c r="L12" s="374"/>
      <c r="M12" s="374"/>
      <c r="N12" s="374"/>
      <c r="O12" s="374"/>
      <c r="P12" s="374"/>
      <c r="Q12" s="374"/>
      <c r="R12" s="374"/>
      <c r="S12" s="374"/>
    </row>
    <row r="13" spans="1:19" ht="15.75" x14ac:dyDescent="0.25">
      <c r="C13" s="33">
        <v>110</v>
      </c>
      <c r="D13" s="32" t="s">
        <v>52</v>
      </c>
      <c r="E13" t="str">
        <f t="shared" si="1"/>
        <v>110 Receivables, net</v>
      </c>
      <c r="F13" s="328" t="s">
        <v>718</v>
      </c>
      <c r="G13" s="229">
        <f>VLOOKUP(C13,'Exh D'!$A$6:$L$43,12,FALSE)</f>
        <v>11320000</v>
      </c>
      <c r="J13" s="375" t="s">
        <v>536</v>
      </c>
      <c r="K13" s="375" t="s">
        <v>666</v>
      </c>
      <c r="L13" s="374"/>
      <c r="M13" s="374"/>
      <c r="N13" s="374"/>
      <c r="O13" s="374"/>
      <c r="P13" s="374"/>
      <c r="Q13" s="374"/>
      <c r="R13" s="374"/>
      <c r="S13" s="374"/>
    </row>
    <row r="14" spans="1:19" ht="15.75" x14ac:dyDescent="0.25">
      <c r="C14" s="33">
        <v>110</v>
      </c>
      <c r="D14" s="32" t="s">
        <v>53</v>
      </c>
      <c r="E14" t="str">
        <f t="shared" si="1"/>
        <v>110 Promises to give</v>
      </c>
      <c r="F14" s="328" t="s">
        <v>718</v>
      </c>
      <c r="G14" s="229">
        <f>VLOOKUP(C14,'Exh D'!$A$6:$L$43,12,FALSE)</f>
        <v>11320000</v>
      </c>
      <c r="J14" s="375" t="s">
        <v>537</v>
      </c>
      <c r="K14" s="375" t="s">
        <v>667</v>
      </c>
      <c r="L14" s="374"/>
      <c r="M14" s="374"/>
      <c r="N14" s="374"/>
      <c r="O14" s="374"/>
      <c r="P14" s="374"/>
      <c r="Q14" s="374"/>
      <c r="R14" s="374"/>
      <c r="S14" s="374"/>
    </row>
    <row r="15" spans="1:19" ht="15.75" x14ac:dyDescent="0.25">
      <c r="C15" s="33">
        <v>112</v>
      </c>
      <c r="D15" s="32" t="s">
        <v>242</v>
      </c>
      <c r="E15" s="353" t="str">
        <f t="shared" si="1"/>
        <v>112 Due from the University</v>
      </c>
      <c r="F15" s="354" t="s">
        <v>702</v>
      </c>
      <c r="G15" s="229">
        <f>VLOOKUP(C15,'Exh D'!$A$6:$L$43,12,FALSE)</f>
        <v>11480000</v>
      </c>
      <c r="J15" s="375" t="s">
        <v>538</v>
      </c>
      <c r="K15" s="375" t="s">
        <v>668</v>
      </c>
      <c r="L15" s="374"/>
      <c r="M15" s="374"/>
      <c r="N15" s="374"/>
      <c r="O15" s="374"/>
      <c r="P15" s="374"/>
      <c r="Q15" s="374"/>
      <c r="R15" s="374"/>
      <c r="S15" s="374"/>
    </row>
    <row r="16" spans="1:19" ht="15.75" x14ac:dyDescent="0.25">
      <c r="C16" s="33">
        <v>115</v>
      </c>
      <c r="D16" s="32" t="s">
        <v>55</v>
      </c>
      <c r="E16" t="str">
        <f t="shared" si="1"/>
        <v>115 Inventories</v>
      </c>
      <c r="F16" s="328" t="s">
        <v>540</v>
      </c>
      <c r="G16" s="229">
        <f>VLOOKUP(C16,'Exh D'!$A$6:$L$43,12,FALSE)</f>
        <v>11611000</v>
      </c>
      <c r="J16" s="375" t="s">
        <v>539</v>
      </c>
      <c r="K16" s="375" t="s">
        <v>669</v>
      </c>
      <c r="L16" s="374"/>
      <c r="M16" s="374"/>
      <c r="N16" s="374"/>
      <c r="O16" s="374"/>
      <c r="P16" s="374"/>
      <c r="Q16" s="374"/>
      <c r="R16" s="374"/>
      <c r="S16" s="374"/>
    </row>
    <row r="17" spans="3:19" ht="15.75" x14ac:dyDescent="0.25">
      <c r="C17" s="33">
        <v>120</v>
      </c>
      <c r="D17" s="32" t="s">
        <v>56</v>
      </c>
      <c r="E17" t="str">
        <f t="shared" si="1"/>
        <v>120 Prepaid expenses</v>
      </c>
      <c r="F17" s="328" t="s">
        <v>541</v>
      </c>
      <c r="G17" s="229">
        <f>VLOOKUP(C17,'Exh D'!$A$6:$L$43,12,FALSE)</f>
        <v>11910000</v>
      </c>
      <c r="J17" s="375" t="s">
        <v>540</v>
      </c>
      <c r="K17" s="375" t="s">
        <v>670</v>
      </c>
      <c r="L17" s="374"/>
      <c r="M17" s="374"/>
      <c r="N17" s="374"/>
      <c r="O17" s="374"/>
      <c r="P17" s="374"/>
      <c r="Q17" s="374"/>
      <c r="R17" s="374"/>
      <c r="S17" s="374"/>
    </row>
    <row r="18" spans="3:19" ht="15.75" x14ac:dyDescent="0.25">
      <c r="C18" s="33">
        <v>125</v>
      </c>
      <c r="D18" s="32" t="s">
        <v>57</v>
      </c>
      <c r="E18" t="str">
        <f t="shared" si="1"/>
        <v>125 Notes/loans receivable, net</v>
      </c>
      <c r="F18" s="328" t="s">
        <v>717</v>
      </c>
      <c r="G18" s="229">
        <f>VLOOKUP(C18,'Exh D'!$A$6:$L$43,12,FALSE)</f>
        <v>11510000</v>
      </c>
      <c r="J18" s="375" t="s">
        <v>541</v>
      </c>
      <c r="K18" s="375" t="s">
        <v>671</v>
      </c>
      <c r="L18" s="374"/>
      <c r="M18" s="374"/>
      <c r="N18" s="374"/>
      <c r="O18" s="374"/>
      <c r="P18" s="374"/>
      <c r="Q18" s="374"/>
      <c r="R18" s="374"/>
      <c r="S18" s="374"/>
    </row>
    <row r="19" spans="3:19" ht="15.75" x14ac:dyDescent="0.25">
      <c r="C19" s="33">
        <v>128</v>
      </c>
      <c r="D19" s="32" t="s">
        <v>692</v>
      </c>
      <c r="E19" t="str">
        <f t="shared" si="1"/>
        <v xml:space="preserve">128 Lease obligation receivable </v>
      </c>
      <c r="F19" s="328" t="s">
        <v>542</v>
      </c>
      <c r="G19" s="229" t="str">
        <f>VLOOKUP(C19,'Exh D'!$A$6:$L$43,12,FALSE)</f>
        <v>LeaseObRec</v>
      </c>
      <c r="J19" s="375" t="s">
        <v>542</v>
      </c>
      <c r="K19" s="375" t="s">
        <v>672</v>
      </c>
      <c r="L19" s="374"/>
      <c r="M19" s="374"/>
      <c r="N19" s="374"/>
      <c r="O19" s="374"/>
      <c r="P19" s="374"/>
      <c r="Q19" s="374"/>
      <c r="R19" s="374"/>
      <c r="S19" s="374"/>
    </row>
    <row r="20" spans="3:19" ht="15.75" x14ac:dyDescent="0.25">
      <c r="C20" s="33">
        <v>120</v>
      </c>
      <c r="D20" s="32" t="s">
        <v>59</v>
      </c>
      <c r="E20" t="str">
        <f t="shared" si="1"/>
        <v>120 Deferred charges</v>
      </c>
      <c r="F20" s="328" t="s">
        <v>541</v>
      </c>
      <c r="G20" s="229">
        <f>VLOOKUP(C20,'Exh D'!$A$6:$L$43,12,FALSE)</f>
        <v>11910000</v>
      </c>
      <c r="J20" s="375" t="s">
        <v>543</v>
      </c>
      <c r="K20" s="375" t="s">
        <v>673</v>
      </c>
      <c r="L20" s="374"/>
      <c r="M20" s="374"/>
      <c r="N20" s="374"/>
      <c r="O20" s="374"/>
      <c r="P20" s="374"/>
      <c r="Q20" s="374"/>
      <c r="R20" s="374"/>
      <c r="S20" s="374"/>
    </row>
    <row r="21" spans="3:19" ht="15.75" x14ac:dyDescent="0.25">
      <c r="C21" s="33">
        <v>105</v>
      </c>
      <c r="D21" s="32" t="s">
        <v>60</v>
      </c>
      <c r="E21" t="str">
        <f t="shared" si="1"/>
        <v>105 In-kind gifts</v>
      </c>
      <c r="F21" s="328" t="s">
        <v>529</v>
      </c>
      <c r="G21" s="229">
        <f>VLOOKUP(C21,'Exh D'!$A$6:$L$43,12,FALSE)</f>
        <v>11210100</v>
      </c>
      <c r="J21" s="374"/>
      <c r="K21" s="375" t="s">
        <v>674</v>
      </c>
      <c r="L21" s="374"/>
      <c r="M21" s="374"/>
      <c r="N21" s="374"/>
      <c r="O21" s="374"/>
      <c r="P21" s="374"/>
      <c r="Q21" s="374"/>
      <c r="R21" s="374"/>
      <c r="S21" s="374"/>
    </row>
    <row r="22" spans="3:19" ht="15.75" x14ac:dyDescent="0.25">
      <c r="C22" s="33">
        <v>140</v>
      </c>
      <c r="D22" s="351" t="s">
        <v>713</v>
      </c>
      <c r="E22" s="352" t="str">
        <f t="shared" si="1"/>
        <v xml:space="preserve">140 NONDEPRECIABLE ASSETS </v>
      </c>
      <c r="F22" s="355" t="s">
        <v>701</v>
      </c>
      <c r="G22" s="229"/>
      <c r="J22" s="374"/>
      <c r="K22" s="375" t="s">
        <v>675</v>
      </c>
      <c r="L22" s="374"/>
      <c r="M22" s="374"/>
      <c r="N22" s="374"/>
      <c r="O22" s="374"/>
      <c r="P22" s="374"/>
      <c r="Q22" s="374"/>
      <c r="R22" s="374"/>
      <c r="S22" s="374"/>
    </row>
    <row r="23" spans="3:19" ht="15.75" x14ac:dyDescent="0.25">
      <c r="C23" s="33">
        <v>145</v>
      </c>
      <c r="D23" s="351" t="s">
        <v>712</v>
      </c>
      <c r="E23" s="352" t="str">
        <f t="shared" si="1"/>
        <v xml:space="preserve">145 DEPRECIABLE ASSETS </v>
      </c>
      <c r="F23" s="355" t="s">
        <v>711</v>
      </c>
      <c r="J23" s="374"/>
      <c r="K23" s="374"/>
      <c r="L23" s="374"/>
      <c r="M23" s="374"/>
      <c r="N23" s="374"/>
      <c r="O23" s="374"/>
      <c r="P23" s="374"/>
      <c r="Q23" s="374"/>
      <c r="R23" s="374"/>
      <c r="S23" s="374"/>
    </row>
    <row r="24" spans="3:19" ht="15.75" x14ac:dyDescent="0.25">
      <c r="C24" s="33" t="s">
        <v>686</v>
      </c>
      <c r="D24" t="s">
        <v>687</v>
      </c>
      <c r="E24" t="str">
        <f t="shared" si="1"/>
        <v>140/145 Accumulated depreciation</v>
      </c>
      <c r="F24" s="328" t="s">
        <v>676</v>
      </c>
      <c r="J24" s="374" t="s">
        <v>545</v>
      </c>
      <c r="K24" s="374"/>
      <c r="L24" s="374"/>
      <c r="M24" s="374"/>
      <c r="N24" s="374"/>
      <c r="O24" s="374"/>
      <c r="P24" s="374"/>
      <c r="Q24" s="374"/>
      <c r="R24" s="374"/>
      <c r="S24" s="374"/>
    </row>
    <row r="25" spans="3:19" x14ac:dyDescent="0.2">
      <c r="E25" t="str">
        <f>+C26&amp;" "&amp;D26</f>
        <v xml:space="preserve"> </v>
      </c>
      <c r="J25" s="374" t="s">
        <v>546</v>
      </c>
      <c r="K25" s="374"/>
      <c r="L25" s="374"/>
      <c r="M25" s="374"/>
      <c r="N25" s="374"/>
      <c r="O25" s="374"/>
      <c r="P25" s="374"/>
      <c r="Q25" s="374"/>
      <c r="R25" s="374"/>
      <c r="S25" s="374"/>
    </row>
    <row r="26" spans="3:19" x14ac:dyDescent="0.2">
      <c r="J26" s="374"/>
      <c r="K26" s="374"/>
      <c r="L26" s="374"/>
      <c r="M26" s="374"/>
      <c r="N26" s="374"/>
      <c r="O26" s="374"/>
      <c r="P26" s="374"/>
      <c r="Q26" s="374"/>
      <c r="R26" s="374"/>
      <c r="S26" s="374"/>
    </row>
    <row r="27" spans="3:19" x14ac:dyDescent="0.2">
      <c r="J27" s="374" t="str">
        <f>+H27&amp;" "&amp;I27</f>
        <v xml:space="preserve"> </v>
      </c>
      <c r="K27" s="374"/>
      <c r="L27" s="374"/>
      <c r="M27" s="374"/>
      <c r="N27" s="374"/>
      <c r="O27" s="374"/>
      <c r="P27" s="374"/>
      <c r="Q27" s="374"/>
      <c r="R27" s="374"/>
      <c r="S27" s="374"/>
    </row>
    <row r="28" spans="3:19" x14ac:dyDescent="0.2">
      <c r="C28" s="32"/>
      <c r="D28" s="137" t="s">
        <v>63</v>
      </c>
      <c r="E28" s="154" t="s">
        <v>483</v>
      </c>
      <c r="F28" t="s">
        <v>495</v>
      </c>
      <c r="J28" s="374" t="str">
        <f>+H28&amp;" "&amp;I28</f>
        <v xml:space="preserve"> </v>
      </c>
      <c r="K28" s="374"/>
      <c r="L28" s="374"/>
      <c r="M28" s="374"/>
      <c r="N28" s="374"/>
      <c r="O28" s="374"/>
      <c r="P28" s="374"/>
      <c r="Q28" s="374"/>
      <c r="R28" s="374"/>
      <c r="S28" s="374"/>
    </row>
    <row r="29" spans="3:19" x14ac:dyDescent="0.2">
      <c r="C29" s="33">
        <v>200</v>
      </c>
      <c r="D29" s="32" t="s">
        <v>651</v>
      </c>
      <c r="E29" t="str">
        <f t="shared" ref="E29" si="2">+C29&amp;" "&amp;D29</f>
        <v>200 Accounts payable (Only)</v>
      </c>
      <c r="F29" t="s">
        <v>716</v>
      </c>
      <c r="G29" s="229">
        <v>21110000</v>
      </c>
      <c r="J29" s="377">
        <v>140</v>
      </c>
      <c r="K29" s="378" t="s">
        <v>149</v>
      </c>
      <c r="L29" s="374"/>
      <c r="M29" s="374"/>
      <c r="N29" s="374"/>
      <c r="O29" s="374"/>
      <c r="P29" s="374"/>
      <c r="Q29" s="374"/>
      <c r="R29" s="374"/>
      <c r="S29" s="374"/>
    </row>
    <row r="30" spans="3:19" x14ac:dyDescent="0.2">
      <c r="C30" s="33">
        <v>202</v>
      </c>
      <c r="D30" s="390" t="s">
        <v>641</v>
      </c>
      <c r="E30" t="s">
        <v>644</v>
      </c>
      <c r="F30" t="s">
        <v>549</v>
      </c>
      <c r="G30" s="229">
        <v>21110000</v>
      </c>
      <c r="J30" s="374" t="s">
        <v>547</v>
      </c>
      <c r="K30" s="374"/>
      <c r="L30" s="374"/>
      <c r="M30" s="374"/>
      <c r="N30" s="374"/>
      <c r="O30" s="374"/>
      <c r="P30" s="374"/>
      <c r="Q30" s="374"/>
      <c r="R30" s="374"/>
      <c r="S30" s="374"/>
    </row>
    <row r="31" spans="3:19" x14ac:dyDescent="0.2">
      <c r="C31" s="33">
        <v>203</v>
      </c>
      <c r="D31" s="351" t="s">
        <v>642</v>
      </c>
      <c r="E31" t="s">
        <v>643</v>
      </c>
      <c r="F31" t="s">
        <v>563</v>
      </c>
      <c r="G31" s="229">
        <v>21110000</v>
      </c>
      <c r="J31" s="374" t="s">
        <v>544</v>
      </c>
      <c r="K31" s="374"/>
      <c r="L31" s="374"/>
      <c r="M31" s="374"/>
      <c r="N31" s="374"/>
      <c r="O31" s="374"/>
      <c r="P31" s="374"/>
      <c r="Q31" s="374"/>
      <c r="R31" s="374"/>
      <c r="S31" s="374"/>
    </row>
    <row r="32" spans="3:19" x14ac:dyDescent="0.2">
      <c r="C32" s="33">
        <v>205</v>
      </c>
      <c r="D32" s="32" t="s">
        <v>67</v>
      </c>
      <c r="E32" t="s">
        <v>645</v>
      </c>
      <c r="F32" t="s">
        <v>560</v>
      </c>
      <c r="G32" s="229">
        <v>21110000</v>
      </c>
      <c r="J32" s="379" t="s">
        <v>548</v>
      </c>
      <c r="K32" s="374"/>
      <c r="L32" s="374"/>
      <c r="M32" s="374"/>
      <c r="N32" s="374"/>
      <c r="O32" s="374"/>
      <c r="P32" s="374"/>
      <c r="Q32" s="374"/>
      <c r="R32" s="374"/>
      <c r="S32" s="374"/>
    </row>
    <row r="33" spans="3:19" x14ac:dyDescent="0.2">
      <c r="C33" s="33">
        <v>210</v>
      </c>
      <c r="D33" s="32" t="s">
        <v>68</v>
      </c>
      <c r="E33" s="353" t="str">
        <f t="shared" ref="E33:E51" si="3">+C30&amp;" "&amp;D30</f>
        <v xml:space="preserve">202 Due to the University </v>
      </c>
      <c r="F33" t="s">
        <v>703</v>
      </c>
      <c r="G33" s="229">
        <v>21270000</v>
      </c>
      <c r="J33" s="379" t="s">
        <v>549</v>
      </c>
      <c r="K33" s="374"/>
      <c r="L33" s="374"/>
      <c r="M33" s="374"/>
      <c r="N33" s="374"/>
      <c r="O33" s="374"/>
      <c r="P33" s="374"/>
      <c r="Q33" s="374"/>
      <c r="R33" s="374"/>
      <c r="S33" s="374"/>
    </row>
    <row r="34" spans="3:19" x14ac:dyDescent="0.2">
      <c r="C34" s="33">
        <v>215</v>
      </c>
      <c r="D34" s="32" t="s">
        <v>69</v>
      </c>
      <c r="E34" s="352" t="str">
        <f t="shared" si="3"/>
        <v>203 Grants payable to the University</v>
      </c>
      <c r="F34" s="352" t="s">
        <v>708</v>
      </c>
      <c r="G34" s="229" t="s">
        <v>254</v>
      </c>
      <c r="J34" s="374" t="s">
        <v>550</v>
      </c>
      <c r="K34" s="374"/>
      <c r="L34" s="374"/>
      <c r="M34" s="374"/>
      <c r="N34" s="374"/>
      <c r="O34" s="374"/>
      <c r="P34" s="374"/>
      <c r="Q34" s="374"/>
      <c r="R34" s="374"/>
      <c r="S34" s="374"/>
    </row>
    <row r="35" spans="3:19" x14ac:dyDescent="0.2">
      <c r="C35" s="33">
        <v>220</v>
      </c>
      <c r="D35" s="32" t="s">
        <v>70</v>
      </c>
      <c r="E35" t="str">
        <f t="shared" si="3"/>
        <v>205 Unearned revenue</v>
      </c>
      <c r="F35" t="s">
        <v>564</v>
      </c>
      <c r="G35" s="229">
        <v>21811000</v>
      </c>
      <c r="J35" s="374" t="s">
        <v>551</v>
      </c>
      <c r="K35" s="374"/>
      <c r="L35" s="374"/>
      <c r="M35" s="374"/>
      <c r="N35" s="374"/>
      <c r="O35" s="374"/>
      <c r="P35" s="374"/>
      <c r="Q35" s="374"/>
      <c r="R35" s="374"/>
      <c r="S35" s="374"/>
    </row>
    <row r="36" spans="3:19" x14ac:dyDescent="0.2">
      <c r="C36" s="383">
        <v>200</v>
      </c>
      <c r="D36" s="384" t="s">
        <v>71</v>
      </c>
      <c r="E36" t="str">
        <f t="shared" si="3"/>
        <v>210 Interest payable</v>
      </c>
      <c r="F36" t="s">
        <v>560</v>
      </c>
      <c r="G36" s="229">
        <v>21621000</v>
      </c>
      <c r="J36" s="374" t="s">
        <v>552</v>
      </c>
      <c r="K36" s="374"/>
      <c r="L36" s="374"/>
      <c r="M36" s="374"/>
      <c r="N36" s="374"/>
      <c r="O36" s="374"/>
      <c r="P36" s="374"/>
      <c r="Q36" s="374"/>
      <c r="R36" s="374"/>
      <c r="S36" s="374"/>
    </row>
    <row r="37" spans="3:19" x14ac:dyDescent="0.2">
      <c r="C37" s="385" t="s">
        <v>44</v>
      </c>
      <c r="D37" s="384" t="s">
        <v>688</v>
      </c>
      <c r="E37" s="382" t="str">
        <f t="shared" si="3"/>
        <v>215 Deposits payable</v>
      </c>
      <c r="F37" s="382" t="s">
        <v>715</v>
      </c>
      <c r="G37" s="229">
        <v>21712000</v>
      </c>
      <c r="J37" s="374" t="s">
        <v>553</v>
      </c>
      <c r="K37" s="374"/>
      <c r="L37" s="374"/>
      <c r="M37" s="374"/>
      <c r="N37" s="374"/>
      <c r="O37" s="374"/>
      <c r="P37" s="374"/>
      <c r="Q37" s="374"/>
      <c r="R37" s="374"/>
      <c r="S37" s="374"/>
    </row>
    <row r="38" spans="3:19" x14ac:dyDescent="0.2">
      <c r="C38" s="385" t="s">
        <v>44</v>
      </c>
      <c r="D38" s="384" t="s">
        <v>690</v>
      </c>
      <c r="E38" t="str">
        <f t="shared" si="3"/>
        <v>220 Funds held for others</v>
      </c>
      <c r="F38" s="154" t="s">
        <v>561</v>
      </c>
      <c r="G38" s="229">
        <v>21719000</v>
      </c>
      <c r="J38" s="374" t="s">
        <v>554</v>
      </c>
      <c r="K38" s="374"/>
      <c r="L38" s="374"/>
      <c r="M38" s="374"/>
      <c r="N38" s="374"/>
      <c r="O38" s="374"/>
      <c r="P38" s="374"/>
      <c r="Q38" s="374"/>
      <c r="R38" s="374"/>
      <c r="S38" s="374"/>
    </row>
    <row r="39" spans="3:19" x14ac:dyDescent="0.2">
      <c r="C39" s="34" t="s">
        <v>44</v>
      </c>
      <c r="D39" s="32" t="s">
        <v>652</v>
      </c>
      <c r="E39" s="382" t="str">
        <f t="shared" si="3"/>
        <v>200 Interest rate swap fair value liability</v>
      </c>
      <c r="F39" s="382" t="s">
        <v>691</v>
      </c>
      <c r="J39" s="379" t="s">
        <v>555</v>
      </c>
      <c r="K39" s="374"/>
      <c r="L39" s="374"/>
      <c r="M39" s="374"/>
      <c r="N39" s="374"/>
      <c r="O39" s="374"/>
      <c r="P39" s="374"/>
      <c r="Q39" s="374"/>
      <c r="R39" s="374"/>
      <c r="S39" s="374"/>
    </row>
    <row r="40" spans="3:19" x14ac:dyDescent="0.2">
      <c r="C40" s="34" t="s">
        <v>44</v>
      </c>
      <c r="D40" s="32" t="s">
        <v>646</v>
      </c>
      <c r="E40" s="382" t="str">
        <f t="shared" si="3"/>
        <v>** Split interest agreement obligations - Due in 1 year</v>
      </c>
      <c r="F40" s="382" t="s">
        <v>657</v>
      </c>
      <c r="J40" s="374" t="s">
        <v>556</v>
      </c>
      <c r="K40" s="374"/>
      <c r="L40" s="374"/>
      <c r="M40" s="374"/>
      <c r="N40" s="374"/>
      <c r="O40" s="374"/>
      <c r="P40" s="374"/>
      <c r="Q40" s="374"/>
      <c r="R40" s="374"/>
      <c r="S40" s="374"/>
    </row>
    <row r="41" spans="3:19" x14ac:dyDescent="0.2">
      <c r="C41" s="34" t="s">
        <v>44</v>
      </c>
      <c r="D41" s="32" t="s">
        <v>653</v>
      </c>
      <c r="E41" s="382" t="str">
        <f t="shared" si="3"/>
        <v>** Split interest agreement obligations - Noncurrent</v>
      </c>
      <c r="F41" s="382" t="s">
        <v>689</v>
      </c>
      <c r="J41" s="379" t="s">
        <v>557</v>
      </c>
      <c r="K41" s="374"/>
      <c r="L41" s="374"/>
      <c r="M41" s="374"/>
      <c r="N41" s="374"/>
      <c r="O41" s="374"/>
      <c r="P41" s="374"/>
      <c r="Q41" s="374"/>
      <c r="R41" s="374"/>
      <c r="S41" s="374"/>
    </row>
    <row r="42" spans="3:19" x14ac:dyDescent="0.2">
      <c r="C42" s="34" t="s">
        <v>44</v>
      </c>
      <c r="D42" s="32" t="s">
        <v>647</v>
      </c>
      <c r="E42" t="str">
        <f t="shared" si="3"/>
        <v>** Annuities payable - Due in 1 year</v>
      </c>
      <c r="F42" t="s">
        <v>719</v>
      </c>
      <c r="J42" s="379" t="s">
        <v>558</v>
      </c>
      <c r="K42" s="374"/>
      <c r="L42" s="374"/>
      <c r="M42" s="374"/>
      <c r="N42" s="374"/>
      <c r="O42" s="374"/>
      <c r="P42" s="374"/>
      <c r="Q42" s="374"/>
      <c r="R42" s="374"/>
      <c r="S42" s="374"/>
    </row>
    <row r="43" spans="3:19" x14ac:dyDescent="0.2">
      <c r="C43" s="34" t="s">
        <v>44</v>
      </c>
      <c r="D43" s="32" t="s">
        <v>654</v>
      </c>
      <c r="E43" t="str">
        <f t="shared" si="3"/>
        <v>** Annuities payable - Noncurrent</v>
      </c>
      <c r="F43" t="s">
        <v>720</v>
      </c>
      <c r="J43" s="374" t="s">
        <v>559</v>
      </c>
      <c r="K43" s="374"/>
      <c r="L43" s="374"/>
      <c r="M43" s="374"/>
      <c r="N43" s="374"/>
      <c r="O43" s="374"/>
      <c r="P43" s="374"/>
      <c r="Q43" s="374"/>
      <c r="R43" s="374"/>
      <c r="S43" s="374"/>
    </row>
    <row r="44" spans="3:19" x14ac:dyDescent="0.2">
      <c r="C44" s="34" t="s">
        <v>44</v>
      </c>
      <c r="D44" s="32" t="s">
        <v>648</v>
      </c>
      <c r="E44" t="str">
        <f t="shared" si="3"/>
        <v>** Capital leases payable - Due in 1 year</v>
      </c>
      <c r="F44" t="s">
        <v>721</v>
      </c>
      <c r="J44" s="379" t="s">
        <v>560</v>
      </c>
      <c r="K44" s="374"/>
      <c r="L44" s="374"/>
      <c r="M44" s="374"/>
      <c r="N44" s="374"/>
      <c r="O44" s="374"/>
      <c r="P44" s="374"/>
      <c r="Q44" s="374"/>
      <c r="R44" s="374"/>
      <c r="S44" s="374"/>
    </row>
    <row r="45" spans="3:19" x14ac:dyDescent="0.2">
      <c r="C45" s="34" t="s">
        <v>44</v>
      </c>
      <c r="D45" s="32" t="s">
        <v>655</v>
      </c>
      <c r="E45" t="str">
        <f t="shared" si="3"/>
        <v>** Capital leases payable - Noncurrent</v>
      </c>
      <c r="F45" t="s">
        <v>722</v>
      </c>
      <c r="J45" s="379" t="s">
        <v>561</v>
      </c>
      <c r="K45" s="374"/>
      <c r="L45" s="374"/>
      <c r="M45" s="374"/>
      <c r="N45" s="374"/>
      <c r="O45" s="374"/>
      <c r="P45" s="374"/>
      <c r="Q45" s="374"/>
      <c r="R45" s="374"/>
      <c r="S45" s="374"/>
    </row>
    <row r="46" spans="3:19" x14ac:dyDescent="0.2">
      <c r="C46" s="34" t="s">
        <v>44</v>
      </c>
      <c r="D46" s="32" t="s">
        <v>649</v>
      </c>
      <c r="E46" t="str">
        <f t="shared" si="3"/>
        <v>** SBITA liability - Due in 1 year</v>
      </c>
      <c r="F46" t="s">
        <v>723</v>
      </c>
      <c r="J46" s="374" t="s">
        <v>562</v>
      </c>
      <c r="K46" s="374"/>
      <c r="L46" s="374"/>
      <c r="M46" s="374"/>
      <c r="N46" s="374"/>
      <c r="O46" s="374"/>
      <c r="P46" s="374"/>
      <c r="Q46" s="374"/>
      <c r="R46" s="374"/>
      <c r="S46" s="374"/>
    </row>
    <row r="47" spans="3:19" x14ac:dyDescent="0.2">
      <c r="C47" s="34" t="s">
        <v>44</v>
      </c>
      <c r="D47" s="32" t="s">
        <v>656</v>
      </c>
      <c r="E47" t="str">
        <f t="shared" si="3"/>
        <v>** SBITA liability - Noncurrent</v>
      </c>
      <c r="F47" t="s">
        <v>724</v>
      </c>
      <c r="J47" s="379" t="s">
        <v>563</v>
      </c>
      <c r="K47" s="374"/>
      <c r="L47" s="374"/>
      <c r="M47" s="374"/>
      <c r="N47" s="374"/>
      <c r="O47" s="374"/>
      <c r="P47" s="374"/>
      <c r="Q47" s="374"/>
      <c r="R47" s="374"/>
      <c r="S47" s="374"/>
    </row>
    <row r="48" spans="3:19" x14ac:dyDescent="0.2">
      <c r="C48" s="34" t="s">
        <v>44</v>
      </c>
      <c r="D48" s="32" t="s">
        <v>650</v>
      </c>
      <c r="E48" t="str">
        <f t="shared" si="3"/>
        <v>** Notes payable - Due in 1 year</v>
      </c>
      <c r="F48" t="s">
        <v>714</v>
      </c>
      <c r="J48" s="379" t="s">
        <v>564</v>
      </c>
      <c r="K48" s="374"/>
      <c r="L48" s="374"/>
      <c r="M48" s="374"/>
      <c r="N48" s="374"/>
      <c r="O48" s="374"/>
      <c r="P48" s="374"/>
      <c r="Q48" s="374"/>
      <c r="R48" s="374"/>
      <c r="S48" s="374"/>
    </row>
    <row r="49" spans="3:19" x14ac:dyDescent="0.2">
      <c r="C49" s="32"/>
      <c r="D49" s="243" t="s">
        <v>77</v>
      </c>
      <c r="E49" t="str">
        <f t="shared" si="3"/>
        <v>** Notes payable - Noncurrent</v>
      </c>
      <c r="F49" t="s">
        <v>725</v>
      </c>
      <c r="J49" s="374"/>
      <c r="K49" s="374"/>
      <c r="L49" s="374"/>
      <c r="M49" s="374"/>
      <c r="N49" s="374"/>
      <c r="O49" s="374"/>
      <c r="P49" s="374"/>
      <c r="Q49" s="374"/>
      <c r="R49" s="374"/>
      <c r="S49" s="374"/>
    </row>
    <row r="50" spans="3:19" x14ac:dyDescent="0.2">
      <c r="C50" s="32"/>
      <c r="D50" s="137" t="s">
        <v>78</v>
      </c>
      <c r="E50" t="str">
        <f t="shared" si="3"/>
        <v>** Bonds payable - Due in 1 year</v>
      </c>
      <c r="F50" t="s">
        <v>559</v>
      </c>
      <c r="J50" s="374" t="s">
        <v>565</v>
      </c>
      <c r="K50" s="374"/>
      <c r="L50" s="374"/>
      <c r="M50" s="374"/>
      <c r="N50" s="374"/>
      <c r="O50" s="374"/>
      <c r="P50" s="374"/>
      <c r="Q50" s="374"/>
      <c r="R50" s="374"/>
      <c r="S50" s="374"/>
    </row>
    <row r="51" spans="3:19" x14ac:dyDescent="0.2">
      <c r="C51" s="32"/>
      <c r="D51" s="32" t="s">
        <v>79</v>
      </c>
      <c r="E51" t="str">
        <f t="shared" si="3"/>
        <v>** Bonds payable - Noncurrent</v>
      </c>
      <c r="F51" t="s">
        <v>726</v>
      </c>
      <c r="J51" s="374" t="s">
        <v>544</v>
      </c>
      <c r="K51" s="374"/>
      <c r="L51" s="374"/>
      <c r="M51" s="374"/>
      <c r="N51" s="374"/>
      <c r="O51" s="374"/>
      <c r="P51" s="374"/>
      <c r="Q51" s="374"/>
      <c r="R51" s="374"/>
      <c r="S51" s="374"/>
    </row>
    <row r="52" spans="3:19" x14ac:dyDescent="0.2">
      <c r="C52" s="32"/>
      <c r="D52" s="32" t="s">
        <v>80</v>
      </c>
      <c r="J52" s="374" t="s">
        <v>566</v>
      </c>
      <c r="K52" s="374"/>
      <c r="L52" s="374"/>
      <c r="M52" s="374"/>
      <c r="N52" s="374"/>
      <c r="O52" s="374"/>
      <c r="P52" s="374"/>
      <c r="Q52" s="374"/>
      <c r="R52" s="374"/>
      <c r="S52" s="374"/>
    </row>
    <row r="53" spans="3:19" x14ac:dyDescent="0.2">
      <c r="C53" s="32"/>
      <c r="D53" s="243" t="s">
        <v>81</v>
      </c>
      <c r="J53" s="374" t="s">
        <v>567</v>
      </c>
      <c r="K53" s="374"/>
      <c r="L53" s="374"/>
      <c r="M53" s="374"/>
      <c r="N53" s="374"/>
      <c r="O53" s="374"/>
      <c r="P53" s="374"/>
      <c r="Q53" s="374"/>
      <c r="R53" s="374"/>
      <c r="S53" s="374"/>
    </row>
    <row r="54" spans="3:19" x14ac:dyDescent="0.2">
      <c r="J54" s="374" t="s">
        <v>568</v>
      </c>
      <c r="K54" s="374"/>
      <c r="L54" s="374"/>
      <c r="M54" s="374"/>
      <c r="N54" s="374"/>
      <c r="O54" s="374"/>
      <c r="P54" s="374"/>
      <c r="Q54" s="374"/>
      <c r="R54" s="374"/>
      <c r="S54" s="374"/>
    </row>
    <row r="55" spans="3:19" x14ac:dyDescent="0.2">
      <c r="J55" s="374" t="s">
        <v>569</v>
      </c>
      <c r="K55" s="374"/>
      <c r="L55" s="374"/>
      <c r="M55" s="374"/>
      <c r="N55" s="374"/>
      <c r="O55" s="374"/>
      <c r="P55" s="374"/>
      <c r="Q55" s="374"/>
      <c r="R55" s="374"/>
      <c r="S55" s="374"/>
    </row>
    <row r="56" spans="3:19" x14ac:dyDescent="0.2">
      <c r="J56" s="374"/>
      <c r="K56" s="374"/>
      <c r="L56" s="374"/>
      <c r="M56" s="374"/>
      <c r="N56" s="374"/>
      <c r="O56" s="374"/>
      <c r="P56" s="374"/>
      <c r="Q56" s="374"/>
      <c r="R56" s="374"/>
      <c r="S56" s="374"/>
    </row>
    <row r="57" spans="3:19" x14ac:dyDescent="0.2">
      <c r="C57" s="32"/>
      <c r="D57" s="243"/>
      <c r="E57" s="154"/>
      <c r="J57" s="374"/>
      <c r="K57" s="374"/>
      <c r="L57" s="374"/>
      <c r="M57" s="374"/>
      <c r="N57" s="374"/>
      <c r="O57" s="374"/>
      <c r="P57" s="374"/>
      <c r="Q57" s="374"/>
      <c r="R57" s="374"/>
      <c r="S57" s="374"/>
    </row>
    <row r="58" spans="3:19" ht="14.25" x14ac:dyDescent="0.2">
      <c r="D58" s="1" t="s">
        <v>109</v>
      </c>
      <c r="E58" s="154" t="s">
        <v>483</v>
      </c>
      <c r="F58" t="s">
        <v>495</v>
      </c>
      <c r="J58" s="379" t="s">
        <v>570</v>
      </c>
      <c r="K58" s="374"/>
      <c r="L58" s="374"/>
      <c r="M58" s="374"/>
      <c r="N58" s="374"/>
      <c r="O58" s="374"/>
      <c r="P58" s="374"/>
      <c r="Q58" s="374"/>
      <c r="R58" s="374"/>
      <c r="S58" s="374"/>
    </row>
    <row r="59" spans="3:19" x14ac:dyDescent="0.2">
      <c r="C59">
        <v>505</v>
      </c>
      <c r="D59" t="s">
        <v>291</v>
      </c>
      <c r="E59" s="352" t="str">
        <f t="shared" ref="E59:E67" si="4">+C59&amp;" "&amp;D59</f>
        <v>505 Noncapital grants</v>
      </c>
      <c r="F59" s="352" t="s">
        <v>637</v>
      </c>
      <c r="G59" s="229" t="s">
        <v>292</v>
      </c>
      <c r="J59" s="379" t="s">
        <v>571</v>
      </c>
      <c r="K59" s="374"/>
      <c r="L59" s="374"/>
      <c r="M59" s="374"/>
      <c r="N59" s="374"/>
      <c r="O59" s="374"/>
      <c r="P59" s="374"/>
      <c r="Q59" s="374"/>
      <c r="R59" s="374"/>
      <c r="S59" s="374"/>
    </row>
    <row r="60" spans="3:19" x14ac:dyDescent="0.2">
      <c r="C60">
        <v>500</v>
      </c>
      <c r="D60" t="s">
        <v>155</v>
      </c>
      <c r="E60" s="352" t="str">
        <f t="shared" si="4"/>
        <v>500 Noncapital gifts</v>
      </c>
      <c r="F60" s="352" t="s">
        <v>710</v>
      </c>
      <c r="G60" s="229">
        <v>46200000</v>
      </c>
      <c r="J60" s="379" t="s">
        <v>572</v>
      </c>
      <c r="K60" s="374"/>
      <c r="L60" s="374"/>
      <c r="M60" s="374">
        <v>505</v>
      </c>
      <c r="N60" s="374" t="s">
        <v>291</v>
      </c>
      <c r="O60" s="374"/>
      <c r="P60" s="374"/>
      <c r="Q60" s="374"/>
      <c r="R60" s="374"/>
      <c r="S60" s="374"/>
    </row>
    <row r="61" spans="3:19" x14ac:dyDescent="0.2">
      <c r="C61">
        <v>510</v>
      </c>
      <c r="D61" t="s">
        <v>156</v>
      </c>
      <c r="E61" t="str">
        <f t="shared" si="4"/>
        <v>510 Capital gifts</v>
      </c>
      <c r="F61" t="s">
        <v>640</v>
      </c>
      <c r="G61" s="229">
        <v>46203000</v>
      </c>
      <c r="J61" s="379" t="s">
        <v>573</v>
      </c>
      <c r="K61" s="374"/>
      <c r="L61" s="374"/>
      <c r="M61" s="374">
        <v>500</v>
      </c>
      <c r="N61" s="374" t="s">
        <v>155</v>
      </c>
      <c r="O61" s="374"/>
      <c r="P61" s="374"/>
      <c r="Q61" s="374"/>
      <c r="R61" s="374"/>
      <c r="S61" s="374"/>
    </row>
    <row r="62" spans="3:19" x14ac:dyDescent="0.2">
      <c r="C62">
        <v>520</v>
      </c>
      <c r="D62" t="s">
        <v>157</v>
      </c>
      <c r="E62" t="str">
        <f t="shared" si="4"/>
        <v>520 Additions to endowments</v>
      </c>
      <c r="F62" t="s">
        <v>636</v>
      </c>
      <c r="G62" s="229">
        <v>46205000</v>
      </c>
      <c r="J62" s="374" t="s">
        <v>574</v>
      </c>
      <c r="K62" s="374"/>
      <c r="L62" s="374"/>
      <c r="M62" s="374">
        <v>510</v>
      </c>
      <c r="N62" s="374" t="s">
        <v>156</v>
      </c>
      <c r="O62" s="374"/>
      <c r="P62" s="374"/>
      <c r="Q62" s="374"/>
      <c r="R62" s="374"/>
      <c r="S62" s="374"/>
    </row>
    <row r="63" spans="3:19" x14ac:dyDescent="0.2">
      <c r="C63">
        <v>530</v>
      </c>
      <c r="D63" t="s">
        <v>114</v>
      </c>
      <c r="E63" t="str">
        <f t="shared" si="4"/>
        <v>530 Investment income</v>
      </c>
      <c r="F63" t="s">
        <v>638</v>
      </c>
      <c r="G63" s="229">
        <v>43111000</v>
      </c>
      <c r="J63" s="374" t="s">
        <v>575</v>
      </c>
      <c r="K63" s="374"/>
      <c r="L63" s="374"/>
      <c r="M63" s="374">
        <v>520</v>
      </c>
      <c r="N63" s="374" t="s">
        <v>157</v>
      </c>
      <c r="O63" s="374"/>
      <c r="P63" s="374"/>
      <c r="Q63" s="374"/>
      <c r="R63" s="374"/>
      <c r="S63" s="374"/>
    </row>
    <row r="64" spans="3:19" x14ac:dyDescent="0.2">
      <c r="C64">
        <v>540</v>
      </c>
      <c r="D64" t="s">
        <v>116</v>
      </c>
      <c r="E64" t="str">
        <f t="shared" si="4"/>
        <v>540 Sales and services</v>
      </c>
      <c r="F64" t="s">
        <v>639</v>
      </c>
      <c r="G64" s="229">
        <v>44101000</v>
      </c>
      <c r="J64" s="374" t="s">
        <v>576</v>
      </c>
      <c r="K64" s="374"/>
      <c r="L64" s="374"/>
      <c r="M64" s="374">
        <v>530</v>
      </c>
      <c r="N64" s="374" t="s">
        <v>114</v>
      </c>
      <c r="O64" s="374"/>
      <c r="P64" s="374"/>
      <c r="Q64" s="374"/>
      <c r="R64" s="374"/>
      <c r="S64" s="374"/>
    </row>
    <row r="65" spans="3:19" x14ac:dyDescent="0.2">
      <c r="C65">
        <v>550</v>
      </c>
      <c r="D65" t="s">
        <v>293</v>
      </c>
      <c r="E65" t="str">
        <f t="shared" si="4"/>
        <v>550 Rental and lease earnings</v>
      </c>
      <c r="F65" t="s">
        <v>639</v>
      </c>
      <c r="G65" s="229">
        <v>44410000</v>
      </c>
      <c r="J65" s="374" t="s">
        <v>577</v>
      </c>
      <c r="K65" s="374"/>
      <c r="L65" s="374"/>
      <c r="M65" s="374">
        <v>540</v>
      </c>
      <c r="N65" s="374" t="s">
        <v>116</v>
      </c>
      <c r="O65" s="374"/>
      <c r="P65" s="374"/>
      <c r="Q65" s="374"/>
      <c r="R65" s="374"/>
      <c r="S65" s="374"/>
    </row>
    <row r="66" spans="3:19" x14ac:dyDescent="0.2">
      <c r="C66">
        <v>555</v>
      </c>
      <c r="D66" t="s">
        <v>118</v>
      </c>
      <c r="E66" s="352" t="str">
        <f t="shared" si="4"/>
        <v>555 Gain on sale of capital assets</v>
      </c>
      <c r="F66" s="352" t="s">
        <v>709</v>
      </c>
      <c r="G66" s="229">
        <v>44330000</v>
      </c>
      <c r="J66" s="374" t="s">
        <v>578</v>
      </c>
      <c r="K66" s="374"/>
      <c r="L66" s="374"/>
      <c r="M66" s="374">
        <v>550</v>
      </c>
      <c r="N66" s="374" t="s">
        <v>293</v>
      </c>
      <c r="O66" s="374"/>
      <c r="P66" s="374"/>
      <c r="Q66" s="374"/>
      <c r="R66" s="374"/>
      <c r="S66" s="374"/>
    </row>
    <row r="67" spans="3:19" x14ac:dyDescent="0.2">
      <c r="C67">
        <v>560</v>
      </c>
      <c r="D67" t="s">
        <v>294</v>
      </c>
      <c r="E67" t="str">
        <f t="shared" si="4"/>
        <v>560 Miscellaneous</v>
      </c>
      <c r="F67" t="s">
        <v>611</v>
      </c>
      <c r="G67" s="229">
        <v>47991000</v>
      </c>
      <c r="J67" s="374"/>
      <c r="K67" s="374"/>
      <c r="L67" s="374"/>
      <c r="M67" s="374">
        <v>555</v>
      </c>
      <c r="N67" s="374" t="s">
        <v>118</v>
      </c>
      <c r="O67" s="374"/>
      <c r="P67" s="374"/>
      <c r="Q67" s="374"/>
      <c r="R67" s="374"/>
      <c r="S67" s="374"/>
    </row>
    <row r="68" spans="3:19" x14ac:dyDescent="0.2">
      <c r="C68" s="349"/>
      <c r="D68" s="350"/>
      <c r="E68" s="142"/>
      <c r="G68" s="229"/>
      <c r="J68" s="374" t="s">
        <v>579</v>
      </c>
      <c r="K68" s="374"/>
      <c r="L68" s="374"/>
      <c r="M68" s="374">
        <v>560</v>
      </c>
      <c r="N68" s="374" t="s">
        <v>294</v>
      </c>
      <c r="O68" s="374"/>
      <c r="P68" s="374"/>
      <c r="Q68" s="374"/>
      <c r="R68" s="374"/>
      <c r="S68" s="374"/>
    </row>
    <row r="69" spans="3:19" x14ac:dyDescent="0.2">
      <c r="C69" s="349"/>
      <c r="D69" s="350"/>
      <c r="E69" s="142" t="s">
        <v>743</v>
      </c>
      <c r="F69" t="s">
        <v>744</v>
      </c>
      <c r="J69" s="374" t="s">
        <v>544</v>
      </c>
      <c r="K69" s="374"/>
      <c r="L69" s="374"/>
      <c r="M69" s="374"/>
      <c r="N69" s="374"/>
      <c r="O69" s="374"/>
      <c r="P69" s="374"/>
      <c r="Q69" s="374"/>
      <c r="R69" s="374"/>
      <c r="S69" s="374"/>
    </row>
    <row r="70" spans="3:19" x14ac:dyDescent="0.2">
      <c r="C70" s="349"/>
      <c r="D70" s="350"/>
      <c r="E70" s="350"/>
      <c r="J70" s="374" t="s">
        <v>580</v>
      </c>
      <c r="K70" s="374"/>
      <c r="L70" s="374"/>
      <c r="M70" s="374"/>
      <c r="N70" s="374"/>
      <c r="O70" s="374"/>
      <c r="P70" s="374"/>
      <c r="Q70" s="374"/>
      <c r="R70" s="374"/>
      <c r="S70" s="374"/>
    </row>
    <row r="71" spans="3:19" x14ac:dyDescent="0.2">
      <c r="J71" s="374" t="s">
        <v>581</v>
      </c>
      <c r="K71" s="374"/>
      <c r="L71" s="374"/>
      <c r="M71" s="374"/>
      <c r="N71" s="374"/>
      <c r="O71" s="374"/>
      <c r="P71" s="374"/>
      <c r="Q71" s="374"/>
      <c r="R71" s="374"/>
      <c r="S71" s="374"/>
    </row>
    <row r="72" spans="3:19" x14ac:dyDescent="0.2">
      <c r="J72" s="374" t="s">
        <v>582</v>
      </c>
      <c r="K72" s="374"/>
      <c r="L72" s="374"/>
      <c r="M72" s="374"/>
      <c r="N72" s="374"/>
      <c r="O72" s="374"/>
      <c r="P72" s="374"/>
      <c r="Q72" s="374"/>
      <c r="R72" s="374"/>
      <c r="S72" s="374"/>
    </row>
    <row r="73" spans="3:19" ht="14.25" x14ac:dyDescent="0.2">
      <c r="C73" s="33"/>
      <c r="D73" s="1" t="s">
        <v>160</v>
      </c>
      <c r="E73" s="154" t="s">
        <v>483</v>
      </c>
      <c r="F73" t="s">
        <v>495</v>
      </c>
      <c r="J73" s="374" t="s">
        <v>583</v>
      </c>
      <c r="K73" s="374"/>
      <c r="L73" s="374"/>
      <c r="M73" s="374"/>
      <c r="N73" s="374"/>
      <c r="O73" s="374"/>
      <c r="P73" s="374"/>
      <c r="Q73" s="374"/>
      <c r="R73" s="374"/>
      <c r="S73" s="374"/>
    </row>
    <row r="74" spans="3:19" x14ac:dyDescent="0.2">
      <c r="C74" s="33">
        <v>604</v>
      </c>
      <c r="D74" s="3" t="s">
        <v>705</v>
      </c>
      <c r="E74" s="353" t="str">
        <f>+C74&amp;" "&amp;D74</f>
        <v xml:space="preserve">604 Payments to University (accrual) - student tuition/fees </v>
      </c>
      <c r="F74" s="353" t="s">
        <v>704</v>
      </c>
      <c r="J74" s="374" t="s">
        <v>584</v>
      </c>
      <c r="K74" s="374"/>
      <c r="L74" s="374"/>
      <c r="M74" s="374"/>
      <c r="N74" s="374"/>
      <c r="O74" s="374"/>
      <c r="P74" s="374"/>
      <c r="Q74" s="374"/>
      <c r="R74" s="374"/>
      <c r="S74" s="374"/>
    </row>
    <row r="75" spans="3:19" x14ac:dyDescent="0.2">
      <c r="C75" s="33">
        <v>600</v>
      </c>
      <c r="D75" s="3" t="s">
        <v>706</v>
      </c>
      <c r="E75" s="353" t="str">
        <f>+C75&amp;" "&amp;D75</f>
        <v xml:space="preserve">600 Payments to University (accrual) - noncapital </v>
      </c>
      <c r="F75" s="353" t="s">
        <v>704</v>
      </c>
      <c r="J75" s="374"/>
      <c r="K75" s="374"/>
      <c r="L75" s="374"/>
      <c r="M75" s="374"/>
      <c r="N75" s="374"/>
      <c r="O75" s="374"/>
      <c r="P75" s="374"/>
      <c r="Q75" s="374"/>
      <c r="R75" s="374"/>
      <c r="S75" s="374"/>
    </row>
    <row r="76" spans="3:19" x14ac:dyDescent="0.2">
      <c r="C76" s="33">
        <v>602</v>
      </c>
      <c r="D76" s="3" t="s">
        <v>707</v>
      </c>
      <c r="E76" s="353" t="str">
        <f>+C76&amp;" "&amp;D76</f>
        <v>602 Payments to University (accrual) - capital</v>
      </c>
      <c r="F76" s="353" t="s">
        <v>704</v>
      </c>
      <c r="J76" s="374"/>
      <c r="K76" s="374"/>
      <c r="L76" s="374"/>
      <c r="M76" s="374"/>
      <c r="N76" s="374"/>
      <c r="O76" s="374"/>
      <c r="P76" s="374"/>
      <c r="Q76" s="374"/>
      <c r="R76" s="374"/>
      <c r="S76" s="374"/>
    </row>
    <row r="77" spans="3:19" x14ac:dyDescent="0.2">
      <c r="C77">
        <v>610</v>
      </c>
      <c r="D77" s="154" t="s">
        <v>302</v>
      </c>
      <c r="E77" t="str">
        <f>+C77&amp;" "&amp;D77</f>
        <v>610 Other expenses</v>
      </c>
      <c r="F77" t="s">
        <v>634</v>
      </c>
      <c r="G77" s="229">
        <v>55900000</v>
      </c>
      <c r="J77" s="374" t="s">
        <v>585</v>
      </c>
      <c r="K77" s="374"/>
      <c r="L77" s="374"/>
      <c r="M77" s="374"/>
      <c r="N77" s="374"/>
      <c r="O77" s="374"/>
      <c r="P77" s="374"/>
      <c r="Q77" s="374"/>
      <c r="R77" s="374"/>
      <c r="S77" s="374"/>
    </row>
    <row r="78" spans="3:19" x14ac:dyDescent="0.2">
      <c r="J78" s="374" t="s">
        <v>544</v>
      </c>
      <c r="K78" s="374"/>
      <c r="L78" s="374"/>
      <c r="M78" s="374"/>
      <c r="N78" s="374"/>
      <c r="O78" s="374"/>
      <c r="P78" s="374"/>
      <c r="Q78" s="374"/>
      <c r="R78" s="374"/>
      <c r="S78" s="374"/>
    </row>
    <row r="79" spans="3:19" x14ac:dyDescent="0.2">
      <c r="D79" s="329" t="s">
        <v>514</v>
      </c>
      <c r="J79" s="374" t="s">
        <v>586</v>
      </c>
      <c r="K79" s="374"/>
      <c r="L79" s="374"/>
      <c r="M79" s="374"/>
      <c r="N79" s="374">
        <v>505</v>
      </c>
      <c r="O79" s="374" t="s">
        <v>291</v>
      </c>
      <c r="P79" s="374"/>
      <c r="Q79" s="374"/>
      <c r="R79" s="374"/>
      <c r="S79" s="374"/>
    </row>
    <row r="80" spans="3:19" ht="15.75" x14ac:dyDescent="0.25">
      <c r="D80" s="328" t="s">
        <v>750</v>
      </c>
      <c r="J80" s="374" t="s">
        <v>587</v>
      </c>
      <c r="K80" s="374"/>
      <c r="L80" s="374"/>
      <c r="M80" s="374"/>
      <c r="N80" s="374">
        <v>500</v>
      </c>
      <c r="O80" s="374" t="s">
        <v>155</v>
      </c>
      <c r="P80" s="374"/>
      <c r="Q80" s="374"/>
      <c r="R80" s="374"/>
      <c r="S80" s="374"/>
    </row>
    <row r="81" spans="4:19" x14ac:dyDescent="0.2">
      <c r="D81" s="154" t="s">
        <v>515</v>
      </c>
      <c r="J81" s="374" t="s">
        <v>588</v>
      </c>
      <c r="K81" s="374"/>
      <c r="L81" s="374"/>
      <c r="M81" s="374"/>
      <c r="N81" s="374">
        <v>510</v>
      </c>
      <c r="O81" s="374" t="s">
        <v>156</v>
      </c>
      <c r="P81" s="374"/>
      <c r="Q81" s="374"/>
      <c r="R81" s="374"/>
      <c r="S81" s="374"/>
    </row>
    <row r="82" spans="4:19" x14ac:dyDescent="0.2">
      <c r="D82" s="154" t="s">
        <v>516</v>
      </c>
      <c r="J82" s="374" t="s">
        <v>589</v>
      </c>
      <c r="K82" s="374"/>
      <c r="L82" s="374"/>
      <c r="M82" s="374"/>
      <c r="N82" s="374">
        <v>520</v>
      </c>
      <c r="O82" s="374" t="s">
        <v>157</v>
      </c>
      <c r="P82" s="374"/>
      <c r="Q82" s="374"/>
      <c r="R82" s="374"/>
      <c r="S82" s="374"/>
    </row>
    <row r="83" spans="4:19" x14ac:dyDescent="0.2">
      <c r="D83" s="154"/>
      <c r="J83" s="374" t="s">
        <v>590</v>
      </c>
      <c r="K83" s="374"/>
      <c r="L83" s="374"/>
      <c r="M83" s="374"/>
      <c r="N83" s="374">
        <v>530</v>
      </c>
      <c r="O83" s="374" t="s">
        <v>114</v>
      </c>
      <c r="P83" s="374"/>
      <c r="Q83" s="374"/>
      <c r="R83" s="374"/>
      <c r="S83" s="374"/>
    </row>
    <row r="84" spans="4:19" ht="15.75" x14ac:dyDescent="0.25">
      <c r="D84" s="327" t="s">
        <v>498</v>
      </c>
      <c r="J84" s="374" t="s">
        <v>591</v>
      </c>
      <c r="K84" s="374"/>
      <c r="L84" s="374"/>
      <c r="M84" s="374"/>
      <c r="N84" s="374">
        <v>540</v>
      </c>
      <c r="O84" s="374" t="s">
        <v>116</v>
      </c>
      <c r="P84" s="374"/>
      <c r="Q84" s="374"/>
      <c r="R84" s="374"/>
      <c r="S84" s="374"/>
    </row>
    <row r="85" spans="4:19" ht="15.75" x14ac:dyDescent="0.25">
      <c r="D85" s="328" t="s">
        <v>499</v>
      </c>
      <c r="J85" s="374"/>
      <c r="K85" s="374"/>
      <c r="L85" s="374"/>
      <c r="M85" s="374"/>
      <c r="N85" s="374">
        <v>550</v>
      </c>
      <c r="O85" s="374" t="s">
        <v>293</v>
      </c>
      <c r="P85" s="374"/>
      <c r="Q85" s="374"/>
      <c r="R85" s="374"/>
      <c r="S85" s="374"/>
    </row>
    <row r="86" spans="4:19" ht="15.75" x14ac:dyDescent="0.25">
      <c r="D86" s="328" t="s">
        <v>500</v>
      </c>
      <c r="J86" s="374" t="s">
        <v>592</v>
      </c>
      <c r="K86" s="374"/>
      <c r="L86" s="374"/>
      <c r="M86" s="374"/>
      <c r="N86" s="374">
        <v>555</v>
      </c>
      <c r="O86" s="374" t="s">
        <v>118</v>
      </c>
      <c r="P86" s="374"/>
      <c r="Q86" s="374"/>
      <c r="R86" s="374"/>
      <c r="S86" s="374"/>
    </row>
    <row r="87" spans="4:19" ht="15.75" x14ac:dyDescent="0.25">
      <c r="D87" s="328" t="s">
        <v>501</v>
      </c>
      <c r="J87" s="374" t="s">
        <v>593</v>
      </c>
      <c r="K87" s="374"/>
      <c r="L87" s="374"/>
      <c r="M87" s="374"/>
      <c r="N87" s="374">
        <v>560</v>
      </c>
      <c r="O87" s="374" t="s">
        <v>294</v>
      </c>
      <c r="P87" s="374"/>
      <c r="Q87" s="374"/>
      <c r="R87" s="374"/>
      <c r="S87" s="374"/>
    </row>
    <row r="88" spans="4:19" ht="15.75" x14ac:dyDescent="0.25">
      <c r="D88" s="328" t="s">
        <v>502</v>
      </c>
      <c r="J88" s="374" t="s">
        <v>544</v>
      </c>
      <c r="K88" s="374"/>
      <c r="L88" s="374"/>
      <c r="M88" s="374"/>
      <c r="N88" s="374">
        <v>604</v>
      </c>
      <c r="O88" s="374" t="s">
        <v>631</v>
      </c>
      <c r="P88" s="374"/>
      <c r="Q88" s="374"/>
      <c r="R88" s="374"/>
      <c r="S88" s="374"/>
    </row>
    <row r="89" spans="4:19" ht="15.75" x14ac:dyDescent="0.25">
      <c r="D89" s="328" t="s">
        <v>503</v>
      </c>
      <c r="J89" s="374" t="s">
        <v>594</v>
      </c>
      <c r="K89" s="374"/>
      <c r="L89" s="374"/>
      <c r="M89" s="374"/>
      <c r="N89" s="374">
        <v>600</v>
      </c>
      <c r="O89" s="374" t="s">
        <v>632</v>
      </c>
      <c r="P89" s="374"/>
      <c r="Q89" s="374"/>
      <c r="R89" s="374"/>
      <c r="S89" s="374"/>
    </row>
    <row r="90" spans="4:19" ht="15.75" x14ac:dyDescent="0.25">
      <c r="D90" s="328" t="s">
        <v>505</v>
      </c>
      <c r="J90" s="374" t="s">
        <v>595</v>
      </c>
      <c r="K90" s="374"/>
      <c r="L90" s="374"/>
      <c r="M90" s="374"/>
      <c r="N90" s="374">
        <v>602</v>
      </c>
      <c r="O90" s="374" t="s">
        <v>633</v>
      </c>
      <c r="P90" s="374"/>
      <c r="Q90" s="374"/>
      <c r="R90" s="374"/>
      <c r="S90" s="374"/>
    </row>
    <row r="91" spans="4:19" ht="15.75" x14ac:dyDescent="0.25">
      <c r="D91" s="328" t="s">
        <v>506</v>
      </c>
      <c r="J91" s="374" t="s">
        <v>596</v>
      </c>
      <c r="K91" s="374"/>
      <c r="L91" s="374"/>
      <c r="M91" s="374"/>
      <c r="N91" s="374">
        <v>610</v>
      </c>
      <c r="O91" s="374" t="s">
        <v>302</v>
      </c>
      <c r="P91" s="374"/>
      <c r="Q91" s="374"/>
      <c r="R91" s="374"/>
      <c r="S91" s="374"/>
    </row>
    <row r="92" spans="4:19" ht="15.75" x14ac:dyDescent="0.25">
      <c r="D92" s="328" t="s">
        <v>508</v>
      </c>
      <c r="J92" s="374" t="s">
        <v>597</v>
      </c>
      <c r="K92" s="374"/>
      <c r="L92" s="374"/>
      <c r="M92" s="374"/>
      <c r="N92" s="374"/>
      <c r="O92" s="374"/>
      <c r="P92" s="374"/>
      <c r="Q92" s="374"/>
      <c r="R92" s="374"/>
      <c r="S92" s="374"/>
    </row>
    <row r="93" spans="4:19" ht="15.75" x14ac:dyDescent="0.25">
      <c r="D93" s="328" t="s">
        <v>509</v>
      </c>
      <c r="J93" s="374"/>
      <c r="K93" s="374"/>
      <c r="L93" s="374"/>
      <c r="M93" s="374"/>
      <c r="N93" s="374"/>
      <c r="O93" s="374"/>
      <c r="P93" s="374"/>
      <c r="Q93" s="374"/>
      <c r="R93" s="374"/>
      <c r="S93" s="374"/>
    </row>
    <row r="94" spans="4:19" ht="15.75" x14ac:dyDescent="0.25">
      <c r="D94" s="328" t="s">
        <v>510</v>
      </c>
      <c r="J94" s="374" t="s">
        <v>598</v>
      </c>
      <c r="K94" s="374"/>
      <c r="L94" s="374"/>
      <c r="M94" s="374"/>
      <c r="N94" s="374"/>
      <c r="O94" s="374"/>
      <c r="P94" s="374"/>
      <c r="Q94" s="374"/>
      <c r="R94" s="374"/>
      <c r="S94" s="374"/>
    </row>
    <row r="95" spans="4:19" ht="15.75" x14ac:dyDescent="0.25">
      <c r="D95" s="328" t="s">
        <v>511</v>
      </c>
      <c r="J95" s="374" t="s">
        <v>544</v>
      </c>
      <c r="K95" s="374"/>
      <c r="L95" s="374"/>
      <c r="M95" s="374"/>
      <c r="N95" s="374"/>
      <c r="O95" s="374"/>
      <c r="P95" s="374"/>
      <c r="Q95" s="374"/>
      <c r="R95" s="374"/>
      <c r="S95" s="374"/>
    </row>
    <row r="96" spans="4:19" ht="15.75" x14ac:dyDescent="0.25">
      <c r="D96" s="328" t="s">
        <v>727</v>
      </c>
      <c r="E96" s="327" t="s">
        <v>512</v>
      </c>
      <c r="J96" s="374" t="s">
        <v>599</v>
      </c>
      <c r="K96" s="374"/>
      <c r="L96" s="374"/>
      <c r="M96" s="374"/>
      <c r="N96" s="374"/>
      <c r="O96" s="374"/>
      <c r="P96" s="374"/>
      <c r="Q96" s="374"/>
      <c r="R96" s="374"/>
      <c r="S96" s="374"/>
    </row>
    <row r="97" spans="4:19" ht="15.75" x14ac:dyDescent="0.25">
      <c r="D97" s="328" t="s">
        <v>513</v>
      </c>
      <c r="J97" s="374" t="s">
        <v>600</v>
      </c>
      <c r="K97" s="374"/>
      <c r="L97" s="374"/>
      <c r="M97" s="374"/>
      <c r="N97" s="374"/>
      <c r="O97" s="374"/>
      <c r="P97" s="374"/>
      <c r="Q97" s="374"/>
      <c r="R97" s="374"/>
      <c r="S97" s="374"/>
    </row>
    <row r="98" spans="4:19" x14ac:dyDescent="0.2">
      <c r="J98" s="374" t="s">
        <v>601</v>
      </c>
      <c r="K98" s="374"/>
      <c r="L98" s="374"/>
      <c r="M98" s="374"/>
      <c r="N98" s="374"/>
      <c r="O98" s="374"/>
      <c r="P98" s="374"/>
      <c r="Q98" s="374"/>
      <c r="R98" s="374"/>
      <c r="S98" s="374"/>
    </row>
    <row r="99" spans="4:19" ht="15.75" x14ac:dyDescent="0.25">
      <c r="D99" s="328" t="s">
        <v>504</v>
      </c>
      <c r="J99" s="374" t="s">
        <v>602</v>
      </c>
      <c r="K99" s="374"/>
      <c r="L99" s="374"/>
      <c r="M99" s="374"/>
      <c r="N99" s="374"/>
      <c r="O99" s="374"/>
      <c r="P99" s="374"/>
      <c r="Q99" s="374"/>
      <c r="R99" s="374"/>
      <c r="S99" s="374"/>
    </row>
    <row r="100" spans="4:19" ht="15.75" x14ac:dyDescent="0.25">
      <c r="D100" s="328" t="s">
        <v>507</v>
      </c>
      <c r="J100" s="374"/>
      <c r="K100" s="374"/>
      <c r="L100" s="374"/>
      <c r="M100" s="374"/>
      <c r="N100" s="374"/>
      <c r="O100" s="374"/>
      <c r="P100" s="374"/>
      <c r="Q100" s="374"/>
      <c r="R100" s="374"/>
      <c r="S100" s="374"/>
    </row>
    <row r="101" spans="4:19" x14ac:dyDescent="0.2">
      <c r="J101" s="374" t="s">
        <v>603</v>
      </c>
      <c r="K101" s="374"/>
      <c r="L101" s="374"/>
      <c r="M101" s="374"/>
      <c r="N101" s="374"/>
      <c r="O101" s="374"/>
      <c r="P101" s="374"/>
      <c r="Q101" s="374"/>
      <c r="R101" s="374"/>
      <c r="S101" s="374"/>
    </row>
    <row r="102" spans="4:19" x14ac:dyDescent="0.2">
      <c r="J102" s="374" t="s">
        <v>544</v>
      </c>
      <c r="K102" s="374"/>
      <c r="L102" s="374"/>
      <c r="M102" s="374"/>
      <c r="N102" s="374"/>
      <c r="O102" s="374"/>
      <c r="P102" s="374"/>
      <c r="Q102" s="374"/>
      <c r="R102" s="374"/>
      <c r="S102" s="374"/>
    </row>
    <row r="103" spans="4:19" x14ac:dyDescent="0.2">
      <c r="J103" s="374" t="s">
        <v>604</v>
      </c>
      <c r="K103" s="374"/>
      <c r="L103" s="374"/>
      <c r="M103" s="374"/>
      <c r="N103" s="374"/>
      <c r="O103" s="374"/>
      <c r="P103" s="374"/>
      <c r="Q103" s="374"/>
      <c r="R103" s="374"/>
      <c r="S103" s="374"/>
    </row>
    <row r="104" spans="4:19" x14ac:dyDescent="0.2">
      <c r="J104" s="374" t="s">
        <v>605</v>
      </c>
      <c r="K104" s="374"/>
      <c r="L104" s="374"/>
      <c r="M104" s="374"/>
      <c r="N104" s="374"/>
      <c r="O104" s="374"/>
      <c r="P104" s="374"/>
      <c r="Q104" s="374"/>
      <c r="R104" s="374"/>
      <c r="S104" s="374"/>
    </row>
    <row r="105" spans="4:19" x14ac:dyDescent="0.2">
      <c r="J105" s="374" t="s">
        <v>606</v>
      </c>
      <c r="K105" s="374"/>
      <c r="L105" s="374"/>
      <c r="M105" s="374"/>
      <c r="N105" s="374"/>
      <c r="O105" s="374"/>
      <c r="P105" s="374"/>
      <c r="Q105" s="374"/>
      <c r="R105" s="374"/>
      <c r="S105" s="374"/>
    </row>
    <row r="106" spans="4:19" x14ac:dyDescent="0.2">
      <c r="J106" s="374" t="s">
        <v>607</v>
      </c>
      <c r="K106" s="374"/>
      <c r="L106" s="374"/>
      <c r="M106" s="374"/>
      <c r="N106" s="374"/>
      <c r="O106" s="374"/>
      <c r="P106" s="374"/>
      <c r="Q106" s="374"/>
      <c r="R106" s="374"/>
      <c r="S106" s="374"/>
    </row>
    <row r="107" spans="4:19" x14ac:dyDescent="0.2">
      <c r="J107" s="374" t="s">
        <v>608</v>
      </c>
      <c r="K107" s="374"/>
      <c r="L107" s="374"/>
      <c r="M107" s="374"/>
      <c r="N107" s="374"/>
      <c r="O107" s="374"/>
      <c r="P107" s="374"/>
      <c r="Q107" s="374"/>
      <c r="R107" s="374"/>
      <c r="S107" s="374"/>
    </row>
    <row r="108" spans="4:19" x14ac:dyDescent="0.2">
      <c r="J108" s="374" t="s">
        <v>609</v>
      </c>
      <c r="K108" s="374"/>
      <c r="L108" s="374"/>
      <c r="M108" s="374"/>
      <c r="N108" s="374"/>
      <c r="O108" s="374"/>
      <c r="P108" s="374"/>
      <c r="Q108" s="374"/>
      <c r="R108" s="374"/>
      <c r="S108" s="374"/>
    </row>
    <row r="109" spans="4:19" x14ac:dyDescent="0.2">
      <c r="J109" s="374" t="s">
        <v>610</v>
      </c>
      <c r="K109" s="374"/>
      <c r="L109" s="374"/>
      <c r="M109" s="374"/>
      <c r="N109" s="374"/>
      <c r="O109" s="374"/>
      <c r="P109" s="374"/>
      <c r="Q109" s="374"/>
      <c r="R109" s="374"/>
      <c r="S109" s="374"/>
    </row>
    <row r="110" spans="4:19" x14ac:dyDescent="0.2">
      <c r="J110" s="374" t="s">
        <v>611</v>
      </c>
      <c r="K110" s="374"/>
      <c r="L110" s="374"/>
      <c r="M110" s="374"/>
      <c r="N110" s="374"/>
      <c r="O110" s="374"/>
      <c r="P110" s="374"/>
      <c r="Q110" s="374"/>
      <c r="R110" s="374"/>
      <c r="S110" s="374"/>
    </row>
    <row r="111" spans="4:19" x14ac:dyDescent="0.2">
      <c r="J111" s="374"/>
      <c r="K111" s="374"/>
      <c r="L111" s="374"/>
      <c r="M111" s="374"/>
      <c r="N111" s="374"/>
      <c r="O111" s="374"/>
      <c r="P111" s="374"/>
      <c r="Q111" s="374"/>
      <c r="R111" s="374"/>
      <c r="S111" s="374"/>
    </row>
    <row r="112" spans="4:19" x14ac:dyDescent="0.2">
      <c r="J112" s="374" t="s">
        <v>612</v>
      </c>
      <c r="K112" s="374"/>
      <c r="L112" s="374"/>
      <c r="M112" s="374"/>
      <c r="N112" s="374"/>
      <c r="O112" s="374"/>
      <c r="P112" s="374"/>
      <c r="Q112" s="374"/>
      <c r="R112" s="374"/>
      <c r="S112" s="374"/>
    </row>
    <row r="113" spans="10:19" x14ac:dyDescent="0.2">
      <c r="J113" s="374" t="s">
        <v>544</v>
      </c>
      <c r="K113" s="374"/>
      <c r="L113" s="374"/>
      <c r="M113" s="374"/>
      <c r="N113" s="374"/>
      <c r="O113" s="374"/>
      <c r="P113" s="374"/>
      <c r="Q113" s="374"/>
      <c r="R113" s="374"/>
      <c r="S113" s="374"/>
    </row>
    <row r="114" spans="10:19" x14ac:dyDescent="0.2">
      <c r="J114" s="374" t="s">
        <v>613</v>
      </c>
      <c r="K114" s="374"/>
      <c r="L114" s="374"/>
      <c r="M114" s="374"/>
      <c r="N114" s="374"/>
      <c r="O114" s="374"/>
      <c r="P114" s="374"/>
      <c r="Q114" s="374"/>
      <c r="R114" s="374"/>
      <c r="S114" s="374"/>
    </row>
    <row r="115" spans="10:19" x14ac:dyDescent="0.2">
      <c r="J115" s="374" t="s">
        <v>614</v>
      </c>
      <c r="K115" s="374"/>
      <c r="L115" s="374"/>
      <c r="M115" s="374"/>
      <c r="N115" s="374"/>
      <c r="O115" s="374"/>
      <c r="P115" s="374"/>
      <c r="Q115" s="374"/>
      <c r="R115" s="374"/>
      <c r="S115" s="374"/>
    </row>
    <row r="116" spans="10:19" x14ac:dyDescent="0.2">
      <c r="J116" s="374" t="s">
        <v>615</v>
      </c>
      <c r="K116" s="374"/>
      <c r="L116" s="374"/>
      <c r="M116" s="374"/>
      <c r="N116" s="374"/>
      <c r="O116" s="374"/>
      <c r="P116" s="374"/>
      <c r="Q116" s="374"/>
      <c r="R116" s="374"/>
      <c r="S116" s="374"/>
    </row>
    <row r="117" spans="10:19" x14ac:dyDescent="0.2">
      <c r="J117" s="374" t="s">
        <v>616</v>
      </c>
      <c r="K117" s="374"/>
      <c r="L117" s="374"/>
      <c r="M117" s="374"/>
      <c r="N117" s="374"/>
      <c r="O117" s="374"/>
      <c r="P117" s="374"/>
      <c r="Q117" s="374"/>
      <c r="R117" s="374"/>
      <c r="S117" s="374"/>
    </row>
    <row r="118" spans="10:19" x14ac:dyDescent="0.2">
      <c r="J118" s="374" t="s">
        <v>617</v>
      </c>
      <c r="K118" s="374"/>
      <c r="L118" s="374"/>
      <c r="M118" s="374"/>
      <c r="N118" s="374"/>
      <c r="O118" s="374"/>
      <c r="P118" s="374"/>
      <c r="Q118" s="374"/>
      <c r="R118" s="374"/>
      <c r="S118" s="374"/>
    </row>
    <row r="119" spans="10:19" x14ac:dyDescent="0.2">
      <c r="J119" s="374" t="s">
        <v>618</v>
      </c>
      <c r="K119" s="374"/>
      <c r="L119" s="374"/>
      <c r="M119" s="374"/>
      <c r="N119" s="374"/>
      <c r="O119" s="374"/>
      <c r="P119" s="374"/>
      <c r="Q119" s="374"/>
      <c r="R119" s="374"/>
      <c r="S119" s="374"/>
    </row>
    <row r="120" spans="10:19" x14ac:dyDescent="0.2">
      <c r="J120" s="374" t="s">
        <v>619</v>
      </c>
      <c r="K120" s="374"/>
      <c r="L120" s="374"/>
      <c r="M120" s="374"/>
      <c r="N120" s="374"/>
      <c r="O120" s="374"/>
      <c r="P120" s="374"/>
      <c r="Q120" s="374"/>
      <c r="R120" s="374"/>
      <c r="S120" s="374"/>
    </row>
    <row r="121" spans="10:19" x14ac:dyDescent="0.2">
      <c r="J121" s="374" t="s">
        <v>620</v>
      </c>
      <c r="K121" s="374"/>
      <c r="L121" s="374"/>
      <c r="M121" s="374"/>
      <c r="N121" s="374"/>
      <c r="O121" s="374"/>
      <c r="P121" s="374"/>
      <c r="Q121" s="374"/>
      <c r="R121" s="374"/>
      <c r="S121" s="374"/>
    </row>
    <row r="122" spans="10:19" x14ac:dyDescent="0.2">
      <c r="J122" s="374" t="s">
        <v>621</v>
      </c>
      <c r="K122" s="374"/>
      <c r="L122" s="374"/>
      <c r="M122" s="374"/>
      <c r="N122" s="374"/>
      <c r="O122" s="374"/>
      <c r="P122" s="374"/>
      <c r="Q122" s="374"/>
      <c r="R122" s="374"/>
      <c r="S122" s="374"/>
    </row>
    <row r="123" spans="10:19" x14ac:dyDescent="0.2">
      <c r="J123" s="374" t="s">
        <v>622</v>
      </c>
      <c r="K123" s="374"/>
      <c r="L123" s="374"/>
      <c r="M123" s="374"/>
      <c r="N123" s="374"/>
      <c r="O123" s="374"/>
      <c r="P123" s="374"/>
      <c r="Q123" s="374"/>
      <c r="R123" s="374"/>
      <c r="S123" s="374"/>
    </row>
    <row r="124" spans="10:19" x14ac:dyDescent="0.2">
      <c r="J124" s="374" t="s">
        <v>623</v>
      </c>
      <c r="K124" s="374"/>
      <c r="L124" s="374"/>
      <c r="M124" s="374"/>
      <c r="N124" s="374"/>
      <c r="O124" s="374"/>
      <c r="P124" s="374"/>
      <c r="Q124" s="374"/>
      <c r="R124" s="374"/>
      <c r="S124" s="374"/>
    </row>
    <row r="125" spans="10:19" x14ac:dyDescent="0.2">
      <c r="J125" s="374" t="s">
        <v>624</v>
      </c>
      <c r="K125" s="374"/>
      <c r="L125" s="374"/>
      <c r="M125" s="374"/>
      <c r="N125" s="374"/>
      <c r="O125" s="374"/>
      <c r="P125" s="374"/>
      <c r="Q125" s="374"/>
      <c r="R125" s="374"/>
      <c r="S125" s="374"/>
    </row>
    <row r="126" spans="10:19" x14ac:dyDescent="0.2">
      <c r="J126" s="374" t="s">
        <v>625</v>
      </c>
      <c r="K126" s="374"/>
      <c r="L126" s="374"/>
      <c r="M126" s="374"/>
      <c r="N126" s="374"/>
      <c r="O126" s="374"/>
      <c r="P126" s="374"/>
      <c r="Q126" s="374"/>
      <c r="R126" s="374"/>
      <c r="S126" s="374"/>
    </row>
    <row r="127" spans="10:19" x14ac:dyDescent="0.2">
      <c r="J127" s="374"/>
      <c r="K127" s="374"/>
      <c r="L127" s="374"/>
      <c r="M127" s="374"/>
      <c r="N127" s="374"/>
      <c r="O127" s="374"/>
      <c r="P127" s="374"/>
      <c r="Q127" s="374"/>
      <c r="R127" s="374"/>
      <c r="S127" s="374"/>
    </row>
    <row r="128" spans="10:19" x14ac:dyDescent="0.2">
      <c r="J128" s="374"/>
      <c r="K128" s="374"/>
      <c r="L128" s="374"/>
      <c r="M128" s="374"/>
      <c r="N128" s="374"/>
      <c r="O128" s="374"/>
      <c r="P128" s="374"/>
      <c r="Q128" s="374"/>
      <c r="R128" s="374"/>
      <c r="S128" s="374"/>
    </row>
  </sheetData>
  <sheetProtection algorithmName="SHA-512" hashValue="iMGIaZv99YIQCqIjIqlagIvgaqdzQdTh0394ilBOyUE6EajU8o02YAH0nT/iMPCuD5dIPfN0NR9pGaltMFmntw==" saltValue="2Flkq+bEFA3L/OvmZwam6w==" spinCount="100000" sheet="1" objects="1" scenarios="1"/>
  <mergeCells count="1">
    <mergeCell ref="J1:O1"/>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64E25-C844-47CA-9906-B4E25DA95A01}">
  <dimension ref="A1:M8"/>
  <sheetViews>
    <sheetView workbookViewId="0"/>
  </sheetViews>
  <sheetFormatPr defaultRowHeight="12.75" x14ac:dyDescent="0.2"/>
  <cols>
    <col min="2" max="2" width="54.28515625" customWidth="1"/>
    <col min="4" max="4" width="10.28515625" bestFit="1" customWidth="1"/>
    <col min="5" max="5" width="11.28515625" bestFit="1" customWidth="1"/>
    <col min="6" max="8" width="10.28515625" bestFit="1" customWidth="1"/>
    <col min="9" max="9" width="12.28515625" bestFit="1" customWidth="1"/>
    <col min="10" max="10" width="10.28515625" bestFit="1" customWidth="1"/>
    <col min="13" max="13" width="2.7109375" bestFit="1" customWidth="1"/>
  </cols>
  <sheetData>
    <row r="1" spans="1:13" ht="13.5" thickBot="1" x14ac:dyDescent="0.25">
      <c r="C1" s="473">
        <v>2023</v>
      </c>
      <c r="D1" s="474"/>
      <c r="E1" s="474"/>
      <c r="F1" s="474"/>
      <c r="G1" s="474"/>
      <c r="H1" s="474"/>
      <c r="I1" s="474"/>
      <c r="J1" s="474"/>
      <c r="K1" s="474"/>
      <c r="L1" s="474"/>
      <c r="M1" s="475"/>
    </row>
    <row r="2" spans="1:13" ht="13.5" thickBot="1" x14ac:dyDescent="0.25">
      <c r="C2" s="356" t="s">
        <v>395</v>
      </c>
      <c r="D2" s="357" t="s">
        <v>677</v>
      </c>
      <c r="E2" s="357" t="s">
        <v>678</v>
      </c>
      <c r="F2" s="357" t="s">
        <v>679</v>
      </c>
      <c r="G2" s="357" t="s">
        <v>680</v>
      </c>
      <c r="H2" s="357" t="s">
        <v>681</v>
      </c>
      <c r="I2" s="357" t="s">
        <v>682</v>
      </c>
      <c r="J2" s="357" t="s">
        <v>683</v>
      </c>
      <c r="K2" s="357" t="s">
        <v>684</v>
      </c>
      <c r="L2" s="357" t="s">
        <v>685</v>
      </c>
      <c r="M2" s="358" t="s">
        <v>41</v>
      </c>
    </row>
    <row r="3" spans="1:13" ht="15" thickBot="1" x14ac:dyDescent="0.25">
      <c r="B3" s="1" t="s">
        <v>148</v>
      </c>
    </row>
    <row r="4" spans="1:13" x14ac:dyDescent="0.2">
      <c r="A4" s="33">
        <v>140</v>
      </c>
      <c r="B4" s="3" t="s">
        <v>149</v>
      </c>
      <c r="C4" s="50">
        <v>101945</v>
      </c>
      <c r="D4" s="6">
        <v>0</v>
      </c>
      <c r="E4" s="6">
        <v>0</v>
      </c>
      <c r="F4" s="6">
        <v>6884583</v>
      </c>
      <c r="G4" s="6">
        <v>4754377</v>
      </c>
      <c r="H4" s="6">
        <v>4017222</v>
      </c>
      <c r="I4" s="6">
        <v>12573575</v>
      </c>
      <c r="J4" s="6">
        <v>5023120</v>
      </c>
      <c r="K4" s="6">
        <v>0</v>
      </c>
      <c r="L4" s="6">
        <v>52442</v>
      </c>
      <c r="M4" s="362">
        <f>SUM(C4:L4)</f>
        <v>33407264</v>
      </c>
    </row>
    <row r="5" spans="1:13" x14ac:dyDescent="0.2">
      <c r="A5" s="33">
        <v>145</v>
      </c>
      <c r="B5" s="3" t="s">
        <v>150</v>
      </c>
      <c r="C5" s="50">
        <v>0</v>
      </c>
      <c r="D5" s="6">
        <v>8730800</v>
      </c>
      <c r="E5" s="6">
        <v>5549701</v>
      </c>
      <c r="F5" s="6">
        <v>107737</v>
      </c>
      <c r="G5" s="6">
        <v>2292459</v>
      </c>
      <c r="H5" s="6">
        <v>4256751</v>
      </c>
      <c r="I5" s="6">
        <v>109828167</v>
      </c>
      <c r="J5" s="6">
        <v>0</v>
      </c>
      <c r="K5" s="6">
        <v>247786</v>
      </c>
      <c r="L5" s="6">
        <v>0</v>
      </c>
      <c r="M5" s="363">
        <f>SUM(C5:L5)</f>
        <v>131013401</v>
      </c>
    </row>
    <row r="6" spans="1:13" x14ac:dyDescent="0.2">
      <c r="A6" s="33">
        <v>140</v>
      </c>
      <c r="B6" s="3" t="s">
        <v>151</v>
      </c>
      <c r="C6" s="50">
        <v>0</v>
      </c>
      <c r="D6" s="6">
        <v>0</v>
      </c>
      <c r="E6" s="6">
        <v>32009549</v>
      </c>
      <c r="F6" s="6">
        <v>0</v>
      </c>
      <c r="G6" s="6">
        <v>4038</v>
      </c>
      <c r="H6" s="6">
        <v>0</v>
      </c>
      <c r="I6" s="6">
        <v>0</v>
      </c>
      <c r="J6" s="6">
        <v>0</v>
      </c>
      <c r="K6" s="6">
        <v>0</v>
      </c>
      <c r="L6" s="6">
        <v>0</v>
      </c>
      <c r="M6" s="363">
        <f>SUM(C6:L6)</f>
        <v>32013587</v>
      </c>
    </row>
    <row r="7" spans="1:13" ht="13.5" thickBot="1" x14ac:dyDescent="0.25">
      <c r="A7" s="33">
        <v>145</v>
      </c>
      <c r="B7" s="3" t="s">
        <v>152</v>
      </c>
      <c r="C7" s="51">
        <v>0</v>
      </c>
      <c r="D7" s="7">
        <v>0</v>
      </c>
      <c r="E7" s="7">
        <v>0</v>
      </c>
      <c r="F7" s="7">
        <v>0</v>
      </c>
      <c r="G7" s="7">
        <v>16120</v>
      </c>
      <c r="H7" s="7">
        <v>0</v>
      </c>
      <c r="I7" s="7">
        <v>0</v>
      </c>
      <c r="J7" s="7">
        <v>0</v>
      </c>
      <c r="K7" s="7">
        <v>0</v>
      </c>
      <c r="L7" s="7">
        <v>0</v>
      </c>
      <c r="M7" s="364">
        <f>SUM(C7:L7)</f>
        <v>16120</v>
      </c>
    </row>
    <row r="8" spans="1:13" ht="13.5" thickBot="1" x14ac:dyDescent="0.25">
      <c r="A8" s="33"/>
      <c r="B8" s="359" t="s">
        <v>41</v>
      </c>
      <c r="C8" s="360">
        <f t="shared" ref="C8:L8" si="0">SUM(C4:C7)</f>
        <v>101945</v>
      </c>
      <c r="D8" s="360">
        <f t="shared" si="0"/>
        <v>8730800</v>
      </c>
      <c r="E8" s="360">
        <f t="shared" si="0"/>
        <v>37559250</v>
      </c>
      <c r="F8" s="360">
        <f t="shared" si="0"/>
        <v>6992320</v>
      </c>
      <c r="G8" s="360">
        <f t="shared" si="0"/>
        <v>7066994</v>
      </c>
      <c r="H8" s="360">
        <f t="shared" si="0"/>
        <v>8273973</v>
      </c>
      <c r="I8" s="360">
        <f t="shared" si="0"/>
        <v>122401742</v>
      </c>
      <c r="J8" s="360">
        <f t="shared" si="0"/>
        <v>5023120</v>
      </c>
      <c r="K8" s="360">
        <f t="shared" si="0"/>
        <v>247786</v>
      </c>
      <c r="L8" s="360">
        <f t="shared" si="0"/>
        <v>52442</v>
      </c>
      <c r="M8" s="361">
        <f>SUM(C8:L8)</f>
        <v>196450372</v>
      </c>
    </row>
  </sheetData>
  <mergeCells count="1">
    <mergeCell ref="C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6"/>
  <sheetViews>
    <sheetView showGridLines="0" zoomScaleNormal="100" workbookViewId="0">
      <selection activeCell="D43" sqref="D43"/>
    </sheetView>
  </sheetViews>
  <sheetFormatPr defaultRowHeight="12.75" x14ac:dyDescent="0.2"/>
  <cols>
    <col min="1" max="1" width="12.7109375" customWidth="1"/>
    <col min="2" max="2" width="2.7109375" customWidth="1"/>
    <col min="3" max="3" width="28.7109375" customWidth="1"/>
    <col min="4" max="4" width="49.140625" customWidth="1"/>
    <col min="5" max="5" width="12.7109375" customWidth="1"/>
  </cols>
  <sheetData>
    <row r="1" spans="1:5" ht="5.0999999999999996" customHeight="1" x14ac:dyDescent="0.2"/>
    <row r="2" spans="1:5" ht="15" x14ac:dyDescent="0.25">
      <c r="A2" s="451" t="s">
        <v>14</v>
      </c>
      <c r="B2" s="451"/>
      <c r="C2" s="451"/>
      <c r="D2" s="451"/>
      <c r="E2" s="451"/>
    </row>
    <row r="3" spans="1:5" ht="15" x14ac:dyDescent="0.25">
      <c r="A3" s="451" t="s">
        <v>15</v>
      </c>
      <c r="B3" s="451"/>
      <c r="C3" s="451"/>
      <c r="D3" s="451"/>
      <c r="E3" s="451"/>
    </row>
    <row r="4" spans="1:5" ht="7.5" customHeight="1" x14ac:dyDescent="0.25">
      <c r="A4" s="234"/>
      <c r="B4" s="234"/>
      <c r="C4" s="234"/>
      <c r="D4" s="234"/>
      <c r="E4" s="234"/>
    </row>
    <row r="5" spans="1:5" x14ac:dyDescent="0.2">
      <c r="B5" s="25" t="s">
        <v>16</v>
      </c>
    </row>
    <row r="6" spans="1:5" x14ac:dyDescent="0.2">
      <c r="C6" s="236" t="s">
        <v>17</v>
      </c>
      <c r="D6" s="310"/>
    </row>
    <row r="7" spans="1:5" x14ac:dyDescent="0.2">
      <c r="C7" s="26" t="s">
        <v>19</v>
      </c>
      <c r="D7" s="27" t="e">
        <f>VLOOKUP(D6,'Net Assets'!A5:C22,2,FALSE)</f>
        <v>#N/A</v>
      </c>
    </row>
    <row r="8" spans="1:5" ht="6" customHeight="1" x14ac:dyDescent="0.2">
      <c r="B8" s="25"/>
    </row>
    <row r="9" spans="1:5" x14ac:dyDescent="0.2">
      <c r="B9" s="25" t="s">
        <v>20</v>
      </c>
    </row>
    <row r="10" spans="1:5" x14ac:dyDescent="0.2">
      <c r="C10" s="26" t="s">
        <v>21</v>
      </c>
      <c r="D10" s="48"/>
    </row>
    <row r="11" spans="1:5" ht="5.0999999999999996" customHeight="1" x14ac:dyDescent="0.2">
      <c r="C11" s="26"/>
      <c r="D11" s="26"/>
    </row>
    <row r="12" spans="1:5" x14ac:dyDescent="0.2">
      <c r="C12" s="26" t="s">
        <v>22</v>
      </c>
      <c r="D12" s="55"/>
    </row>
    <row r="13" spans="1:5" ht="5.0999999999999996" customHeight="1" x14ac:dyDescent="0.2">
      <c r="C13" s="26"/>
      <c r="D13" s="26"/>
    </row>
    <row r="14" spans="1:5" x14ac:dyDescent="0.2">
      <c r="C14" s="26" t="s">
        <v>23</v>
      </c>
      <c r="D14" s="48"/>
    </row>
    <row r="15" spans="1:5" ht="6" customHeight="1" x14ac:dyDescent="0.2"/>
    <row r="16" spans="1:5" x14ac:dyDescent="0.2">
      <c r="B16" s="25" t="s">
        <v>24</v>
      </c>
    </row>
    <row r="17" spans="3:4" x14ac:dyDescent="0.2">
      <c r="C17" t="s">
        <v>25</v>
      </c>
      <c r="D17" s="311" t="s">
        <v>26</v>
      </c>
    </row>
    <row r="18" spans="3:4" ht="5.0999999999999996" customHeight="1" x14ac:dyDescent="0.2">
      <c r="D18" s="312"/>
    </row>
    <row r="19" spans="3:4" x14ac:dyDescent="0.2">
      <c r="C19" t="s">
        <v>27</v>
      </c>
      <c r="D19" s="47"/>
    </row>
    <row r="20" spans="3:4" ht="5.0999999999999996" customHeight="1" x14ac:dyDescent="0.2">
      <c r="D20" s="314" t="s">
        <v>28</v>
      </c>
    </row>
    <row r="21" spans="3:4" ht="12.75" customHeight="1" x14ac:dyDescent="0.2">
      <c r="C21" t="s">
        <v>29</v>
      </c>
    </row>
    <row r="22" spans="3:4" ht="5.0999999999999996" customHeight="1" x14ac:dyDescent="0.2">
      <c r="D22" s="312"/>
    </row>
    <row r="23" spans="3:4" x14ac:dyDescent="0.2">
      <c r="C23" t="s">
        <v>30</v>
      </c>
      <c r="D23" s="311"/>
    </row>
    <row r="24" spans="3:4" ht="5.0999999999999996" customHeight="1" x14ac:dyDescent="0.2">
      <c r="D24" s="312"/>
    </row>
    <row r="25" spans="3:4" x14ac:dyDescent="0.2">
      <c r="C25" t="s">
        <v>31</v>
      </c>
      <c r="D25" s="313"/>
    </row>
    <row r="26" spans="3:4" ht="5.0999999999999996" customHeight="1" x14ac:dyDescent="0.2"/>
    <row r="27" spans="3:4" x14ac:dyDescent="0.2">
      <c r="C27" s="452" t="s">
        <v>32</v>
      </c>
      <c r="D27" s="452"/>
    </row>
    <row r="28" spans="3:4" ht="6.95" customHeight="1" x14ac:dyDescent="0.2">
      <c r="C28" s="151"/>
      <c r="D28" s="151"/>
    </row>
    <row r="29" spans="3:4" x14ac:dyDescent="0.2">
      <c r="C29" s="56" t="s">
        <v>33</v>
      </c>
      <c r="D29" s="151"/>
    </row>
    <row r="30" spans="3:4" x14ac:dyDescent="0.2">
      <c r="C30" s="236" t="s">
        <v>34</v>
      </c>
      <c r="D30" s="151"/>
    </row>
    <row r="31" spans="3:4" x14ac:dyDescent="0.2">
      <c r="C31" t="s">
        <v>35</v>
      </c>
    </row>
    <row r="32" spans="3:4" x14ac:dyDescent="0.2">
      <c r="C32" t="s">
        <v>36</v>
      </c>
    </row>
    <row r="33" spans="3:4" ht="13.5" thickBot="1" x14ac:dyDescent="0.25">
      <c r="C33" t="s">
        <v>37</v>
      </c>
    </row>
    <row r="34" spans="3:4" ht="13.5" thickBot="1" x14ac:dyDescent="0.25">
      <c r="C34" s="76" t="s">
        <v>466</v>
      </c>
      <c r="D34" s="309"/>
    </row>
    <row r="35" spans="3:4" x14ac:dyDescent="0.2">
      <c r="C35" s="152" t="s">
        <v>465</v>
      </c>
    </row>
    <row r="36" spans="3:4" x14ac:dyDescent="0.2">
      <c r="C36" s="152" t="s">
        <v>38</v>
      </c>
    </row>
  </sheetData>
  <sheetProtection algorithmName="SHA-512" hashValue="wPI8HWePAPbrJc/m53/L+J5a3JyzPmSY82NLWbzxK6XkFFR5wxAlPDLRfC30xs49NGiFqMpou0aYlGdmyZ2UJg==" saltValue="kVNBA9Xt6epk7YsTbnTg7A==" spinCount="100000" sheet="1" formatColumns="0" formatRows="0" autoFilter="0"/>
  <mergeCells count="3">
    <mergeCell ref="A2:E2"/>
    <mergeCell ref="A3:E3"/>
    <mergeCell ref="C27:D27"/>
  </mergeCells>
  <phoneticPr fontId="0" type="noConversion"/>
  <dataValidations count="1">
    <dataValidation type="list" allowBlank="1" showInputMessage="1" showErrorMessage="1" sqref="D6" xr:uid="{00000000-0002-0000-0100-000000000000}">
      <formula1>Number</formula1>
    </dataValidation>
  </dataValidations>
  <pageMargins left="0.25" right="0.25" top="1" bottom="1" header="0.5" footer="0.2"/>
  <pageSetup scale="91" orientation="landscape" r:id="rId1"/>
  <headerFooter alignWithMargins="0">
    <oddFooter>&amp;L&amp;F &amp;A&amp;C&amp;P of &amp;N&amp;R&amp;D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1CBF0-23B1-4222-B64E-0A1FC8C01AA1}">
  <sheetPr codeName="Sheet13">
    <pageSetUpPr fitToPage="1"/>
  </sheetPr>
  <dimension ref="A1:J34"/>
  <sheetViews>
    <sheetView workbookViewId="0">
      <selection activeCell="E7" sqref="E7"/>
    </sheetView>
  </sheetViews>
  <sheetFormatPr defaultRowHeight="12.75" x14ac:dyDescent="0.2"/>
  <cols>
    <col min="1" max="1" width="13.7109375" customWidth="1"/>
    <col min="2" max="2" width="2.7109375" customWidth="1"/>
    <col min="3" max="3" width="44.7109375" customWidth="1"/>
    <col min="4" max="4" width="2.7109375" customWidth="1"/>
    <col min="5" max="5" width="82.28515625" customWidth="1"/>
    <col min="7" max="7" width="46.5703125" style="512" hidden="1" customWidth="1"/>
    <col min="8" max="8" width="0" style="512" hidden="1" customWidth="1"/>
    <col min="9" max="9" width="10.5703125" style="512" hidden="1" customWidth="1"/>
    <col min="10" max="10" width="10.140625" style="512" hidden="1" customWidth="1"/>
  </cols>
  <sheetData>
    <row r="1" spans="1:10" ht="18.75" x14ac:dyDescent="0.3">
      <c r="A1" s="453" t="s">
        <v>11</v>
      </c>
      <c r="B1" s="453"/>
      <c r="C1" s="453"/>
      <c r="D1" s="453"/>
      <c r="E1" s="453"/>
      <c r="G1" s="503"/>
      <c r="H1" s="503"/>
      <c r="I1" s="503"/>
      <c r="J1" s="503"/>
    </row>
    <row r="2" spans="1:10" ht="15.75" x14ac:dyDescent="0.25">
      <c r="A2" s="454" t="s">
        <v>484</v>
      </c>
      <c r="B2" s="454"/>
      <c r="C2" s="454"/>
      <c r="D2" s="454"/>
      <c r="E2" s="454"/>
      <c r="G2" s="504" t="s">
        <v>760</v>
      </c>
      <c r="H2" s="503"/>
      <c r="I2" s="503"/>
      <c r="J2" s="503"/>
    </row>
    <row r="3" spans="1:10" ht="15.75" x14ac:dyDescent="0.2">
      <c r="A3" s="283"/>
      <c r="B3" s="284"/>
      <c r="C3" s="283"/>
      <c r="D3" s="284"/>
      <c r="E3" s="285"/>
      <c r="G3" s="503"/>
      <c r="H3" s="503"/>
      <c r="I3" s="503"/>
      <c r="J3" s="503"/>
    </row>
    <row r="4" spans="1:10" ht="15.75" customHeight="1" x14ac:dyDescent="0.2">
      <c r="G4" s="505" t="s">
        <v>761</v>
      </c>
      <c r="H4" s="505"/>
      <c r="I4" s="505"/>
      <c r="J4" s="505"/>
    </row>
    <row r="5" spans="1:10" ht="90.75" thickBot="1" x14ac:dyDescent="0.3">
      <c r="A5" s="286" t="s">
        <v>468</v>
      </c>
      <c r="C5" s="286" t="s">
        <v>470</v>
      </c>
      <c r="E5" s="287" t="s">
        <v>469</v>
      </c>
      <c r="G5" s="506" t="s">
        <v>762</v>
      </c>
      <c r="H5" s="506" t="s">
        <v>763</v>
      </c>
      <c r="I5" s="506" t="s">
        <v>764</v>
      </c>
      <c r="J5" s="506" t="s">
        <v>765</v>
      </c>
    </row>
    <row r="6" spans="1:10" s="294" customFormat="1" ht="34.5" customHeight="1" x14ac:dyDescent="0.2">
      <c r="A6" s="395">
        <v>45444</v>
      </c>
      <c r="B6" s="396"/>
      <c r="C6" s="397" t="s">
        <v>305</v>
      </c>
      <c r="D6" s="396"/>
      <c r="E6" s="398" t="s">
        <v>728</v>
      </c>
      <c r="G6" s="510" t="s">
        <v>766</v>
      </c>
      <c r="H6" s="508">
        <v>45461</v>
      </c>
      <c r="I6" s="508">
        <v>45443</v>
      </c>
      <c r="J6" s="508">
        <v>45461</v>
      </c>
    </row>
    <row r="7" spans="1:10" s="294" customFormat="1" ht="128.25" x14ac:dyDescent="0.2">
      <c r="A7" s="395">
        <v>45469</v>
      </c>
      <c r="B7" s="396"/>
      <c r="C7" s="397" t="s">
        <v>305</v>
      </c>
      <c r="D7" s="396"/>
      <c r="E7" s="398" t="s">
        <v>767</v>
      </c>
      <c r="G7" s="510" t="s">
        <v>766</v>
      </c>
      <c r="H7" s="508">
        <v>45469</v>
      </c>
      <c r="I7" s="508">
        <v>45469</v>
      </c>
      <c r="J7" s="509">
        <v>45469</v>
      </c>
    </row>
    <row r="8" spans="1:10" ht="14.25" x14ac:dyDescent="0.2">
      <c r="A8" s="288"/>
      <c r="B8" s="284"/>
      <c r="C8" s="289"/>
      <c r="D8" s="284"/>
      <c r="E8" s="290"/>
      <c r="G8" s="507"/>
      <c r="H8" s="508"/>
      <c r="I8" s="508"/>
      <c r="J8" s="509"/>
    </row>
    <row r="9" spans="1:10" ht="14.25" x14ac:dyDescent="0.2">
      <c r="A9" s="288"/>
      <c r="B9" s="284"/>
      <c r="C9" s="289"/>
      <c r="D9" s="284"/>
      <c r="E9" s="290"/>
      <c r="G9" s="510"/>
      <c r="H9" s="508"/>
      <c r="I9" s="508"/>
      <c r="J9" s="508"/>
    </row>
    <row r="10" spans="1:10" ht="14.25" x14ac:dyDescent="0.2">
      <c r="A10" s="288"/>
      <c r="B10" s="284"/>
      <c r="C10" s="289"/>
      <c r="D10" s="284"/>
      <c r="E10" s="290"/>
      <c r="G10" s="510"/>
      <c r="H10" s="508"/>
      <c r="I10" s="508"/>
      <c r="J10" s="508"/>
    </row>
    <row r="11" spans="1:10" ht="14.25" x14ac:dyDescent="0.2">
      <c r="A11" s="288"/>
      <c r="B11" s="284"/>
      <c r="C11" s="289"/>
      <c r="D11" s="284"/>
      <c r="E11" s="290"/>
      <c r="G11" s="510"/>
      <c r="H11" s="508"/>
      <c r="I11" s="508"/>
      <c r="J11" s="508"/>
    </row>
    <row r="12" spans="1:10" ht="14.25" x14ac:dyDescent="0.2">
      <c r="A12" s="288"/>
      <c r="B12" s="284"/>
      <c r="C12" s="289"/>
      <c r="D12" s="284"/>
      <c r="E12" s="290"/>
      <c r="G12" s="510"/>
      <c r="H12" s="508"/>
      <c r="I12" s="508"/>
      <c r="J12" s="508"/>
    </row>
    <row r="13" spans="1:10" ht="14.25" x14ac:dyDescent="0.2">
      <c r="A13" s="288"/>
      <c r="B13" s="284"/>
      <c r="C13" s="289"/>
      <c r="D13" s="284"/>
      <c r="E13" s="290"/>
      <c r="G13" s="510"/>
      <c r="H13" s="508"/>
      <c r="I13" s="508"/>
      <c r="J13" s="508"/>
    </row>
    <row r="14" spans="1:10" ht="14.25" x14ac:dyDescent="0.2">
      <c r="A14" s="288"/>
      <c r="B14" s="284"/>
      <c r="C14" s="289"/>
      <c r="D14" s="284"/>
      <c r="E14" s="290"/>
      <c r="G14" s="510"/>
      <c r="H14" s="508"/>
      <c r="I14" s="508"/>
      <c r="J14" s="508"/>
    </row>
    <row r="15" spans="1:10" ht="14.25" x14ac:dyDescent="0.2">
      <c r="A15" s="288"/>
      <c r="B15" s="284"/>
      <c r="C15" s="289"/>
      <c r="D15" s="284"/>
      <c r="E15" s="290"/>
      <c r="G15" s="510"/>
      <c r="H15" s="508"/>
      <c r="I15" s="508"/>
      <c r="J15" s="508"/>
    </row>
    <row r="16" spans="1:10" ht="14.25" x14ac:dyDescent="0.2">
      <c r="A16" s="288"/>
      <c r="B16" s="284"/>
      <c r="C16" s="289"/>
      <c r="D16" s="284"/>
      <c r="E16" s="290"/>
      <c r="G16" s="510"/>
      <c r="H16" s="508"/>
      <c r="I16" s="508"/>
      <c r="J16" s="508"/>
    </row>
    <row r="17" spans="1:10" ht="14.25" x14ac:dyDescent="0.2">
      <c r="A17" s="283"/>
      <c r="B17" s="284"/>
      <c r="C17" s="283"/>
      <c r="D17" s="284"/>
      <c r="E17" s="291"/>
      <c r="G17" s="511"/>
      <c r="H17" s="508"/>
      <c r="I17" s="508"/>
      <c r="J17" s="508"/>
    </row>
    <row r="18" spans="1:10" ht="14.25" x14ac:dyDescent="0.2">
      <c r="A18" s="283"/>
      <c r="B18" s="284"/>
      <c r="C18" s="283"/>
      <c r="D18" s="284"/>
      <c r="E18" s="291"/>
      <c r="G18" s="511"/>
      <c r="H18" s="508"/>
      <c r="I18" s="508"/>
      <c r="J18" s="508"/>
    </row>
    <row r="19" spans="1:10" ht="14.25" x14ac:dyDescent="0.2">
      <c r="A19" s="283"/>
      <c r="B19" s="284"/>
      <c r="C19" s="283"/>
      <c r="D19" s="284"/>
      <c r="E19" s="291"/>
      <c r="G19" s="511"/>
      <c r="H19" s="508"/>
      <c r="I19" s="508"/>
      <c r="J19" s="508"/>
    </row>
    <row r="20" spans="1:10" ht="14.25" x14ac:dyDescent="0.2">
      <c r="A20" s="283"/>
      <c r="B20" s="284"/>
      <c r="C20" s="283"/>
      <c r="D20" s="284"/>
      <c r="E20" s="291"/>
      <c r="G20" s="511"/>
      <c r="H20" s="508"/>
      <c r="I20" s="508"/>
      <c r="J20" s="508"/>
    </row>
    <row r="21" spans="1:10" ht="14.25" x14ac:dyDescent="0.2">
      <c r="A21" s="283"/>
      <c r="B21" s="284"/>
      <c r="C21" s="283"/>
      <c r="D21" s="284"/>
      <c r="E21" s="291"/>
      <c r="G21" s="511"/>
      <c r="H21" s="508"/>
      <c r="I21" s="508"/>
      <c r="J21" s="508"/>
    </row>
    <row r="22" spans="1:10" ht="14.25" x14ac:dyDescent="0.2">
      <c r="A22" s="283"/>
      <c r="B22" s="284"/>
      <c r="C22" s="283"/>
      <c r="D22" s="284"/>
      <c r="E22" s="291"/>
      <c r="G22" s="511"/>
      <c r="H22" s="508"/>
      <c r="I22" s="508"/>
      <c r="J22" s="508"/>
    </row>
    <row r="23" spans="1:10" x14ac:dyDescent="0.2">
      <c r="G23" s="511"/>
      <c r="H23" s="508"/>
      <c r="I23" s="508"/>
      <c r="J23" s="508"/>
    </row>
    <row r="24" spans="1:10" x14ac:dyDescent="0.2">
      <c r="G24" s="511"/>
      <c r="H24" s="508"/>
      <c r="I24" s="508"/>
      <c r="J24" s="508"/>
    </row>
    <row r="25" spans="1:10" x14ac:dyDescent="0.2">
      <c r="G25" s="511"/>
      <c r="H25" s="508"/>
      <c r="I25" s="508"/>
      <c r="J25" s="508"/>
    </row>
    <row r="26" spans="1:10" x14ac:dyDescent="0.2">
      <c r="G26" s="511"/>
      <c r="H26" s="508"/>
      <c r="I26" s="508"/>
      <c r="J26" s="508"/>
    </row>
    <row r="27" spans="1:10" x14ac:dyDescent="0.2">
      <c r="G27" s="511"/>
      <c r="H27" s="508"/>
      <c r="I27" s="508"/>
      <c r="J27" s="508"/>
    </row>
    <row r="28" spans="1:10" x14ac:dyDescent="0.2">
      <c r="G28" s="511"/>
      <c r="H28" s="508"/>
      <c r="I28" s="508"/>
      <c r="J28" s="508"/>
    </row>
    <row r="29" spans="1:10" x14ac:dyDescent="0.2">
      <c r="G29" s="511"/>
      <c r="H29" s="508"/>
      <c r="I29" s="508"/>
      <c r="J29" s="508"/>
    </row>
    <row r="30" spans="1:10" x14ac:dyDescent="0.2">
      <c r="G30" s="511"/>
      <c r="H30" s="508"/>
      <c r="I30" s="508"/>
      <c r="J30" s="508"/>
    </row>
    <row r="31" spans="1:10" x14ac:dyDescent="0.2">
      <c r="G31" s="511"/>
      <c r="H31" s="508"/>
      <c r="I31" s="508"/>
      <c r="J31" s="508"/>
    </row>
    <row r="32" spans="1:10" x14ac:dyDescent="0.2">
      <c r="G32" s="511"/>
      <c r="H32" s="508"/>
      <c r="I32" s="508"/>
      <c r="J32" s="508"/>
    </row>
    <row r="33" spans="7:10" x14ac:dyDescent="0.2">
      <c r="G33" s="511"/>
      <c r="H33" s="508"/>
      <c r="I33" s="508"/>
      <c r="J33" s="508"/>
    </row>
    <row r="34" spans="7:10" x14ac:dyDescent="0.2">
      <c r="G34" s="511"/>
      <c r="H34" s="508"/>
      <c r="I34" s="508"/>
      <c r="J34" s="508"/>
    </row>
  </sheetData>
  <sheetProtection algorithmName="SHA-512" hashValue="6JyFGaqFCihwMwiDCAzjJfyUfh+lW10LuOUTHm2sg+3edXp2/cRT/9AMtEzMkJQOgzuP0cKHWj83Uhq+rIzl0w==" saltValue="uzfMdhyb3nVTBMLOF7cBMg==" spinCount="100000" sheet="1" objects="1" scenarios="1"/>
  <mergeCells count="3">
    <mergeCell ref="A1:E1"/>
    <mergeCell ref="A2:E2"/>
    <mergeCell ref="G4:J4"/>
  </mergeCells>
  <pageMargins left="0.7" right="0.7" top="0.75" bottom="0.75" header="0.3" footer="0.3"/>
  <pageSetup scale="9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77"/>
  <sheetViews>
    <sheetView zoomScaleNormal="100" workbookViewId="0">
      <selection activeCell="P40" sqref="P40"/>
    </sheetView>
  </sheetViews>
  <sheetFormatPr defaultRowHeight="12.75" x14ac:dyDescent="0.2"/>
  <cols>
    <col min="1" max="1" width="5.28515625" customWidth="1"/>
    <col min="2" max="2" width="40.85546875" customWidth="1"/>
    <col min="3" max="3" width="1.28515625" customWidth="1"/>
    <col min="4" max="4" width="16.5703125" customWidth="1"/>
    <col min="5" max="5" width="1.28515625" customWidth="1"/>
    <col min="6" max="6" width="16.5703125" customWidth="1"/>
    <col min="7" max="7" width="1.28515625" customWidth="1"/>
    <col min="8" max="8" width="15.5703125" customWidth="1"/>
    <col min="9" max="9" width="1.28515625" customWidth="1"/>
    <col min="10" max="10" width="13.85546875" customWidth="1"/>
    <col min="11" max="11" width="1.28515625" customWidth="1"/>
    <col min="12" max="12" width="14.7109375" customWidth="1"/>
    <col min="13" max="13" width="1.28515625" customWidth="1"/>
    <col min="14" max="14" width="16.28515625" customWidth="1"/>
    <col min="16" max="16" width="14.28515625" customWidth="1"/>
  </cols>
  <sheetData>
    <row r="1" spans="1:14" ht="12.75" customHeight="1" x14ac:dyDescent="0.2">
      <c r="A1" s="282" t="e">
        <f>CONCATENATE(Info!D7," Foundations")</f>
        <v>#N/A</v>
      </c>
      <c r="N1" s="31" t="s">
        <v>39</v>
      </c>
    </row>
    <row r="2" spans="1:14" ht="12.75" customHeight="1" x14ac:dyDescent="0.2">
      <c r="A2" s="1" t="s">
        <v>40</v>
      </c>
    </row>
    <row r="3" spans="1:14" ht="12.75" customHeight="1" x14ac:dyDescent="0.2">
      <c r="A3" s="153" t="s">
        <v>467</v>
      </c>
    </row>
    <row r="4" spans="1:14" ht="8.1" customHeight="1" x14ac:dyDescent="0.2">
      <c r="B4" s="154"/>
    </row>
    <row r="5" spans="1:14" ht="11.85" customHeight="1" x14ac:dyDescent="0.2">
      <c r="B5" s="154"/>
      <c r="D5" s="455" t="str">
        <f>Info!D17</f>
        <v>Name of Foundation</v>
      </c>
      <c r="F5" s="455">
        <f>Info!D19</f>
        <v>0</v>
      </c>
      <c r="H5" s="455">
        <f>Info!D21</f>
        <v>0</v>
      </c>
      <c r="J5" s="455">
        <f>Info!D23</f>
        <v>0</v>
      </c>
      <c r="L5" s="455">
        <f>Info!D25</f>
        <v>0</v>
      </c>
    </row>
    <row r="6" spans="1:14" ht="11.85" customHeight="1" x14ac:dyDescent="0.2">
      <c r="D6" s="455"/>
      <c r="E6" s="32"/>
      <c r="F6" s="455"/>
      <c r="G6" s="33"/>
      <c r="H6" s="455"/>
      <c r="I6" s="33"/>
      <c r="J6" s="455"/>
      <c r="K6" s="33"/>
      <c r="L6" s="455"/>
      <c r="M6" s="33"/>
      <c r="N6" s="33"/>
    </row>
    <row r="7" spans="1:14" ht="11.85" customHeight="1" x14ac:dyDescent="0.2">
      <c r="D7" s="456"/>
      <c r="E7" s="32"/>
      <c r="F7" s="456"/>
      <c r="G7" s="33"/>
      <c r="H7" s="456"/>
      <c r="I7" s="33"/>
      <c r="J7" s="456"/>
      <c r="K7" s="33"/>
      <c r="L7" s="456"/>
      <c r="M7" s="33"/>
      <c r="N7" s="41" t="s">
        <v>41</v>
      </c>
    </row>
    <row r="8" spans="1:14" x14ac:dyDescent="0.2">
      <c r="A8" s="32"/>
      <c r="B8" s="137" t="s">
        <v>42</v>
      </c>
      <c r="C8" s="32"/>
      <c r="D8" s="32"/>
      <c r="E8" s="32"/>
      <c r="F8" s="32"/>
      <c r="G8" s="32"/>
      <c r="H8" s="32"/>
      <c r="I8" s="32"/>
      <c r="J8" s="32"/>
      <c r="K8" s="32"/>
      <c r="L8" s="32"/>
      <c r="M8" s="32"/>
      <c r="N8" s="32"/>
    </row>
    <row r="9" spans="1:14" ht="11.85" customHeight="1" x14ac:dyDescent="0.2">
      <c r="A9" s="33">
        <v>100</v>
      </c>
      <c r="B9" s="32" t="s">
        <v>43</v>
      </c>
      <c r="C9" s="32"/>
      <c r="D9" s="237">
        <v>0</v>
      </c>
      <c r="E9" s="207"/>
      <c r="F9" s="237">
        <v>0</v>
      </c>
      <c r="G9" s="238"/>
      <c r="H9" s="237">
        <v>0</v>
      </c>
      <c r="I9" s="237"/>
      <c r="J9" s="237">
        <v>0</v>
      </c>
      <c r="K9" s="237"/>
      <c r="L9" s="237">
        <v>0</v>
      </c>
      <c r="M9" s="238"/>
      <c r="N9" s="238">
        <f>D9+F9+H9+J9+L9</f>
        <v>0</v>
      </c>
    </row>
    <row r="10" spans="1:14" ht="11.85" customHeight="1" x14ac:dyDescent="0.2">
      <c r="A10" s="33" t="s">
        <v>44</v>
      </c>
      <c r="B10" s="32" t="s">
        <v>45</v>
      </c>
      <c r="C10" s="32"/>
      <c r="D10" s="239">
        <v>0</v>
      </c>
      <c r="E10" s="207"/>
      <c r="F10" s="239">
        <v>0</v>
      </c>
      <c r="G10" s="240"/>
      <c r="H10" s="239">
        <v>0</v>
      </c>
      <c r="I10" s="239"/>
      <c r="J10" s="239">
        <v>0</v>
      </c>
      <c r="K10" s="239"/>
      <c r="L10" s="239">
        <v>0</v>
      </c>
      <c r="M10" s="240"/>
      <c r="N10" s="240">
        <f>D10+F10+H10+J10+L10</f>
        <v>0</v>
      </c>
    </row>
    <row r="11" spans="1:14" ht="11.85" customHeight="1" x14ac:dyDescent="0.2">
      <c r="A11" s="33">
        <v>105</v>
      </c>
      <c r="B11" s="32" t="s">
        <v>46</v>
      </c>
      <c r="C11" s="32"/>
      <c r="D11" s="239">
        <v>0</v>
      </c>
      <c r="E11" s="207"/>
      <c r="F11" s="239">
        <v>0</v>
      </c>
      <c r="G11" s="240"/>
      <c r="H11" s="239">
        <v>0</v>
      </c>
      <c r="I11" s="239"/>
      <c r="J11" s="239">
        <v>0</v>
      </c>
      <c r="K11" s="239"/>
      <c r="L11" s="239">
        <v>0</v>
      </c>
      <c r="M11" s="240"/>
      <c r="N11" s="240">
        <f>D11+F11+H11+J11+L11</f>
        <v>0</v>
      </c>
    </row>
    <row r="12" spans="1:14" ht="11.85" customHeight="1" x14ac:dyDescent="0.2">
      <c r="A12" s="33">
        <v>105</v>
      </c>
      <c r="B12" s="32" t="s">
        <v>47</v>
      </c>
      <c r="C12" s="32"/>
      <c r="D12" s="239">
        <v>0</v>
      </c>
      <c r="E12" s="207"/>
      <c r="F12" s="239">
        <v>0</v>
      </c>
      <c r="G12" s="240"/>
      <c r="H12" s="239">
        <v>0</v>
      </c>
      <c r="I12" s="239"/>
      <c r="J12" s="239">
        <v>0</v>
      </c>
      <c r="K12" s="239"/>
      <c r="L12" s="239">
        <v>0</v>
      </c>
      <c r="M12" s="240"/>
      <c r="N12" s="240">
        <f>D12+F12+H12+J12+L12</f>
        <v>0</v>
      </c>
    </row>
    <row r="13" spans="1:14" ht="11.85" customHeight="1" x14ac:dyDescent="0.2">
      <c r="A13" s="33">
        <v>105</v>
      </c>
      <c r="B13" s="32" t="s">
        <v>48</v>
      </c>
      <c r="C13" s="32"/>
      <c r="D13" s="239">
        <v>0</v>
      </c>
      <c r="E13" s="207"/>
      <c r="F13" s="239">
        <v>0</v>
      </c>
      <c r="G13" s="240"/>
      <c r="H13" s="239">
        <v>0</v>
      </c>
      <c r="I13" s="239"/>
      <c r="J13" s="239">
        <v>0</v>
      </c>
      <c r="K13" s="239"/>
      <c r="L13" s="239">
        <v>0</v>
      </c>
      <c r="M13" s="240"/>
      <c r="N13" s="240">
        <f t="shared" ref="N13:N27" si="0">D13+F13+H13+J13+L13</f>
        <v>0</v>
      </c>
    </row>
    <row r="14" spans="1:14" ht="11.85" customHeight="1" x14ac:dyDescent="0.2">
      <c r="A14" s="33">
        <v>105</v>
      </c>
      <c r="B14" s="32" t="s">
        <v>49</v>
      </c>
      <c r="C14" s="32"/>
      <c r="D14" s="239">
        <v>0</v>
      </c>
      <c r="E14" s="207"/>
      <c r="F14" s="239">
        <v>0</v>
      </c>
      <c r="G14" s="240"/>
      <c r="H14" s="239">
        <v>0</v>
      </c>
      <c r="I14" s="239"/>
      <c r="J14" s="239">
        <v>0</v>
      </c>
      <c r="K14" s="239"/>
      <c r="L14" s="239">
        <v>0</v>
      </c>
      <c r="M14" s="240"/>
      <c r="N14" s="240">
        <f t="shared" si="0"/>
        <v>0</v>
      </c>
    </row>
    <row r="15" spans="1:14" ht="11.85" customHeight="1" x14ac:dyDescent="0.2">
      <c r="A15" s="33">
        <v>105</v>
      </c>
      <c r="B15" s="32" t="s">
        <v>50</v>
      </c>
      <c r="C15" s="32"/>
      <c r="D15" s="239">
        <v>0</v>
      </c>
      <c r="E15" s="207"/>
      <c r="F15" s="239">
        <v>0</v>
      </c>
      <c r="G15" s="240"/>
      <c r="H15" s="239">
        <v>0</v>
      </c>
      <c r="I15" s="239"/>
      <c r="J15" s="239">
        <v>0</v>
      </c>
      <c r="K15" s="239"/>
      <c r="L15" s="239">
        <v>0</v>
      </c>
      <c r="M15" s="240"/>
      <c r="N15" s="240">
        <f t="shared" si="0"/>
        <v>0</v>
      </c>
    </row>
    <row r="16" spans="1:14" ht="11.85" customHeight="1" x14ac:dyDescent="0.2">
      <c r="A16" s="33">
        <v>105</v>
      </c>
      <c r="B16" s="32" t="s">
        <v>51</v>
      </c>
      <c r="C16" s="32"/>
      <c r="D16" s="239">
        <v>0</v>
      </c>
      <c r="E16" s="207"/>
      <c r="F16" s="239">
        <v>0</v>
      </c>
      <c r="G16" s="240"/>
      <c r="H16" s="239">
        <v>0</v>
      </c>
      <c r="I16" s="239"/>
      <c r="J16" s="239">
        <v>0</v>
      </c>
      <c r="K16" s="239"/>
      <c r="L16" s="239">
        <v>0</v>
      </c>
      <c r="M16" s="240"/>
      <c r="N16" s="240">
        <f t="shared" si="0"/>
        <v>0</v>
      </c>
    </row>
    <row r="17" spans="1:15" ht="11.85" customHeight="1" x14ac:dyDescent="0.2">
      <c r="A17" s="33">
        <v>110</v>
      </c>
      <c r="B17" s="32" t="s">
        <v>52</v>
      </c>
      <c r="C17" s="32"/>
      <c r="D17" s="239">
        <v>0</v>
      </c>
      <c r="E17" s="207"/>
      <c r="F17" s="239">
        <v>0</v>
      </c>
      <c r="G17" s="240"/>
      <c r="H17" s="239">
        <v>0</v>
      </c>
      <c r="I17" s="239"/>
      <c r="J17" s="239">
        <v>0</v>
      </c>
      <c r="K17" s="239"/>
      <c r="L17" s="239">
        <v>0</v>
      </c>
      <c r="M17" s="240"/>
      <c r="N17" s="240">
        <f t="shared" si="0"/>
        <v>0</v>
      </c>
    </row>
    <row r="18" spans="1:15" ht="11.85" customHeight="1" x14ac:dyDescent="0.2">
      <c r="A18" s="33">
        <v>110</v>
      </c>
      <c r="B18" s="32" t="s">
        <v>53</v>
      </c>
      <c r="C18" s="32"/>
      <c r="D18" s="239">
        <v>0</v>
      </c>
      <c r="E18" s="207"/>
      <c r="F18" s="239">
        <v>0</v>
      </c>
      <c r="G18" s="240"/>
      <c r="H18" s="239">
        <v>0</v>
      </c>
      <c r="I18" s="239"/>
      <c r="J18" s="239">
        <v>0</v>
      </c>
      <c r="K18" s="239"/>
      <c r="L18" s="239">
        <v>0</v>
      </c>
      <c r="M18" s="240"/>
      <c r="N18" s="240">
        <f t="shared" si="0"/>
        <v>0</v>
      </c>
    </row>
    <row r="19" spans="1:15" ht="11.85" customHeight="1" x14ac:dyDescent="0.2">
      <c r="A19" s="33">
        <v>112</v>
      </c>
      <c r="B19" s="32" t="s">
        <v>54</v>
      </c>
      <c r="C19" s="32"/>
      <c r="D19" s="239">
        <v>0</v>
      </c>
      <c r="E19" s="207"/>
      <c r="F19" s="239">
        <v>0</v>
      </c>
      <c r="G19" s="240"/>
      <c r="H19" s="239">
        <v>0</v>
      </c>
      <c r="I19" s="239"/>
      <c r="J19" s="239">
        <v>0</v>
      </c>
      <c r="K19" s="239"/>
      <c r="L19" s="239">
        <v>0</v>
      </c>
      <c r="M19" s="240"/>
      <c r="N19" s="240">
        <f>D19+F19+H19+J19+L19</f>
        <v>0</v>
      </c>
      <c r="O19" s="142"/>
    </row>
    <row r="20" spans="1:15" ht="11.85" customHeight="1" x14ac:dyDescent="0.2">
      <c r="A20" s="33">
        <v>115</v>
      </c>
      <c r="B20" s="32" t="s">
        <v>55</v>
      </c>
      <c r="C20" s="32"/>
      <c r="D20" s="239">
        <v>0</v>
      </c>
      <c r="E20" s="207"/>
      <c r="F20" s="239">
        <v>0</v>
      </c>
      <c r="G20" s="240"/>
      <c r="H20" s="239">
        <v>0</v>
      </c>
      <c r="I20" s="239"/>
      <c r="J20" s="239">
        <v>0</v>
      </c>
      <c r="K20" s="239"/>
      <c r="L20" s="239">
        <v>0</v>
      </c>
      <c r="M20" s="240"/>
      <c r="N20" s="240">
        <f t="shared" si="0"/>
        <v>0</v>
      </c>
    </row>
    <row r="21" spans="1:15" ht="11.85" customHeight="1" x14ac:dyDescent="0.2">
      <c r="A21" s="33">
        <v>120</v>
      </c>
      <c r="B21" s="32" t="s">
        <v>56</v>
      </c>
      <c r="C21" s="32"/>
      <c r="D21" s="239">
        <v>0</v>
      </c>
      <c r="E21" s="207"/>
      <c r="F21" s="239">
        <v>0</v>
      </c>
      <c r="G21" s="240"/>
      <c r="H21" s="239">
        <v>0</v>
      </c>
      <c r="I21" s="239"/>
      <c r="J21" s="239">
        <v>0</v>
      </c>
      <c r="K21" s="239"/>
      <c r="L21" s="239">
        <v>0</v>
      </c>
      <c r="M21" s="240"/>
      <c r="N21" s="240">
        <f t="shared" si="0"/>
        <v>0</v>
      </c>
    </row>
    <row r="22" spans="1:15" ht="11.85" customHeight="1" x14ac:dyDescent="0.2">
      <c r="A22" s="33">
        <v>125</v>
      </c>
      <c r="B22" s="32" t="s">
        <v>57</v>
      </c>
      <c r="C22" s="32"/>
      <c r="D22" s="239">
        <v>0</v>
      </c>
      <c r="E22" s="207"/>
      <c r="F22" s="239">
        <v>0</v>
      </c>
      <c r="G22" s="240"/>
      <c r="H22" s="239">
        <v>0</v>
      </c>
      <c r="I22" s="239"/>
      <c r="J22" s="239">
        <v>0</v>
      </c>
      <c r="K22" s="239"/>
      <c r="L22" s="239">
        <v>0</v>
      </c>
      <c r="M22" s="240"/>
      <c r="N22" s="240">
        <f t="shared" si="0"/>
        <v>0</v>
      </c>
    </row>
    <row r="23" spans="1:15" ht="11.85" customHeight="1" x14ac:dyDescent="0.2">
      <c r="A23" s="33">
        <v>128</v>
      </c>
      <c r="B23" s="32" t="s">
        <v>58</v>
      </c>
      <c r="C23" s="32"/>
      <c r="D23" s="239">
        <v>0</v>
      </c>
      <c r="E23" s="207"/>
      <c r="F23" s="239">
        <v>0</v>
      </c>
      <c r="G23" s="240"/>
      <c r="H23" s="239">
        <v>0</v>
      </c>
      <c r="I23" s="239"/>
      <c r="J23" s="239">
        <v>0</v>
      </c>
      <c r="K23" s="239"/>
      <c r="L23" s="239">
        <v>0</v>
      </c>
      <c r="M23" s="240"/>
      <c r="N23" s="240">
        <f t="shared" si="0"/>
        <v>0</v>
      </c>
    </row>
    <row r="24" spans="1:15" ht="11.85" customHeight="1" x14ac:dyDescent="0.2">
      <c r="A24" s="33">
        <v>120</v>
      </c>
      <c r="B24" s="32" t="s">
        <v>59</v>
      </c>
      <c r="C24" s="32"/>
      <c r="D24" s="239">
        <v>0</v>
      </c>
      <c r="E24" s="207"/>
      <c r="F24" s="239">
        <v>0</v>
      </c>
      <c r="G24" s="240"/>
      <c r="H24" s="239">
        <v>0</v>
      </c>
      <c r="I24" s="239"/>
      <c r="J24" s="239">
        <v>0</v>
      </c>
      <c r="K24" s="239"/>
      <c r="L24" s="239">
        <v>0</v>
      </c>
      <c r="M24" s="240"/>
      <c r="N24" s="240">
        <f t="shared" si="0"/>
        <v>0</v>
      </c>
    </row>
    <row r="25" spans="1:15" ht="11.85" customHeight="1" x14ac:dyDescent="0.2">
      <c r="A25" s="33">
        <v>105</v>
      </c>
      <c r="B25" s="32" t="s">
        <v>60</v>
      </c>
      <c r="C25" s="32"/>
      <c r="D25" s="239">
        <v>0</v>
      </c>
      <c r="E25" s="207"/>
      <c r="F25" s="239">
        <v>0</v>
      </c>
      <c r="G25" s="240"/>
      <c r="H25" s="239">
        <v>0</v>
      </c>
      <c r="I25" s="239"/>
      <c r="J25" s="239">
        <v>0</v>
      </c>
      <c r="K25" s="239"/>
      <c r="L25" s="239">
        <v>0</v>
      </c>
      <c r="M25" s="240"/>
      <c r="N25" s="240">
        <f t="shared" si="0"/>
        <v>0</v>
      </c>
    </row>
    <row r="26" spans="1:15" ht="11.85" customHeight="1" x14ac:dyDescent="0.2">
      <c r="A26" s="34" t="s">
        <v>44</v>
      </c>
      <c r="B26" s="32" t="s">
        <v>61</v>
      </c>
      <c r="C26" s="32"/>
      <c r="D26" s="241">
        <v>0</v>
      </c>
      <c r="E26" s="207"/>
      <c r="F26" s="241">
        <v>0</v>
      </c>
      <c r="G26" s="240"/>
      <c r="H26" s="241">
        <v>0</v>
      </c>
      <c r="I26" s="239"/>
      <c r="J26" s="241">
        <v>0</v>
      </c>
      <c r="K26" s="239"/>
      <c r="L26" s="241">
        <v>0</v>
      </c>
      <c r="M26" s="240"/>
      <c r="N26" s="242">
        <f t="shared" si="0"/>
        <v>0</v>
      </c>
    </row>
    <row r="27" spans="1:15" ht="12.95" customHeight="1" x14ac:dyDescent="0.2">
      <c r="A27" s="32"/>
      <c r="B27" s="243" t="s">
        <v>62</v>
      </c>
      <c r="C27" s="32"/>
      <c r="D27" s="244">
        <f>SUM(D9:D26)</f>
        <v>0</v>
      </c>
      <c r="E27" s="32"/>
      <c r="F27" s="244">
        <f>SUM(F9:F26)</f>
        <v>0</v>
      </c>
      <c r="G27" s="240"/>
      <c r="H27" s="244">
        <f>SUM(H9:H26)</f>
        <v>0</v>
      </c>
      <c r="I27" s="240"/>
      <c r="J27" s="244">
        <f>SUM(J9:J26)</f>
        <v>0</v>
      </c>
      <c r="K27" s="240"/>
      <c r="L27" s="244">
        <f>SUM(L9:L26)</f>
        <v>0</v>
      </c>
      <c r="M27" s="240"/>
      <c r="N27" s="244">
        <f t="shared" si="0"/>
        <v>0</v>
      </c>
    </row>
    <row r="28" spans="1:15" ht="3.95" customHeight="1" x14ac:dyDescent="0.2">
      <c r="A28" s="32"/>
      <c r="B28" s="243"/>
      <c r="C28" s="32"/>
      <c r="D28" s="240"/>
      <c r="E28" s="32"/>
      <c r="F28" s="240"/>
      <c r="G28" s="240"/>
      <c r="H28" s="240"/>
      <c r="I28" s="240"/>
      <c r="J28" s="240"/>
      <c r="K28" s="240"/>
      <c r="L28" s="240"/>
      <c r="M28" s="240"/>
      <c r="N28" s="240"/>
    </row>
    <row r="29" spans="1:15" x14ac:dyDescent="0.2">
      <c r="A29" s="32"/>
      <c r="B29" s="137" t="s">
        <v>63</v>
      </c>
      <c r="C29" s="32"/>
      <c r="D29" s="32"/>
      <c r="E29" s="32"/>
      <c r="F29" s="32"/>
      <c r="G29" s="32"/>
      <c r="H29" s="32"/>
      <c r="I29" s="32"/>
      <c r="J29" s="32"/>
      <c r="K29" s="32"/>
      <c r="L29" s="32"/>
      <c r="M29" s="32"/>
      <c r="N29" s="32"/>
    </row>
    <row r="30" spans="1:15" ht="11.85" customHeight="1" x14ac:dyDescent="0.2">
      <c r="A30" s="33">
        <v>200</v>
      </c>
      <c r="B30" s="32" t="s">
        <v>64</v>
      </c>
      <c r="C30" s="32"/>
      <c r="D30" s="239">
        <v>0</v>
      </c>
      <c r="E30" s="341"/>
      <c r="F30" s="239">
        <v>0</v>
      </c>
      <c r="G30" s="240"/>
      <c r="H30" s="239">
        <v>0</v>
      </c>
      <c r="I30" s="239"/>
      <c r="J30" s="239">
        <v>0</v>
      </c>
      <c r="K30" s="239"/>
      <c r="L30" s="239">
        <v>0</v>
      </c>
      <c r="M30" s="240"/>
      <c r="N30" s="240">
        <f t="shared" ref="N30:N44" si="1">D30+F30+H30+J30+L30</f>
        <v>0</v>
      </c>
    </row>
    <row r="31" spans="1:15" ht="11.85" customHeight="1" x14ac:dyDescent="0.2">
      <c r="A31" s="33">
        <v>202</v>
      </c>
      <c r="B31" s="32" t="s">
        <v>65</v>
      </c>
      <c r="C31" s="32"/>
      <c r="D31" s="239">
        <v>0</v>
      </c>
      <c r="E31" s="341"/>
      <c r="F31" s="239">
        <v>0</v>
      </c>
      <c r="G31" s="240"/>
      <c r="H31" s="239">
        <v>0</v>
      </c>
      <c r="I31" s="239"/>
      <c r="J31" s="239">
        <v>0</v>
      </c>
      <c r="K31" s="239"/>
      <c r="L31" s="239">
        <v>0</v>
      </c>
      <c r="M31" s="240"/>
      <c r="N31" s="240">
        <f t="shared" si="1"/>
        <v>0</v>
      </c>
    </row>
    <row r="32" spans="1:15" ht="11.85" customHeight="1" x14ac:dyDescent="0.2">
      <c r="A32" s="33">
        <v>203</v>
      </c>
      <c r="B32" s="32" t="s">
        <v>66</v>
      </c>
      <c r="C32" s="32"/>
      <c r="D32" s="239">
        <v>0</v>
      </c>
      <c r="E32" s="341"/>
      <c r="F32" s="239">
        <v>0</v>
      </c>
      <c r="G32" s="240"/>
      <c r="H32" s="239">
        <v>0</v>
      </c>
      <c r="I32" s="239"/>
      <c r="J32" s="239">
        <v>0</v>
      </c>
      <c r="K32" s="239"/>
      <c r="L32" s="239">
        <v>0</v>
      </c>
      <c r="M32" s="240"/>
      <c r="N32" s="240">
        <f t="shared" si="1"/>
        <v>0</v>
      </c>
    </row>
    <row r="33" spans="1:16" ht="11.85" customHeight="1" x14ac:dyDescent="0.2">
      <c r="A33" s="33">
        <v>205</v>
      </c>
      <c r="B33" s="32" t="s">
        <v>67</v>
      </c>
      <c r="C33" s="32"/>
      <c r="D33" s="239">
        <v>0</v>
      </c>
      <c r="E33" s="341"/>
      <c r="F33" s="239">
        <v>0</v>
      </c>
      <c r="G33" s="240"/>
      <c r="H33" s="239">
        <v>0</v>
      </c>
      <c r="I33" s="239"/>
      <c r="J33" s="239">
        <v>0</v>
      </c>
      <c r="K33" s="239"/>
      <c r="L33" s="239">
        <v>0</v>
      </c>
      <c r="M33" s="240"/>
      <c r="N33" s="240">
        <f>D33+F33+H33+J33+L33</f>
        <v>0</v>
      </c>
    </row>
    <row r="34" spans="1:16" ht="11.85" customHeight="1" x14ac:dyDescent="0.2">
      <c r="A34" s="33">
        <v>210</v>
      </c>
      <c r="B34" s="32" t="s">
        <v>68</v>
      </c>
      <c r="C34" s="32"/>
      <c r="D34" s="239">
        <v>0</v>
      </c>
      <c r="E34" s="341"/>
      <c r="F34" s="239">
        <v>0</v>
      </c>
      <c r="G34" s="240"/>
      <c r="H34" s="239">
        <v>0</v>
      </c>
      <c r="I34" s="239"/>
      <c r="J34" s="239">
        <v>0</v>
      </c>
      <c r="K34" s="239"/>
      <c r="L34" s="239">
        <v>0</v>
      </c>
      <c r="M34" s="240"/>
      <c r="N34" s="240">
        <f t="shared" si="1"/>
        <v>0</v>
      </c>
    </row>
    <row r="35" spans="1:16" ht="11.85" customHeight="1" x14ac:dyDescent="0.2">
      <c r="A35" s="33">
        <v>215</v>
      </c>
      <c r="B35" s="32" t="s">
        <v>69</v>
      </c>
      <c r="C35" s="32"/>
      <c r="D35" s="239">
        <v>0</v>
      </c>
      <c r="E35" s="341"/>
      <c r="F35" s="239">
        <v>0</v>
      </c>
      <c r="G35" s="240"/>
      <c r="H35" s="239">
        <v>0</v>
      </c>
      <c r="I35" s="239"/>
      <c r="J35" s="239">
        <v>0</v>
      </c>
      <c r="K35" s="239"/>
      <c r="L35" s="239">
        <v>0</v>
      </c>
      <c r="M35" s="240"/>
      <c r="N35" s="240">
        <f t="shared" si="1"/>
        <v>0</v>
      </c>
    </row>
    <row r="36" spans="1:16" ht="11.85" customHeight="1" x14ac:dyDescent="0.2">
      <c r="A36" s="33">
        <v>220</v>
      </c>
      <c r="B36" s="32" t="s">
        <v>70</v>
      </c>
      <c r="C36" s="32"/>
      <c r="D36" s="239">
        <v>0</v>
      </c>
      <c r="E36" s="341"/>
      <c r="F36" s="239">
        <v>0</v>
      </c>
      <c r="G36" s="240"/>
      <c r="H36" s="239">
        <v>0</v>
      </c>
      <c r="I36" s="239"/>
      <c r="J36" s="239">
        <v>0</v>
      </c>
      <c r="K36" s="239"/>
      <c r="L36" s="239">
        <v>0</v>
      </c>
      <c r="M36" s="240"/>
      <c r="N36" s="240">
        <f t="shared" si="1"/>
        <v>0</v>
      </c>
    </row>
    <row r="37" spans="1:16" ht="11.85" customHeight="1" x14ac:dyDescent="0.2">
      <c r="A37" s="33">
        <v>200</v>
      </c>
      <c r="B37" s="32" t="s">
        <v>71</v>
      </c>
      <c r="C37" s="32"/>
      <c r="D37" s="239">
        <v>0</v>
      </c>
      <c r="E37" s="341"/>
      <c r="F37" s="239">
        <v>0</v>
      </c>
      <c r="G37" s="240"/>
      <c r="H37" s="239">
        <v>0</v>
      </c>
      <c r="I37" s="239"/>
      <c r="J37" s="239">
        <v>0</v>
      </c>
      <c r="K37" s="239"/>
      <c r="L37" s="239">
        <v>0</v>
      </c>
      <c r="M37" s="240"/>
      <c r="N37" s="240">
        <f t="shared" si="1"/>
        <v>0</v>
      </c>
    </row>
    <row r="38" spans="1:16" ht="11.85" customHeight="1" x14ac:dyDescent="0.2">
      <c r="A38" s="34" t="s">
        <v>44</v>
      </c>
      <c r="B38" s="32" t="s">
        <v>72</v>
      </c>
      <c r="C38" s="32"/>
      <c r="D38" s="239">
        <v>0</v>
      </c>
      <c r="E38" s="341"/>
      <c r="F38" s="239">
        <v>0</v>
      </c>
      <c r="G38" s="240"/>
      <c r="H38" s="239">
        <v>0</v>
      </c>
      <c r="I38" s="239"/>
      <c r="J38" s="239">
        <v>0</v>
      </c>
      <c r="K38" s="239"/>
      <c r="L38" s="239">
        <v>0</v>
      </c>
      <c r="M38" s="240"/>
      <c r="N38" s="240">
        <f t="shared" si="1"/>
        <v>0</v>
      </c>
    </row>
    <row r="39" spans="1:16" ht="11.85" customHeight="1" x14ac:dyDescent="0.2">
      <c r="A39" s="34" t="s">
        <v>44</v>
      </c>
      <c r="B39" s="32" t="s">
        <v>73</v>
      </c>
      <c r="C39" s="32"/>
      <c r="D39" s="239">
        <v>0</v>
      </c>
      <c r="E39" s="341"/>
      <c r="F39" s="239">
        <v>0</v>
      </c>
      <c r="G39" s="240"/>
      <c r="H39" s="239">
        <v>0</v>
      </c>
      <c r="I39" s="239"/>
      <c r="J39" s="239">
        <v>0</v>
      </c>
      <c r="K39" s="239"/>
      <c r="L39" s="239">
        <v>0</v>
      </c>
      <c r="M39" s="240"/>
      <c r="N39" s="240">
        <f t="shared" si="1"/>
        <v>0</v>
      </c>
    </row>
    <row r="40" spans="1:16" ht="11.85" customHeight="1" x14ac:dyDescent="0.2">
      <c r="A40" s="34" t="s">
        <v>44</v>
      </c>
      <c r="B40" s="32" t="s">
        <v>461</v>
      </c>
      <c r="C40" s="32"/>
      <c r="D40" s="239">
        <v>0</v>
      </c>
      <c r="E40" s="341"/>
      <c r="F40" s="239">
        <v>0</v>
      </c>
      <c r="G40" s="240"/>
      <c r="H40" s="239">
        <v>0</v>
      </c>
      <c r="I40" s="239"/>
      <c r="J40" s="239">
        <v>0</v>
      </c>
      <c r="K40" s="239"/>
      <c r="L40" s="239">
        <v>0</v>
      </c>
      <c r="M40" s="240"/>
      <c r="N40" s="240">
        <f t="shared" si="1"/>
        <v>0</v>
      </c>
    </row>
    <row r="41" spans="1:16" ht="11.85" customHeight="1" x14ac:dyDescent="0.2">
      <c r="A41" s="34" t="s">
        <v>44</v>
      </c>
      <c r="B41" s="32" t="s">
        <v>462</v>
      </c>
      <c r="C41" s="32"/>
      <c r="D41" s="239">
        <v>0</v>
      </c>
      <c r="E41" s="341"/>
      <c r="F41" s="239">
        <v>0</v>
      </c>
      <c r="G41" s="240"/>
      <c r="H41" s="239">
        <v>0</v>
      </c>
      <c r="I41" s="239"/>
      <c r="J41" s="239">
        <v>0</v>
      </c>
      <c r="K41" s="239"/>
      <c r="L41" s="239">
        <v>0</v>
      </c>
      <c r="M41" s="240"/>
      <c r="N41" s="240">
        <f t="shared" ref="N41" si="2">D41+F41+H41+J41+L41</f>
        <v>0</v>
      </c>
      <c r="P41" s="142"/>
    </row>
    <row r="42" spans="1:16" ht="11.85" customHeight="1" x14ac:dyDescent="0.2">
      <c r="A42" s="34" t="s">
        <v>44</v>
      </c>
      <c r="B42" s="32" t="s">
        <v>75</v>
      </c>
      <c r="C42" s="32"/>
      <c r="D42" s="239">
        <v>0</v>
      </c>
      <c r="E42" s="341"/>
      <c r="F42" s="239">
        <v>0</v>
      </c>
      <c r="G42" s="240"/>
      <c r="H42" s="239">
        <v>0</v>
      </c>
      <c r="I42" s="239"/>
      <c r="J42" s="239">
        <v>0</v>
      </c>
      <c r="K42" s="239"/>
      <c r="L42" s="239">
        <v>0</v>
      </c>
      <c r="M42" s="240"/>
      <c r="N42" s="240">
        <f t="shared" si="1"/>
        <v>0</v>
      </c>
      <c r="P42" s="142"/>
    </row>
    <row r="43" spans="1:16" ht="11.85" customHeight="1" x14ac:dyDescent="0.2">
      <c r="A43" s="34" t="s">
        <v>44</v>
      </c>
      <c r="B43" s="32" t="s">
        <v>76</v>
      </c>
      <c r="C43" s="32"/>
      <c r="D43" s="241">
        <v>0</v>
      </c>
      <c r="E43" s="341"/>
      <c r="F43" s="241">
        <v>0</v>
      </c>
      <c r="G43" s="240"/>
      <c r="H43" s="241">
        <v>0</v>
      </c>
      <c r="I43" s="239"/>
      <c r="J43" s="241">
        <v>0</v>
      </c>
      <c r="K43" s="239"/>
      <c r="L43" s="241">
        <v>0</v>
      </c>
      <c r="M43" s="240"/>
      <c r="N43" s="242">
        <f t="shared" si="1"/>
        <v>0</v>
      </c>
    </row>
    <row r="44" spans="1:16" ht="12.95" customHeight="1" x14ac:dyDescent="0.2">
      <c r="A44" s="32"/>
      <c r="B44" s="243" t="s">
        <v>77</v>
      </c>
      <c r="C44" s="32"/>
      <c r="D44" s="244">
        <f>SUM(D30:D43)</f>
        <v>0</v>
      </c>
      <c r="E44" s="32"/>
      <c r="F44" s="244">
        <f>SUM(F30:F43)</f>
        <v>0</v>
      </c>
      <c r="G44" s="240"/>
      <c r="H44" s="244">
        <f>SUM(H30:H43)</f>
        <v>0</v>
      </c>
      <c r="I44" s="240"/>
      <c r="J44" s="244">
        <f>SUM(J30:J43)</f>
        <v>0</v>
      </c>
      <c r="K44" s="240"/>
      <c r="L44" s="244">
        <f>SUM(L30:L43)</f>
        <v>0</v>
      </c>
      <c r="M44" s="240"/>
      <c r="N44" s="244">
        <f t="shared" si="1"/>
        <v>0</v>
      </c>
    </row>
    <row r="45" spans="1:16" ht="3.95" customHeight="1" x14ac:dyDescent="0.2">
      <c r="A45" s="32"/>
      <c r="B45" s="243"/>
      <c r="C45" s="32"/>
      <c r="D45" s="240"/>
      <c r="E45" s="32"/>
      <c r="F45" s="240"/>
      <c r="G45" s="240"/>
      <c r="H45" s="240"/>
      <c r="I45" s="240"/>
      <c r="J45" s="240"/>
      <c r="K45" s="240"/>
      <c r="L45" s="240"/>
      <c r="M45" s="240"/>
      <c r="N45" s="240"/>
    </row>
    <row r="46" spans="1:16" x14ac:dyDescent="0.2">
      <c r="A46" s="32"/>
      <c r="B46" s="137" t="s">
        <v>78</v>
      </c>
      <c r="C46" s="32"/>
      <c r="D46" s="32"/>
      <c r="E46" s="32"/>
      <c r="F46" s="32"/>
      <c r="G46" s="32"/>
      <c r="H46" s="32"/>
      <c r="I46" s="32"/>
      <c r="J46" s="32"/>
      <c r="K46" s="32"/>
      <c r="L46" s="32"/>
      <c r="M46" s="32"/>
      <c r="N46" s="32"/>
    </row>
    <row r="47" spans="1:16" ht="11.85" customHeight="1" x14ac:dyDescent="0.2">
      <c r="A47" s="32"/>
      <c r="B47" s="32" t="s">
        <v>79</v>
      </c>
      <c r="C47" s="32"/>
      <c r="D47" s="239">
        <v>0</v>
      </c>
      <c r="E47" s="341"/>
      <c r="F47" s="239">
        <v>0</v>
      </c>
      <c r="G47" s="240"/>
      <c r="H47" s="239">
        <v>0</v>
      </c>
      <c r="I47" s="239"/>
      <c r="J47" s="239">
        <v>0</v>
      </c>
      <c r="K47" s="239"/>
      <c r="L47" s="239">
        <v>0</v>
      </c>
      <c r="M47" s="240"/>
      <c r="N47" s="240">
        <f>D47+F47+H47+J47+L47</f>
        <v>0</v>
      </c>
      <c r="O47" s="152"/>
    </row>
    <row r="48" spans="1:16" ht="11.85" customHeight="1" x14ac:dyDescent="0.2">
      <c r="A48" s="32"/>
      <c r="B48" s="32" t="s">
        <v>80</v>
      </c>
      <c r="C48" s="32"/>
      <c r="D48" s="241">
        <v>0</v>
      </c>
      <c r="E48" s="341"/>
      <c r="F48" s="241">
        <v>0</v>
      </c>
      <c r="G48" s="240"/>
      <c r="H48" s="241">
        <v>0</v>
      </c>
      <c r="I48" s="239"/>
      <c r="J48" s="241">
        <v>0</v>
      </c>
      <c r="K48" s="239"/>
      <c r="L48" s="241">
        <v>0</v>
      </c>
      <c r="M48" s="240"/>
      <c r="N48" s="240">
        <f>D48+F48+H48+J48+L48</f>
        <v>0</v>
      </c>
      <c r="O48" s="152"/>
    </row>
    <row r="49" spans="1:14" ht="13.7" customHeight="1" thickBot="1" x14ac:dyDescent="0.25">
      <c r="A49" s="32"/>
      <c r="B49" s="243" t="s">
        <v>81</v>
      </c>
      <c r="C49" s="32"/>
      <c r="D49" s="245">
        <f>SUM(D47:D48)</f>
        <v>0</v>
      </c>
      <c r="E49" s="32"/>
      <c r="F49" s="245">
        <f>SUM(F47:F48)</f>
        <v>0</v>
      </c>
      <c r="G49" s="238"/>
      <c r="H49" s="245">
        <f>SUM(H47:H48)</f>
        <v>0</v>
      </c>
      <c r="I49" s="238"/>
      <c r="J49" s="245">
        <f>SUM(J47:J48)</f>
        <v>0</v>
      </c>
      <c r="K49" s="238"/>
      <c r="L49" s="245">
        <f>SUM(L47:L48)</f>
        <v>0</v>
      </c>
      <c r="M49" s="238"/>
      <c r="N49" s="245">
        <f>D49+F49+H49+J49+L49</f>
        <v>0</v>
      </c>
    </row>
    <row r="50" spans="1:14" ht="6" customHeight="1" thickTop="1" x14ac:dyDescent="0.2">
      <c r="A50" s="32"/>
      <c r="B50" s="32"/>
      <c r="C50" s="32"/>
      <c r="D50" s="32"/>
      <c r="E50" s="32"/>
      <c r="F50" s="32"/>
      <c r="G50" s="32"/>
      <c r="H50" s="32"/>
      <c r="I50" s="32"/>
      <c r="J50" s="32"/>
      <c r="K50" s="32"/>
      <c r="L50" s="32"/>
      <c r="M50" s="32"/>
      <c r="N50" s="32"/>
    </row>
    <row r="51" spans="1:14" x14ac:dyDescent="0.2">
      <c r="A51" s="32"/>
      <c r="B51" s="70" t="s">
        <v>82</v>
      </c>
      <c r="C51" s="32"/>
      <c r="D51" s="71" t="str">
        <f>IF(D27-D44=D49,"OK","ERROR")</f>
        <v>OK</v>
      </c>
      <c r="E51" s="32"/>
      <c r="F51" s="71" t="str">
        <f>IF(F27-F44=F49,"OK","ERROR")</f>
        <v>OK</v>
      </c>
      <c r="G51" s="32"/>
      <c r="H51" s="71" t="str">
        <f>IF(H27-H44=H49,"OK","ERROR")</f>
        <v>OK</v>
      </c>
      <c r="I51" s="32"/>
      <c r="J51" s="71" t="str">
        <f>IF(J27-J44=J49,"OK","ERROR")</f>
        <v>OK</v>
      </c>
      <c r="K51" s="32"/>
      <c r="L51" s="71" t="str">
        <f>IF(L27-L44=L49,"OK","ERROR")</f>
        <v>OK</v>
      </c>
      <c r="M51" s="32"/>
      <c r="N51" s="32"/>
    </row>
    <row r="53" spans="1:14" x14ac:dyDescent="0.2">
      <c r="A53" s="25" t="s">
        <v>83</v>
      </c>
    </row>
    <row r="55" spans="1:14" x14ac:dyDescent="0.2">
      <c r="A55" s="37" t="s">
        <v>84</v>
      </c>
      <c r="B55" s="154" t="s">
        <v>85</v>
      </c>
    </row>
    <row r="56" spans="1:14" x14ac:dyDescent="0.2">
      <c r="A56" s="27"/>
      <c r="B56" s="154" t="s">
        <v>86</v>
      </c>
    </row>
    <row r="57" spans="1:14" x14ac:dyDescent="0.2">
      <c r="A57" s="151"/>
      <c r="B57" s="154"/>
      <c r="C57" s="154"/>
      <c r="D57" s="154"/>
      <c r="E57" s="154"/>
      <c r="F57" s="154"/>
      <c r="G57" s="154"/>
      <c r="H57" s="154"/>
    </row>
    <row r="58" spans="1:14" x14ac:dyDescent="0.2">
      <c r="A58" s="246" t="s">
        <v>87</v>
      </c>
      <c r="B58" s="154" t="s">
        <v>88</v>
      </c>
      <c r="C58" s="154"/>
      <c r="D58" s="154"/>
      <c r="E58" s="154"/>
      <c r="F58" s="154"/>
      <c r="G58" s="154"/>
      <c r="H58" s="154"/>
    </row>
    <row r="59" spans="1:14" x14ac:dyDescent="0.2">
      <c r="A59" s="151"/>
      <c r="B59" s="154" t="s">
        <v>89</v>
      </c>
      <c r="C59" s="154"/>
      <c r="D59" s="154"/>
      <c r="E59" s="154"/>
      <c r="F59" s="154"/>
      <c r="G59" s="154"/>
      <c r="H59" s="154"/>
    </row>
    <row r="60" spans="1:14" x14ac:dyDescent="0.2">
      <c r="A60" s="151"/>
      <c r="B60" s="154" t="s">
        <v>90</v>
      </c>
      <c r="C60" s="154"/>
      <c r="D60" s="154"/>
      <c r="E60" s="154"/>
      <c r="F60" s="154"/>
      <c r="G60" s="154"/>
      <c r="H60" s="154"/>
    </row>
    <row r="61" spans="1:14" x14ac:dyDescent="0.2">
      <c r="A61" s="151"/>
      <c r="B61" s="154" t="s">
        <v>91</v>
      </c>
      <c r="C61" s="154"/>
      <c r="D61" s="154"/>
      <c r="E61" s="154"/>
      <c r="F61" s="154"/>
      <c r="G61" s="154"/>
      <c r="H61" s="154"/>
    </row>
    <row r="62" spans="1:14" x14ac:dyDescent="0.2">
      <c r="A62" s="151"/>
      <c r="B62" s="154" t="s">
        <v>92</v>
      </c>
      <c r="C62" s="154"/>
      <c r="D62" s="154"/>
      <c r="E62" s="154"/>
      <c r="F62" s="154"/>
      <c r="G62" s="154"/>
      <c r="H62" s="154"/>
    </row>
    <row r="63" spans="1:14" x14ac:dyDescent="0.2">
      <c r="A63" s="151"/>
      <c r="B63" s="154"/>
      <c r="C63" s="154"/>
      <c r="D63" s="154"/>
      <c r="E63" s="154"/>
      <c r="F63" s="154"/>
      <c r="G63" s="154"/>
      <c r="H63" s="154"/>
    </row>
    <row r="64" spans="1:14" x14ac:dyDescent="0.2">
      <c r="A64" s="246" t="s">
        <v>93</v>
      </c>
      <c r="B64" s="154" t="s">
        <v>94</v>
      </c>
    </row>
    <row r="65" spans="1:2" x14ac:dyDescent="0.2">
      <c r="A65" s="27"/>
      <c r="B65" s="154" t="s">
        <v>95</v>
      </c>
    </row>
    <row r="66" spans="1:2" x14ac:dyDescent="0.2">
      <c r="A66" s="27"/>
      <c r="B66" s="154"/>
    </row>
    <row r="67" spans="1:2" x14ac:dyDescent="0.2">
      <c r="A67" s="246" t="s">
        <v>96</v>
      </c>
      <c r="B67" s="154" t="s">
        <v>97</v>
      </c>
    </row>
    <row r="68" spans="1:2" x14ac:dyDescent="0.2">
      <c r="A68" s="27"/>
      <c r="B68" s="154" t="s">
        <v>98</v>
      </c>
    </row>
    <row r="69" spans="1:2" x14ac:dyDescent="0.2">
      <c r="A69" s="27"/>
      <c r="B69" s="154" t="s">
        <v>99</v>
      </c>
    </row>
    <row r="70" spans="1:2" x14ac:dyDescent="0.2">
      <c r="A70" s="27"/>
      <c r="B70" s="154"/>
    </row>
    <row r="71" spans="1:2" x14ac:dyDescent="0.2">
      <c r="A71" s="246" t="s">
        <v>100</v>
      </c>
      <c r="B71" s="154" t="s">
        <v>101</v>
      </c>
    </row>
    <row r="72" spans="1:2" x14ac:dyDescent="0.2">
      <c r="A72" s="37"/>
      <c r="B72" s="154" t="s">
        <v>102</v>
      </c>
    </row>
    <row r="73" spans="1:2" x14ac:dyDescent="0.2">
      <c r="A73" s="37"/>
      <c r="B73" s="154" t="s">
        <v>90</v>
      </c>
    </row>
    <row r="74" spans="1:2" x14ac:dyDescent="0.2">
      <c r="A74" s="37"/>
      <c r="B74" s="154" t="s">
        <v>103</v>
      </c>
    </row>
    <row r="75" spans="1:2" x14ac:dyDescent="0.2">
      <c r="A75" s="37"/>
      <c r="B75" s="154" t="s">
        <v>104</v>
      </c>
    </row>
    <row r="76" spans="1:2" x14ac:dyDescent="0.2">
      <c r="A76" s="37"/>
      <c r="B76" s="154"/>
    </row>
    <row r="77" spans="1:2" x14ac:dyDescent="0.2">
      <c r="A77" s="37" t="s">
        <v>44</v>
      </c>
      <c r="B77" s="154" t="s">
        <v>105</v>
      </c>
    </row>
  </sheetData>
  <sheetProtection algorithmName="SHA-512" hashValue="/GpADBoaY92lc/eZWuNC2lmEK4WJqK+KpE/vhhK8/O02QptEH4Dl2i856ClxitFMwGkN6gV+FMAPs/pEdptchg==" saltValue="59PrjeZSZv/graBXDPQDFw==" spinCount="100000" sheet="1" formatCells="0" formatColumns="0" autoFilter="0"/>
  <mergeCells count="5">
    <mergeCell ref="H5:H7"/>
    <mergeCell ref="J5:J7"/>
    <mergeCell ref="L5:L7"/>
    <mergeCell ref="D5:D7"/>
    <mergeCell ref="F5:F7"/>
  </mergeCells>
  <phoneticPr fontId="0" type="noConversion"/>
  <conditionalFormatting sqref="D51 F51 H51 J51 L51">
    <cfRule type="cellIs" dxfId="23" priority="1" stopIfTrue="1" operator="equal">
      <formula>"ERROR"</formula>
    </cfRule>
  </conditionalFormatting>
  <pageMargins left="0.3" right="0.3" top="0.3" bottom="0.3" header="0.5" footer="0.2"/>
  <pageSetup scale="90" orientation="landscape" r:id="rId1"/>
  <headerFooter alignWithMargins="0">
    <oddFooter>&amp;L&amp;F &amp;A&amp;C&amp;P of &amp;N&amp;R&amp;D</oddFooter>
  </headerFooter>
  <rowBreaks count="1" manualBreakCount="1">
    <brk id="51" max="16383" man="1"/>
  </rowBreaks>
  <ignoredErrors>
    <ignoredError sqref="A55" numberStoredAsText="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7"/>
  <sheetViews>
    <sheetView zoomScaleNormal="100" workbookViewId="0">
      <selection activeCell="F25" sqref="F25"/>
    </sheetView>
  </sheetViews>
  <sheetFormatPr defaultRowHeight="12.75" x14ac:dyDescent="0.2"/>
  <cols>
    <col min="1" max="1" width="3.7109375" customWidth="1"/>
    <col min="2" max="2" width="44.7109375" customWidth="1"/>
    <col min="3" max="3" width="0.42578125" customWidth="1"/>
    <col min="4" max="4" width="20.28515625" customWidth="1"/>
    <col min="5" max="5" width="0.85546875" customWidth="1"/>
    <col min="6" max="6" width="17.28515625" customWidth="1"/>
    <col min="7" max="7" width="0.85546875" customWidth="1"/>
    <col min="8" max="8" width="17" customWidth="1"/>
    <col min="9" max="9" width="0.85546875" customWidth="1"/>
    <col min="10" max="10" width="14.85546875" customWidth="1"/>
    <col min="11" max="11" width="0.85546875" customWidth="1"/>
    <col min="12" max="12" width="15.28515625" customWidth="1"/>
    <col min="13" max="13" width="0.85546875" customWidth="1"/>
    <col min="14" max="14" width="18.85546875" customWidth="1"/>
    <col min="15" max="15" width="34.5703125" customWidth="1"/>
  </cols>
  <sheetData>
    <row r="1" spans="1:14" ht="12.75" customHeight="1" x14ac:dyDescent="0.2">
      <c r="A1" s="1" t="e">
        <f>CONCATENATE(Info!D7," Foundations")</f>
        <v>#N/A</v>
      </c>
      <c r="N1" s="31" t="s">
        <v>106</v>
      </c>
    </row>
    <row r="2" spans="1:14" ht="12.75" customHeight="1" x14ac:dyDescent="0.2">
      <c r="A2" s="1" t="s">
        <v>107</v>
      </c>
    </row>
    <row r="3" spans="1:14" ht="12.75" customHeight="1" x14ac:dyDescent="0.2">
      <c r="A3" s="154" t="s">
        <v>471</v>
      </c>
    </row>
    <row r="4" spans="1:14" ht="12.75" customHeight="1" x14ac:dyDescent="0.2">
      <c r="A4" s="154" t="s">
        <v>108</v>
      </c>
      <c r="B4" s="5"/>
    </row>
    <row r="5" spans="1:14" ht="12.75" customHeight="1" x14ac:dyDescent="0.2">
      <c r="D5" s="455" t="str">
        <f>Info!$D$17</f>
        <v>Name of Foundation</v>
      </c>
      <c r="F5" s="455">
        <f>Info!$D$19</f>
        <v>0</v>
      </c>
      <c r="H5" s="455">
        <f>Info!$D$21</f>
        <v>0</v>
      </c>
      <c r="J5" s="455">
        <f>Info!$D$23</f>
        <v>0</v>
      </c>
      <c r="L5" s="455">
        <f>Info!$D$25</f>
        <v>0</v>
      </c>
    </row>
    <row r="6" spans="1:14" x14ac:dyDescent="0.2">
      <c r="D6" s="455"/>
      <c r="F6" s="455"/>
      <c r="G6" s="27"/>
      <c r="H6" s="455"/>
      <c r="I6" s="27"/>
      <c r="J6" s="455"/>
      <c r="K6" s="27"/>
      <c r="L6" s="455"/>
      <c r="M6" s="27"/>
      <c r="N6" s="27"/>
    </row>
    <row r="7" spans="1:14" x14ac:dyDescent="0.2">
      <c r="D7" s="456"/>
      <c r="F7" s="456"/>
      <c r="G7" s="151"/>
      <c r="H7" s="456"/>
      <c r="I7" s="151"/>
      <c r="J7" s="456"/>
      <c r="K7" s="27"/>
      <c r="L7" s="456"/>
      <c r="M7" s="151"/>
      <c r="N7" s="4" t="s">
        <v>41</v>
      </c>
    </row>
    <row r="8" spans="1:14" ht="14.25" x14ac:dyDescent="0.2">
      <c r="B8" s="1" t="s">
        <v>109</v>
      </c>
    </row>
    <row r="9" spans="1:14" x14ac:dyDescent="0.2">
      <c r="A9" s="34" t="s">
        <v>44</v>
      </c>
      <c r="B9" t="s">
        <v>110</v>
      </c>
      <c r="D9" s="49">
        <v>0</v>
      </c>
      <c r="E9" s="340"/>
      <c r="F9" s="49">
        <v>0</v>
      </c>
      <c r="G9" s="9"/>
      <c r="H9" s="49">
        <v>0</v>
      </c>
      <c r="I9" s="9"/>
      <c r="J9" s="49">
        <v>0</v>
      </c>
      <c r="K9" s="9"/>
      <c r="L9" s="49">
        <v>0</v>
      </c>
      <c r="M9" s="9"/>
      <c r="N9" s="9">
        <f>D9+F9+H9+J9+L9</f>
        <v>0</v>
      </c>
    </row>
    <row r="10" spans="1:14" x14ac:dyDescent="0.2">
      <c r="A10" s="33">
        <v>500</v>
      </c>
      <c r="B10" t="s">
        <v>111</v>
      </c>
      <c r="D10" s="50">
        <v>0</v>
      </c>
      <c r="E10" s="340"/>
      <c r="F10" s="50">
        <v>0</v>
      </c>
      <c r="G10" s="9"/>
      <c r="H10" s="50">
        <v>0</v>
      </c>
      <c r="I10" s="9"/>
      <c r="J10" s="50">
        <v>0</v>
      </c>
      <c r="K10" s="9"/>
      <c r="L10" s="50">
        <v>0</v>
      </c>
      <c r="M10" s="9"/>
      <c r="N10" s="6">
        <f>D10+F10+H10+J10+L10</f>
        <v>0</v>
      </c>
    </row>
    <row r="11" spans="1:14" x14ac:dyDescent="0.2">
      <c r="A11" s="33">
        <v>500</v>
      </c>
      <c r="B11" t="s">
        <v>112</v>
      </c>
      <c r="D11" s="50">
        <v>0</v>
      </c>
      <c r="E11" s="340"/>
      <c r="F11" s="50">
        <v>0</v>
      </c>
      <c r="G11" s="9"/>
      <c r="H11" s="50">
        <v>0</v>
      </c>
      <c r="I11" s="9"/>
      <c r="J11" s="50">
        <v>0</v>
      </c>
      <c r="K11" s="9"/>
      <c r="L11" s="50">
        <v>0</v>
      </c>
      <c r="M11" s="9"/>
      <c r="N11" s="6">
        <f>D11+F11+H11+J11+L11</f>
        <v>0</v>
      </c>
    </row>
    <row r="12" spans="1:14" x14ac:dyDescent="0.2">
      <c r="A12" s="33">
        <v>505</v>
      </c>
      <c r="B12" t="s">
        <v>113</v>
      </c>
      <c r="D12" s="50">
        <v>0</v>
      </c>
      <c r="E12" s="340"/>
      <c r="F12" s="50">
        <v>0</v>
      </c>
      <c r="G12" s="9"/>
      <c r="H12" s="50">
        <v>0</v>
      </c>
      <c r="I12" s="9"/>
      <c r="J12" s="50">
        <v>0</v>
      </c>
      <c r="K12" s="9"/>
      <c r="L12" s="50">
        <v>0</v>
      </c>
      <c r="M12" s="9"/>
      <c r="N12" s="6">
        <f>D12+F12+H12+J12+L12</f>
        <v>0</v>
      </c>
    </row>
    <row r="13" spans="1:14" x14ac:dyDescent="0.2">
      <c r="A13" s="33">
        <v>530</v>
      </c>
      <c r="B13" t="s">
        <v>114</v>
      </c>
      <c r="D13" s="50">
        <v>0</v>
      </c>
      <c r="E13" s="340"/>
      <c r="F13" s="50">
        <v>0</v>
      </c>
      <c r="G13" s="6"/>
      <c r="H13" s="50">
        <v>0</v>
      </c>
      <c r="I13" s="6"/>
      <c r="J13" s="50">
        <v>0</v>
      </c>
      <c r="K13" s="6"/>
      <c r="L13" s="50">
        <v>0</v>
      </c>
      <c r="M13" s="6"/>
      <c r="N13" s="6">
        <f>D13+F13+H13+J13+L13</f>
        <v>0</v>
      </c>
    </row>
    <row r="14" spans="1:14" x14ac:dyDescent="0.2">
      <c r="A14" s="33">
        <v>530</v>
      </c>
      <c r="B14" t="s">
        <v>115</v>
      </c>
      <c r="D14" s="50">
        <v>0</v>
      </c>
      <c r="E14" s="340"/>
      <c r="F14" s="50">
        <v>0</v>
      </c>
      <c r="G14" s="6"/>
      <c r="H14" s="50">
        <v>0</v>
      </c>
      <c r="I14" s="6"/>
      <c r="J14" s="50">
        <v>0</v>
      </c>
      <c r="K14" s="6"/>
      <c r="L14" s="50">
        <v>0</v>
      </c>
      <c r="M14" s="6"/>
      <c r="N14" s="6">
        <f t="shared" ref="N14:N19" si="0">D14+F14+H14+J14+L14</f>
        <v>0</v>
      </c>
    </row>
    <row r="15" spans="1:14" x14ac:dyDescent="0.2">
      <c r="A15" s="33">
        <v>540</v>
      </c>
      <c r="B15" t="s">
        <v>116</v>
      </c>
      <c r="D15" s="50">
        <v>0</v>
      </c>
      <c r="E15" s="340"/>
      <c r="F15" s="50">
        <v>0</v>
      </c>
      <c r="G15" s="6"/>
      <c r="H15" s="50">
        <v>0</v>
      </c>
      <c r="I15" s="6"/>
      <c r="J15" s="50">
        <v>0</v>
      </c>
      <c r="K15" s="6"/>
      <c r="L15" s="50">
        <v>0</v>
      </c>
      <c r="M15" s="6"/>
      <c r="N15" s="6">
        <f t="shared" si="0"/>
        <v>0</v>
      </c>
    </row>
    <row r="16" spans="1:14" x14ac:dyDescent="0.2">
      <c r="A16" s="33">
        <v>550</v>
      </c>
      <c r="B16" t="s">
        <v>117</v>
      </c>
      <c r="D16" s="50">
        <v>0</v>
      </c>
      <c r="E16" s="340"/>
      <c r="F16" s="50">
        <v>0</v>
      </c>
      <c r="G16" s="6"/>
      <c r="H16" s="50">
        <v>0</v>
      </c>
      <c r="I16" s="6"/>
      <c r="J16" s="50">
        <v>0</v>
      </c>
      <c r="K16" s="6"/>
      <c r="L16" s="50">
        <v>0</v>
      </c>
      <c r="M16" s="6"/>
      <c r="N16" s="6">
        <f t="shared" si="0"/>
        <v>0</v>
      </c>
    </row>
    <row r="17" spans="1:15" x14ac:dyDescent="0.2">
      <c r="A17" s="33">
        <v>555</v>
      </c>
      <c r="B17" t="s">
        <v>118</v>
      </c>
      <c r="D17" s="50">
        <v>0</v>
      </c>
      <c r="E17" s="340"/>
      <c r="F17" s="50">
        <v>0</v>
      </c>
      <c r="G17" s="6"/>
      <c r="H17" s="50">
        <v>0</v>
      </c>
      <c r="I17" s="6"/>
      <c r="J17" s="50">
        <v>0</v>
      </c>
      <c r="K17" s="6"/>
      <c r="L17" s="50">
        <v>0</v>
      </c>
      <c r="M17" s="6"/>
      <c r="N17" s="6">
        <f t="shared" si="0"/>
        <v>0</v>
      </c>
      <c r="O17" s="247" t="str">
        <f>IF(N17&lt;0,"Problem: Amount should not be negative; include loss/exp with Other expenses", " ")</f>
        <v xml:space="preserve"> </v>
      </c>
    </row>
    <row r="18" spans="1:15" x14ac:dyDescent="0.2">
      <c r="A18" s="33">
        <v>560</v>
      </c>
      <c r="B18" t="s">
        <v>119</v>
      </c>
      <c r="D18" s="51">
        <v>0</v>
      </c>
      <c r="E18" s="340"/>
      <c r="F18" s="51">
        <v>0</v>
      </c>
      <c r="G18" s="6"/>
      <c r="H18" s="51">
        <v>0</v>
      </c>
      <c r="I18" s="6"/>
      <c r="J18" s="51">
        <v>0</v>
      </c>
      <c r="K18" s="6"/>
      <c r="L18" s="51">
        <v>0</v>
      </c>
      <c r="M18" s="6"/>
      <c r="N18" s="7">
        <f t="shared" si="0"/>
        <v>0</v>
      </c>
      <c r="O18" s="247" t="str">
        <f>IF(N18&lt;0,"Problem: Amount should not be negative; include loss/exp with Other expenses", " ")</f>
        <v xml:space="preserve"> </v>
      </c>
    </row>
    <row r="19" spans="1:15" x14ac:dyDescent="0.2">
      <c r="A19" s="27"/>
      <c r="B19" s="2" t="s">
        <v>120</v>
      </c>
      <c r="D19" s="8">
        <f>SUM(D9:D18)</f>
        <v>0</v>
      </c>
      <c r="F19" s="8">
        <f>SUM(F9:F18)</f>
        <v>0</v>
      </c>
      <c r="G19" s="6"/>
      <c r="H19" s="8">
        <f>SUM(H9:H18)</f>
        <v>0</v>
      </c>
      <c r="I19" s="6"/>
      <c r="J19" s="8">
        <f>SUM(J9:J18)</f>
        <v>0</v>
      </c>
      <c r="K19" s="6"/>
      <c r="L19" s="8">
        <f>SUM(L9:L18)</f>
        <v>0</v>
      </c>
      <c r="M19" s="6"/>
      <c r="N19" s="8">
        <f t="shared" si="0"/>
        <v>0</v>
      </c>
    </row>
    <row r="20" spans="1:15" ht="9.9499999999999993" customHeight="1" x14ac:dyDescent="0.2">
      <c r="A20" s="27"/>
    </row>
    <row r="21" spans="1:15" ht="14.25" x14ac:dyDescent="0.2">
      <c r="A21" s="27"/>
      <c r="B21" s="1" t="s">
        <v>121</v>
      </c>
    </row>
    <row r="22" spans="1:15" x14ac:dyDescent="0.2">
      <c r="A22" s="33" t="s">
        <v>44</v>
      </c>
      <c r="B22" s="154" t="s">
        <v>122</v>
      </c>
      <c r="D22" s="52">
        <v>0</v>
      </c>
      <c r="E22" s="340"/>
      <c r="F22" s="52">
        <v>0</v>
      </c>
      <c r="G22" s="343"/>
      <c r="H22" s="52">
        <v>0</v>
      </c>
      <c r="I22" s="12"/>
      <c r="J22" s="52">
        <v>0</v>
      </c>
      <c r="K22" s="12"/>
      <c r="L22" s="52">
        <v>0</v>
      </c>
      <c r="M22" s="12"/>
      <c r="N22" s="6">
        <f>D22+F22+H22+J22+L22</f>
        <v>0</v>
      </c>
    </row>
    <row r="23" spans="1:15" x14ac:dyDescent="0.2">
      <c r="A23" s="33">
        <v>610</v>
      </c>
      <c r="B23" t="s">
        <v>123</v>
      </c>
      <c r="D23" s="53">
        <v>0</v>
      </c>
      <c r="E23" s="6"/>
      <c r="F23" s="53">
        <v>0</v>
      </c>
      <c r="G23" s="343"/>
      <c r="H23" s="53">
        <v>0</v>
      </c>
      <c r="I23" s="12"/>
      <c r="J23" s="53">
        <v>0</v>
      </c>
      <c r="K23" s="12"/>
      <c r="L23" s="53">
        <v>0</v>
      </c>
      <c r="M23" s="12"/>
      <c r="N23" s="7">
        <f>D23+F23+H23+J23+L23</f>
        <v>0</v>
      </c>
    </row>
    <row r="24" spans="1:15" x14ac:dyDescent="0.2">
      <c r="B24" s="2" t="s">
        <v>124</v>
      </c>
      <c r="D24" s="21">
        <f>SUM(D22:D23)</f>
        <v>0</v>
      </c>
      <c r="E24" s="6"/>
      <c r="F24" s="21">
        <f>SUM(F22:F23)</f>
        <v>0</v>
      </c>
      <c r="G24" s="12"/>
      <c r="H24" s="21">
        <f>SUM(H22:H23)</f>
        <v>0</v>
      </c>
      <c r="I24" s="12"/>
      <c r="J24" s="21">
        <f>SUM(J22:J23)</f>
        <v>0</v>
      </c>
      <c r="K24" s="12"/>
      <c r="L24" s="21">
        <f>SUM(L22:L23)</f>
        <v>0</v>
      </c>
      <c r="M24" s="12"/>
      <c r="N24" s="8">
        <f>D24+F24+H24+J24+L24</f>
        <v>0</v>
      </c>
    </row>
    <row r="25" spans="1:15" ht="9.9499999999999993" customHeight="1" x14ac:dyDescent="0.2"/>
    <row r="26" spans="1:15" x14ac:dyDescent="0.2">
      <c r="B26" t="s">
        <v>125</v>
      </c>
      <c r="D26" s="12">
        <f>D19-D24</f>
        <v>0</v>
      </c>
      <c r="F26" s="12">
        <f>F19-F24</f>
        <v>0</v>
      </c>
      <c r="G26" s="12"/>
      <c r="H26" s="12">
        <f>H19-H24</f>
        <v>0</v>
      </c>
      <c r="I26" s="12"/>
      <c r="J26" s="12">
        <f>J19-J24</f>
        <v>0</v>
      </c>
      <c r="K26" s="12"/>
      <c r="L26" s="12">
        <f>L19-L24</f>
        <v>0</v>
      </c>
      <c r="M26" s="12"/>
      <c r="N26" s="6">
        <f>D26+F26+H26+J26+L26</f>
        <v>0</v>
      </c>
    </row>
    <row r="27" spans="1:15" x14ac:dyDescent="0.2">
      <c r="D27" s="12"/>
      <c r="F27" s="12"/>
      <c r="G27" s="12"/>
      <c r="H27" s="12"/>
      <c r="I27" s="12"/>
      <c r="J27" s="12"/>
      <c r="K27" s="12"/>
      <c r="L27" s="12"/>
      <c r="M27" s="12"/>
      <c r="N27" s="6"/>
    </row>
    <row r="28" spans="1:15" x14ac:dyDescent="0.2">
      <c r="B28" t="s">
        <v>126</v>
      </c>
      <c r="D28" s="342"/>
      <c r="E28" s="340"/>
      <c r="F28" s="342"/>
      <c r="G28" s="343"/>
      <c r="H28" s="342"/>
      <c r="I28" s="12"/>
      <c r="J28" s="52"/>
      <c r="K28" s="12"/>
      <c r="L28" s="52"/>
      <c r="M28" s="12"/>
      <c r="N28" s="68" t="e">
        <f>VLOOKUP(Info!D6,'Net Assets'!A1:E100,3,FALSE)</f>
        <v>#N/A</v>
      </c>
      <c r="O28" s="248" t="e">
        <f>IF((D28+F28+H28+J28+L28=N28),"OK","Problem - Must equal the total prior year ending per Foundation template")</f>
        <v>#N/A</v>
      </c>
    </row>
    <row r="29" spans="1:15" x14ac:dyDescent="0.2">
      <c r="B29" t="s">
        <v>127</v>
      </c>
      <c r="D29" s="53"/>
      <c r="F29" s="53"/>
      <c r="G29" s="12"/>
      <c r="H29" s="53"/>
      <c r="I29" s="12"/>
      <c r="J29" s="53"/>
      <c r="K29" s="12"/>
      <c r="L29" s="53"/>
      <c r="M29" s="12"/>
      <c r="N29" s="7">
        <f>D29+F29+H29+J29+L29</f>
        <v>0</v>
      </c>
      <c r="O29" s="248" t="str">
        <f>IF(N29=0,"OK",IF((D29+F29+H29+J29+L29)&lt;&gt;0,"Please complete 'Restatements' tab","OK"))</f>
        <v>OK</v>
      </c>
    </row>
    <row r="30" spans="1:15" ht="14.85" customHeight="1" thickBot="1" x14ac:dyDescent="0.25">
      <c r="B30" t="s">
        <v>128</v>
      </c>
      <c r="D30" s="11">
        <f>D26+D28+D29</f>
        <v>0</v>
      </c>
      <c r="F30" s="11">
        <f>F26+F28+F29</f>
        <v>0</v>
      </c>
      <c r="G30" s="28"/>
      <c r="H30" s="11">
        <f>H26+H28+H29</f>
        <v>0</v>
      </c>
      <c r="I30" s="28"/>
      <c r="J30" s="11">
        <f>J26+J28+J29</f>
        <v>0</v>
      </c>
      <c r="K30" s="28"/>
      <c r="L30" s="11">
        <f>L26+L28+L29</f>
        <v>0</v>
      </c>
      <c r="M30" s="28"/>
      <c r="N30" s="11">
        <f>D30+F30+H30+J30+L30</f>
        <v>0</v>
      </c>
    </row>
    <row r="31" spans="1:15" ht="9.9499999999999993" customHeight="1" thickTop="1" x14ac:dyDescent="0.2"/>
    <row r="32" spans="1:15" ht="12.75" customHeight="1" x14ac:dyDescent="0.2">
      <c r="B32" s="23" t="s">
        <v>129</v>
      </c>
      <c r="D32" s="35" t="str">
        <f>IF(D30='Exh A'!D49,"OK","ERROR")</f>
        <v>OK</v>
      </c>
      <c r="F32" s="35" t="str">
        <f>IF(F30='Exh A'!F49,"OK","ERROR")</f>
        <v>OK</v>
      </c>
      <c r="H32" s="35" t="str">
        <f>IF(H30='Exh A'!H49,"OK","ERROR")</f>
        <v>OK</v>
      </c>
      <c r="J32" s="35" t="str">
        <f>IF(J30='Exh A'!J49,"OK","ERROR")</f>
        <v>OK</v>
      </c>
      <c r="L32" s="35" t="str">
        <f>IF(L30='Exh A'!L49,"OK","ERROR")</f>
        <v>OK</v>
      </c>
    </row>
    <row r="33" spans="1:8" ht="9.9499999999999993" customHeight="1" x14ac:dyDescent="0.2"/>
    <row r="34" spans="1:8" x14ac:dyDescent="0.2">
      <c r="A34" s="25" t="s">
        <v>130</v>
      </c>
    </row>
    <row r="35" spans="1:8" ht="5.0999999999999996" customHeight="1" x14ac:dyDescent="0.2"/>
    <row r="36" spans="1:8" x14ac:dyDescent="0.2">
      <c r="A36" s="37" t="s">
        <v>84</v>
      </c>
      <c r="B36" s="154" t="s">
        <v>131</v>
      </c>
      <c r="C36" s="23"/>
      <c r="D36" s="23"/>
      <c r="E36" s="23"/>
      <c r="F36" s="23"/>
      <c r="G36" s="23"/>
      <c r="H36" s="23"/>
    </row>
    <row r="37" spans="1:8" x14ac:dyDescent="0.2">
      <c r="A37" s="27"/>
      <c r="B37" s="154" t="s">
        <v>132</v>
      </c>
      <c r="C37" s="23"/>
      <c r="D37" s="23"/>
      <c r="E37" s="23"/>
      <c r="F37" s="23"/>
      <c r="G37" s="23"/>
      <c r="H37" s="23"/>
    </row>
    <row r="38" spans="1:8" x14ac:dyDescent="0.2">
      <c r="A38" s="27"/>
      <c r="B38" s="154" t="s">
        <v>133</v>
      </c>
      <c r="C38" s="23"/>
      <c r="D38" s="23"/>
      <c r="E38" s="23"/>
      <c r="F38" s="23"/>
      <c r="G38" s="23"/>
      <c r="H38" s="23"/>
    </row>
    <row r="39" spans="1:8" ht="5.0999999999999996" customHeight="1" x14ac:dyDescent="0.2">
      <c r="A39" s="27"/>
      <c r="B39" s="154"/>
      <c r="C39" s="23"/>
      <c r="D39" s="23"/>
      <c r="E39" s="23"/>
      <c r="F39" s="23"/>
      <c r="G39" s="23"/>
      <c r="H39" s="23"/>
    </row>
    <row r="40" spans="1:8" x14ac:dyDescent="0.2">
      <c r="A40" s="37" t="s">
        <v>87</v>
      </c>
      <c r="B40" s="154" t="s">
        <v>134</v>
      </c>
    </row>
    <row r="41" spans="1:8" x14ac:dyDescent="0.2">
      <c r="A41" s="27"/>
      <c r="B41" s="154" t="s">
        <v>135</v>
      </c>
    </row>
    <row r="42" spans="1:8" ht="5.0999999999999996" customHeight="1" x14ac:dyDescent="0.2">
      <c r="A42" s="27"/>
      <c r="B42" s="154"/>
    </row>
    <row r="43" spans="1:8" x14ac:dyDescent="0.2">
      <c r="A43" s="37" t="s">
        <v>93</v>
      </c>
      <c r="B43" t="s">
        <v>136</v>
      </c>
    </row>
    <row r="44" spans="1:8" x14ac:dyDescent="0.2">
      <c r="A44" s="27"/>
      <c r="B44" t="s">
        <v>137</v>
      </c>
    </row>
    <row r="45" spans="1:8" x14ac:dyDescent="0.2">
      <c r="A45" s="27"/>
      <c r="B45" t="s">
        <v>138</v>
      </c>
    </row>
    <row r="46" spans="1:8" ht="5.0999999999999996" customHeight="1" x14ac:dyDescent="0.2">
      <c r="A46" s="27"/>
      <c r="B46" s="154"/>
    </row>
    <row r="47" spans="1:8" x14ac:dyDescent="0.2">
      <c r="A47" s="37" t="s">
        <v>44</v>
      </c>
      <c r="B47" s="154" t="s">
        <v>105</v>
      </c>
    </row>
  </sheetData>
  <sheetProtection algorithmName="SHA-512" hashValue="KwHXNip4BTcKGasjROpohxonbB5PraBcEQ8jmoVEROKTczSFHVLuDxTnVZynZGAsOTrX2X/g66verQwdAKyIQA==" saltValue="kQ00clVVFFp6a68zixASrw==" spinCount="100000" sheet="1" autoFilter="0"/>
  <mergeCells count="5">
    <mergeCell ref="L5:L7"/>
    <mergeCell ref="D5:D7"/>
    <mergeCell ref="F5:F7"/>
    <mergeCell ref="H5:H7"/>
    <mergeCell ref="J5:J7"/>
  </mergeCells>
  <phoneticPr fontId="0" type="noConversion"/>
  <conditionalFormatting sqref="D32 F32 H32 J32 L32">
    <cfRule type="cellIs" dxfId="22" priority="2" stopIfTrue="1" operator="equal">
      <formula>"ERROR"</formula>
    </cfRule>
  </conditionalFormatting>
  <conditionalFormatting sqref="O29:R29">
    <cfRule type="containsText" dxfId="21" priority="1" operator="containsText" text="P">
      <formula>NOT(ISERROR(SEARCH("P",O29)))</formula>
    </cfRule>
  </conditionalFormatting>
  <dataValidations count="1">
    <dataValidation allowBlank="1" showInputMessage="1" showErrorMessage="1" promptTitle="Provide information" prompt="Please enter the detail of restatements at 'Restatements' tab." sqref="D29 F29 H29 J29 L29" xr:uid="{31C7FE2F-065C-4223-85C7-B8744FBBA9A1}"/>
  </dataValidations>
  <pageMargins left="0.25" right="0.25" top="0.45" bottom="0.45" header="0.5" footer="0.2"/>
  <pageSetup scale="94" orientation="landscape" r:id="rId1"/>
  <headerFooter alignWithMargins="0">
    <oddFooter>&amp;L&amp;F &amp;A&amp;C&amp;P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169"/>
  <sheetViews>
    <sheetView topLeftCell="A30" zoomScaleNormal="100" workbookViewId="0">
      <selection activeCell="B92" sqref="B92"/>
    </sheetView>
  </sheetViews>
  <sheetFormatPr defaultRowHeight="12.75" x14ac:dyDescent="0.2"/>
  <cols>
    <col min="1" max="1" width="4.28515625" customWidth="1"/>
    <col min="2" max="2" width="43.140625" customWidth="1"/>
    <col min="3" max="3" width="0.7109375" customWidth="1"/>
    <col min="4" max="4" width="17.140625" customWidth="1"/>
    <col min="5" max="5" width="0.7109375" customWidth="1"/>
    <col min="6" max="6" width="16" customWidth="1"/>
    <col min="7" max="7" width="0.7109375" customWidth="1"/>
    <col min="8" max="8" width="17" customWidth="1"/>
    <col min="9" max="9" width="0.7109375" customWidth="1"/>
    <col min="10" max="10" width="17" customWidth="1"/>
    <col min="11" max="11" width="0.7109375" customWidth="1"/>
    <col min="12" max="12" width="16.140625" customWidth="1"/>
    <col min="13" max="13" width="0.7109375" customWidth="1"/>
    <col min="14" max="14" width="16.5703125" customWidth="1"/>
    <col min="15" max="15" width="4" customWidth="1"/>
    <col min="16" max="16" width="14.85546875" customWidth="1"/>
  </cols>
  <sheetData>
    <row r="1" spans="1:14" x14ac:dyDescent="0.2">
      <c r="A1" s="1" t="e">
        <f>CONCATENATE(Info!D7," Foundations")</f>
        <v>#N/A</v>
      </c>
      <c r="N1" s="31" t="s">
        <v>139</v>
      </c>
    </row>
    <row r="2" spans="1:14" x14ac:dyDescent="0.2">
      <c r="A2" s="1" t="s">
        <v>140</v>
      </c>
    </row>
    <row r="3" spans="1:14" x14ac:dyDescent="0.2">
      <c r="A3" s="153" t="s">
        <v>467</v>
      </c>
    </row>
    <row r="4" spans="1:14" x14ac:dyDescent="0.2">
      <c r="D4" s="455" t="str">
        <f>Info!$D$17</f>
        <v>Name of Foundation</v>
      </c>
      <c r="F4" s="455">
        <f>Info!$D$19</f>
        <v>0</v>
      </c>
      <c r="H4" s="455">
        <f>Info!$D$21</f>
        <v>0</v>
      </c>
      <c r="J4" s="455">
        <f>Info!$D$23</f>
        <v>0</v>
      </c>
      <c r="L4" s="455">
        <f>Info!$D$25</f>
        <v>0</v>
      </c>
    </row>
    <row r="5" spans="1:14" x14ac:dyDescent="0.2">
      <c r="D5" s="455"/>
      <c r="F5" s="455"/>
      <c r="G5" s="27"/>
      <c r="H5" s="455"/>
      <c r="I5" s="27"/>
      <c r="J5" s="455"/>
      <c r="K5" s="27"/>
      <c r="L5" s="455"/>
      <c r="M5" s="27"/>
      <c r="N5" s="27"/>
    </row>
    <row r="6" spans="1:14" x14ac:dyDescent="0.2">
      <c r="D6" s="456"/>
      <c r="F6" s="456"/>
      <c r="G6" s="151"/>
      <c r="H6" s="456"/>
      <c r="I6" s="151"/>
      <c r="J6" s="456"/>
      <c r="K6" s="27"/>
      <c r="L6" s="456"/>
      <c r="M6" s="151"/>
      <c r="N6" s="4" t="s">
        <v>41</v>
      </c>
    </row>
    <row r="7" spans="1:14" ht="14.25" x14ac:dyDescent="0.2">
      <c r="A7" s="459" t="s">
        <v>141</v>
      </c>
      <c r="B7" s="459"/>
      <c r="D7" s="27"/>
      <c r="F7" s="27"/>
      <c r="G7" s="151"/>
      <c r="H7" s="27"/>
      <c r="I7" s="151"/>
      <c r="J7" s="27"/>
      <c r="K7" s="27"/>
      <c r="L7" s="27"/>
      <c r="M7" s="151"/>
      <c r="N7" s="27"/>
    </row>
    <row r="8" spans="1:14" x14ac:dyDescent="0.2">
      <c r="D8" s="27"/>
      <c r="F8" s="27"/>
      <c r="G8" s="151"/>
      <c r="H8" s="27"/>
      <c r="I8" s="151"/>
      <c r="J8" s="27"/>
      <c r="K8" s="27"/>
      <c r="L8" s="27"/>
      <c r="M8" s="151"/>
      <c r="N8" s="27"/>
    </row>
    <row r="9" spans="1:14" x14ac:dyDescent="0.2">
      <c r="B9" s="1" t="s">
        <v>45</v>
      </c>
      <c r="D9" s="27"/>
      <c r="F9" s="27"/>
      <c r="G9" s="151"/>
      <c r="H9" s="27"/>
      <c r="I9" s="151"/>
      <c r="J9" s="27"/>
      <c r="K9" s="27"/>
      <c r="L9" s="27"/>
      <c r="M9" s="151"/>
      <c r="N9" s="27"/>
    </row>
    <row r="10" spans="1:14" ht="14.25" x14ac:dyDescent="0.2">
      <c r="B10" s="154" t="s">
        <v>142</v>
      </c>
      <c r="D10" s="49"/>
      <c r="E10" s="74"/>
      <c r="F10" s="49"/>
      <c r="G10" s="163"/>
      <c r="H10" s="49"/>
      <c r="I10" s="163"/>
      <c r="J10" s="49"/>
      <c r="K10" s="75"/>
      <c r="L10" s="49"/>
      <c r="M10" s="151"/>
      <c r="N10" s="9"/>
    </row>
    <row r="11" spans="1:14" x14ac:dyDescent="0.2">
      <c r="A11" s="32">
        <v>130</v>
      </c>
      <c r="B11" s="3" t="s">
        <v>143</v>
      </c>
      <c r="D11" s="49">
        <v>0</v>
      </c>
      <c r="E11" s="74"/>
      <c r="F11" s="49">
        <v>0</v>
      </c>
      <c r="G11" s="163"/>
      <c r="H11" s="49">
        <v>0</v>
      </c>
      <c r="I11" s="163"/>
      <c r="J11" s="49">
        <v>0</v>
      </c>
      <c r="K11" s="75"/>
      <c r="L11" s="49">
        <v>0</v>
      </c>
      <c r="M11" s="151"/>
      <c r="N11" s="9">
        <f>D11+F11+H11+J11+L11</f>
        <v>0</v>
      </c>
    </row>
    <row r="12" spans="1:14" x14ac:dyDescent="0.2">
      <c r="A12" s="32">
        <v>105</v>
      </c>
      <c r="B12" s="3" t="s">
        <v>144</v>
      </c>
      <c r="D12" s="50">
        <v>0</v>
      </c>
      <c r="F12" s="50">
        <v>0</v>
      </c>
      <c r="G12" s="151"/>
      <c r="H12" s="50">
        <v>0</v>
      </c>
      <c r="I12" s="151"/>
      <c r="J12" s="50">
        <v>0</v>
      </c>
      <c r="K12" s="27"/>
      <c r="L12" s="50">
        <v>0</v>
      </c>
      <c r="M12" s="151"/>
      <c r="N12" s="6">
        <f>D12+F12+H12+J12+L12</f>
        <v>0</v>
      </c>
    </row>
    <row r="13" spans="1:14" ht="14.25" x14ac:dyDescent="0.2">
      <c r="B13" s="154" t="s">
        <v>145</v>
      </c>
      <c r="D13" s="27"/>
      <c r="F13" s="27"/>
      <c r="G13" s="151"/>
      <c r="H13" s="27"/>
      <c r="I13" s="151"/>
      <c r="J13" s="27"/>
      <c r="K13" s="27"/>
      <c r="L13" s="27"/>
      <c r="M13" s="151"/>
      <c r="N13" s="27"/>
    </row>
    <row r="14" spans="1:14" x14ac:dyDescent="0.2">
      <c r="A14" s="32">
        <v>130</v>
      </c>
      <c r="B14" s="3" t="s">
        <v>143</v>
      </c>
      <c r="D14" s="50">
        <v>0</v>
      </c>
      <c r="F14" s="50">
        <v>0</v>
      </c>
      <c r="G14" s="151"/>
      <c r="H14" s="50">
        <v>0</v>
      </c>
      <c r="I14" s="151"/>
      <c r="J14" s="50">
        <v>0</v>
      </c>
      <c r="K14" s="27"/>
      <c r="L14" s="50">
        <v>0</v>
      </c>
      <c r="M14" s="151"/>
      <c r="N14" s="6">
        <f>D14+F14+H14+J14+L14</f>
        <v>0</v>
      </c>
    </row>
    <row r="15" spans="1:14" x14ac:dyDescent="0.2">
      <c r="A15" s="32">
        <v>105</v>
      </c>
      <c r="B15" s="3" t="s">
        <v>144</v>
      </c>
      <c r="D15" s="50">
        <v>0</v>
      </c>
      <c r="F15" s="50">
        <v>0</v>
      </c>
      <c r="G15" s="151"/>
      <c r="H15" s="50">
        <v>0</v>
      </c>
      <c r="I15" s="151"/>
      <c r="J15" s="50">
        <v>0</v>
      </c>
      <c r="K15" s="27"/>
      <c r="L15" s="50">
        <v>0</v>
      </c>
      <c r="M15" s="151"/>
      <c r="N15" s="6">
        <f>D15+F15+H15+J15+L15</f>
        <v>0</v>
      </c>
    </row>
    <row r="16" spans="1:14" x14ac:dyDescent="0.2">
      <c r="B16" s="154" t="s">
        <v>146</v>
      </c>
      <c r="D16" s="27"/>
      <c r="F16" s="27"/>
      <c r="G16" s="151"/>
      <c r="H16" s="27"/>
      <c r="I16" s="151"/>
      <c r="J16" s="27"/>
      <c r="K16" s="27"/>
      <c r="L16" s="27"/>
      <c r="M16" s="151"/>
      <c r="N16" s="27"/>
    </row>
    <row r="17" spans="1:14" x14ac:dyDescent="0.2">
      <c r="A17" s="33">
        <v>130</v>
      </c>
      <c r="B17" s="3" t="s">
        <v>143</v>
      </c>
      <c r="D17" s="50">
        <v>0</v>
      </c>
      <c r="F17" s="50">
        <v>0</v>
      </c>
      <c r="G17" s="151"/>
      <c r="H17" s="50">
        <v>0</v>
      </c>
      <c r="I17" s="151"/>
      <c r="J17" s="50">
        <v>0</v>
      </c>
      <c r="K17" s="27"/>
      <c r="L17" s="50">
        <v>0</v>
      </c>
      <c r="M17" s="151"/>
      <c r="N17" s="50">
        <f>D17+F17+H17+J17+L17</f>
        <v>0</v>
      </c>
    </row>
    <row r="18" spans="1:14" x14ac:dyDescent="0.2">
      <c r="A18" s="33">
        <v>105</v>
      </c>
      <c r="B18" s="3" t="s">
        <v>144</v>
      </c>
      <c r="D18" s="50">
        <v>0</v>
      </c>
      <c r="F18" s="50">
        <v>0</v>
      </c>
      <c r="G18" s="151"/>
      <c r="H18" s="50">
        <v>0</v>
      </c>
      <c r="I18" s="151"/>
      <c r="J18" s="50">
        <v>0</v>
      </c>
      <c r="K18" s="27"/>
      <c r="L18" s="50">
        <v>0</v>
      </c>
      <c r="M18" s="151"/>
      <c r="N18" s="7">
        <f>D18+F18+H18+J18+L18</f>
        <v>0</v>
      </c>
    </row>
    <row r="19" spans="1:14" x14ac:dyDescent="0.2">
      <c r="B19" s="24" t="s">
        <v>41</v>
      </c>
      <c r="D19" s="36">
        <f>SUM(D11:D18)</f>
        <v>0</v>
      </c>
      <c r="F19" s="36">
        <f>SUM(F11:F18)</f>
        <v>0</v>
      </c>
      <c r="G19" s="151"/>
      <c r="H19" s="36">
        <f>SUM(H11:H18)</f>
        <v>0</v>
      </c>
      <c r="I19" s="151"/>
      <c r="J19" s="36">
        <f>SUM(J11:J18)</f>
        <v>0</v>
      </c>
      <c r="K19" s="27"/>
      <c r="L19" s="36">
        <f>SUM(L11:L18)</f>
        <v>0</v>
      </c>
      <c r="M19" s="151"/>
      <c r="N19" s="8">
        <f>D19+F19+H19+J19+L19</f>
        <v>0</v>
      </c>
    </row>
    <row r="20" spans="1:14" x14ac:dyDescent="0.2">
      <c r="B20" s="23" t="s">
        <v>147</v>
      </c>
      <c r="D20" s="43" t="str">
        <f>IF(D19='Exh A'!D10,"OK","ERROR")</f>
        <v>OK</v>
      </c>
      <c r="F20" s="43" t="str">
        <f>IF(F19='Exh A'!F10,"OK","ERROR")</f>
        <v>OK</v>
      </c>
      <c r="G20" s="151"/>
      <c r="H20" s="43" t="str">
        <f>IF(H19='Exh A'!H10,"OK","ERROR")</f>
        <v>OK</v>
      </c>
      <c r="I20" s="151"/>
      <c r="J20" s="43" t="str">
        <f>IF(J19='Exh A'!J10,"OK","ERROR")</f>
        <v>OK</v>
      </c>
      <c r="K20" s="27"/>
      <c r="L20" s="43" t="str">
        <f>IF(L19='Exh A'!L10,"OK","ERROR")</f>
        <v>OK</v>
      </c>
      <c r="M20" s="151"/>
      <c r="N20" s="27"/>
    </row>
    <row r="21" spans="1:14" x14ac:dyDescent="0.2">
      <c r="D21" s="27"/>
      <c r="F21" s="27"/>
      <c r="G21" s="151"/>
      <c r="H21" s="27"/>
      <c r="I21" s="151"/>
      <c r="J21" s="27"/>
      <c r="K21" s="27"/>
      <c r="L21" s="27"/>
      <c r="M21" s="151"/>
      <c r="N21" s="27"/>
    </row>
    <row r="22" spans="1:14" ht="14.25" x14ac:dyDescent="0.2">
      <c r="B22" s="1" t="s">
        <v>148</v>
      </c>
      <c r="D22" s="27"/>
      <c r="F22" s="27"/>
      <c r="G22" s="151"/>
      <c r="H22" s="27"/>
      <c r="I22" s="151"/>
      <c r="J22" s="27"/>
      <c r="K22" s="27"/>
      <c r="L22" s="27"/>
      <c r="M22" s="151"/>
      <c r="N22" s="27"/>
    </row>
    <row r="23" spans="1:14" x14ac:dyDescent="0.2">
      <c r="A23" s="33">
        <v>140</v>
      </c>
      <c r="B23" s="3" t="s">
        <v>149</v>
      </c>
      <c r="D23" s="50">
        <v>0</v>
      </c>
      <c r="F23" s="50">
        <v>0</v>
      </c>
      <c r="G23" s="151"/>
      <c r="H23" s="50">
        <v>0</v>
      </c>
      <c r="I23" s="151"/>
      <c r="J23" s="50">
        <v>0</v>
      </c>
      <c r="K23" s="27"/>
      <c r="L23" s="50">
        <v>0</v>
      </c>
      <c r="M23" s="151"/>
      <c r="N23" s="6">
        <f>D23+F23+H23+J23+L23</f>
        <v>0</v>
      </c>
    </row>
    <row r="24" spans="1:14" x14ac:dyDescent="0.2">
      <c r="A24" s="33">
        <v>145</v>
      </c>
      <c r="B24" s="3" t="s">
        <v>150</v>
      </c>
      <c r="D24" s="50">
        <v>0</v>
      </c>
      <c r="F24" s="50">
        <v>0</v>
      </c>
      <c r="G24" s="151"/>
      <c r="H24" s="50">
        <v>0</v>
      </c>
      <c r="I24" s="151"/>
      <c r="J24" s="50">
        <v>0</v>
      </c>
      <c r="K24" s="27"/>
      <c r="L24" s="50">
        <v>0</v>
      </c>
      <c r="M24" s="151"/>
      <c r="N24" s="6">
        <f>D24+F24+H24+J24+L24</f>
        <v>0</v>
      </c>
    </row>
    <row r="25" spans="1:14" x14ac:dyDescent="0.2">
      <c r="A25" s="33">
        <v>140</v>
      </c>
      <c r="B25" s="3" t="s">
        <v>151</v>
      </c>
      <c r="D25" s="50">
        <v>0</v>
      </c>
      <c r="F25" s="50">
        <v>0</v>
      </c>
      <c r="G25" s="151"/>
      <c r="H25" s="50">
        <v>0</v>
      </c>
      <c r="I25" s="151"/>
      <c r="J25" s="50">
        <v>0</v>
      </c>
      <c r="K25" s="27"/>
      <c r="L25" s="50">
        <v>0</v>
      </c>
      <c r="M25" s="151"/>
      <c r="N25" s="6">
        <f>D25+F25+H25+J25+L25</f>
        <v>0</v>
      </c>
    </row>
    <row r="26" spans="1:14" x14ac:dyDescent="0.2">
      <c r="A26" s="33">
        <v>145</v>
      </c>
      <c r="B26" s="3" t="s">
        <v>152</v>
      </c>
      <c r="D26" s="50">
        <v>0</v>
      </c>
      <c r="F26" s="51">
        <v>0</v>
      </c>
      <c r="G26" s="151"/>
      <c r="H26" s="51">
        <v>0</v>
      </c>
      <c r="I26" s="151"/>
      <c r="J26" s="51">
        <v>0</v>
      </c>
      <c r="K26" s="27"/>
      <c r="L26" s="51">
        <v>0</v>
      </c>
      <c r="M26" s="151"/>
      <c r="N26" s="7">
        <f>D26+F26+H26+J26+L26</f>
        <v>0</v>
      </c>
    </row>
    <row r="27" spans="1:14" x14ac:dyDescent="0.2">
      <c r="A27" s="33"/>
      <c r="B27" s="24" t="s">
        <v>41</v>
      </c>
      <c r="D27" s="36">
        <f>SUM(D23:D26)</f>
        <v>0</v>
      </c>
      <c r="F27" s="36">
        <f>SUM(F23:F26)</f>
        <v>0</v>
      </c>
      <c r="G27" s="151"/>
      <c r="H27" s="36">
        <f>SUM(H23:H26)</f>
        <v>0</v>
      </c>
      <c r="I27" s="151"/>
      <c r="J27" s="36">
        <f>SUM(J23:J26)</f>
        <v>0</v>
      </c>
      <c r="K27" s="27"/>
      <c r="L27" s="36">
        <f>SUM(L23:L26)</f>
        <v>0</v>
      </c>
      <c r="M27" s="151"/>
      <c r="N27" s="8">
        <f>D27+F27+H27+J27+L27</f>
        <v>0</v>
      </c>
    </row>
    <row r="28" spans="1:14" x14ac:dyDescent="0.2">
      <c r="A28" s="33"/>
      <c r="B28" s="23" t="s">
        <v>147</v>
      </c>
      <c r="D28" s="43" t="str">
        <f>IF(D27='Exh A'!D26,"OK","ERROR")</f>
        <v>OK</v>
      </c>
      <c r="E28" s="44"/>
      <c r="F28" s="43" t="str">
        <f>IF(F27='Exh A'!F26,"OK","ERROR")</f>
        <v>OK</v>
      </c>
      <c r="G28" s="45"/>
      <c r="H28" s="43" t="str">
        <f>IF(H27='Exh A'!H26,"OK","ERROR")</f>
        <v>OK</v>
      </c>
      <c r="I28" s="45"/>
      <c r="J28" s="43" t="str">
        <f>IF(J27='Exh A'!J26,"OK","ERROR")</f>
        <v>OK</v>
      </c>
      <c r="K28" s="45"/>
      <c r="L28" s="43" t="str">
        <f>IF(L27='Exh A'!L26,"OK","ERROR")</f>
        <v>OK</v>
      </c>
      <c r="M28" s="151"/>
      <c r="N28" s="27"/>
    </row>
    <row r="29" spans="1:14" x14ac:dyDescent="0.2">
      <c r="A29" s="33"/>
      <c r="B29" s="23"/>
      <c r="D29" s="27"/>
      <c r="F29" s="27"/>
      <c r="G29" s="151"/>
      <c r="H29" s="27"/>
      <c r="I29" s="151"/>
      <c r="J29" s="27"/>
      <c r="K29" s="27"/>
      <c r="L29" s="27"/>
      <c r="M29" s="151"/>
      <c r="N29" s="27"/>
    </row>
    <row r="30" spans="1:14" x14ac:dyDescent="0.2">
      <c r="A30" s="33"/>
      <c r="B30" s="1" t="s">
        <v>72</v>
      </c>
    </row>
    <row r="31" spans="1:14" x14ac:dyDescent="0.2">
      <c r="A31" s="33">
        <v>260</v>
      </c>
      <c r="B31" s="3" t="s">
        <v>153</v>
      </c>
      <c r="D31" s="52">
        <v>0</v>
      </c>
      <c r="F31" s="52">
        <v>0</v>
      </c>
      <c r="G31" s="12"/>
      <c r="H31" s="52">
        <v>0</v>
      </c>
      <c r="I31" s="12"/>
      <c r="J31" s="52">
        <v>0</v>
      </c>
      <c r="K31" s="12"/>
      <c r="L31" s="52">
        <v>0</v>
      </c>
      <c r="N31" s="6">
        <f>D31+F31+H31+J31+L31</f>
        <v>0</v>
      </c>
    </row>
    <row r="32" spans="1:14" x14ac:dyDescent="0.2">
      <c r="A32" s="33">
        <v>261</v>
      </c>
      <c r="B32" s="3" t="s">
        <v>154</v>
      </c>
      <c r="D32" s="344">
        <v>0</v>
      </c>
      <c r="F32" s="53">
        <v>0</v>
      </c>
      <c r="G32" s="12"/>
      <c r="H32" s="53">
        <v>0</v>
      </c>
      <c r="I32" s="12"/>
      <c r="J32" s="53">
        <v>0</v>
      </c>
      <c r="K32" s="12"/>
      <c r="L32" s="53">
        <v>0</v>
      </c>
      <c r="N32" s="7">
        <f>D32+F32+H32+J32+L32</f>
        <v>0</v>
      </c>
    </row>
    <row r="33" spans="1:16" x14ac:dyDescent="0.2">
      <c r="A33" s="33"/>
      <c r="B33" s="24" t="s">
        <v>41</v>
      </c>
      <c r="D33" s="10">
        <f>SUM(D31:D32)</f>
        <v>0</v>
      </c>
      <c r="F33" s="10">
        <f>SUM(F31:F32)</f>
        <v>0</v>
      </c>
      <c r="G33" s="12"/>
      <c r="H33" s="10">
        <f>SUM(H31:H32)</f>
        <v>0</v>
      </c>
      <c r="I33" s="12"/>
      <c r="J33" s="10">
        <f>SUM(J31:J32)</f>
        <v>0</v>
      </c>
      <c r="K33" s="12"/>
      <c r="L33" s="10">
        <f>SUM(L31:L32)</f>
        <v>0</v>
      </c>
      <c r="N33" s="8">
        <f>D33+F33+H33+J33+L33</f>
        <v>0</v>
      </c>
    </row>
    <row r="34" spans="1:16" x14ac:dyDescent="0.2">
      <c r="A34" s="33"/>
      <c r="B34" s="23" t="s">
        <v>147</v>
      </c>
      <c r="D34" s="43" t="str">
        <f>IF(D33='Exh A'!D38,"OK","ERROR")</f>
        <v>OK</v>
      </c>
      <c r="F34" s="43" t="str">
        <f>IF(F33='Exh A'!F38,"OK","ERROR")</f>
        <v>OK</v>
      </c>
      <c r="H34" s="43" t="str">
        <f>IF(H33='Exh A'!H38,"OK","ERROR")</f>
        <v>OK</v>
      </c>
      <c r="J34" s="43" t="str">
        <f>IF(J33='Exh A'!J38,"OK","ERROR")</f>
        <v>OK</v>
      </c>
      <c r="L34" s="43" t="str">
        <f>IF(L33='Exh A'!L38,"OK","ERROR")</f>
        <v>OK</v>
      </c>
    </row>
    <row r="35" spans="1:16" x14ac:dyDescent="0.2">
      <c r="A35" s="33"/>
      <c r="B35" s="23"/>
      <c r="D35" s="27"/>
      <c r="F35" s="27"/>
      <c r="G35" s="151"/>
      <c r="H35" s="27"/>
      <c r="I35" s="151"/>
      <c r="J35" s="27"/>
      <c r="K35" s="27"/>
      <c r="L35" s="27"/>
      <c r="M35" s="151"/>
      <c r="N35" s="27"/>
    </row>
    <row r="36" spans="1:16" x14ac:dyDescent="0.2">
      <c r="A36" s="33"/>
      <c r="B36" s="1" t="s">
        <v>73</v>
      </c>
    </row>
    <row r="37" spans="1:16" x14ac:dyDescent="0.2">
      <c r="A37" s="33">
        <v>260</v>
      </c>
      <c r="B37" s="3" t="s">
        <v>153</v>
      </c>
      <c r="D37" s="342">
        <v>0</v>
      </c>
      <c r="F37" s="52">
        <v>0</v>
      </c>
      <c r="G37" s="12"/>
      <c r="H37" s="52">
        <v>0</v>
      </c>
      <c r="I37" s="12"/>
      <c r="J37" s="52">
        <v>0</v>
      </c>
      <c r="K37" s="12"/>
      <c r="L37" s="52">
        <v>0</v>
      </c>
      <c r="N37" s="6">
        <f>D37+F37+H37+J37+L37</f>
        <v>0</v>
      </c>
    </row>
    <row r="38" spans="1:16" x14ac:dyDescent="0.2">
      <c r="A38" s="33">
        <v>261</v>
      </c>
      <c r="B38" s="3" t="s">
        <v>154</v>
      </c>
      <c r="D38" s="51">
        <v>0</v>
      </c>
      <c r="F38" s="53">
        <v>0</v>
      </c>
      <c r="G38" s="12"/>
      <c r="H38" s="53">
        <v>0</v>
      </c>
      <c r="I38" s="12"/>
      <c r="J38" s="53">
        <v>0</v>
      </c>
      <c r="K38" s="12"/>
      <c r="L38" s="53">
        <v>0</v>
      </c>
      <c r="N38" s="7">
        <f>D38+F38+H38+J38+L38</f>
        <v>0</v>
      </c>
    </row>
    <row r="39" spans="1:16" x14ac:dyDescent="0.2">
      <c r="A39" s="33"/>
      <c r="B39" s="24" t="s">
        <v>41</v>
      </c>
      <c r="D39" s="10">
        <f>SUM(D37:D38)</f>
        <v>0</v>
      </c>
      <c r="F39" s="10">
        <f>SUM(F37:F38)</f>
        <v>0</v>
      </c>
      <c r="G39" s="12"/>
      <c r="H39" s="10">
        <f>SUM(H37:H38)</f>
        <v>0</v>
      </c>
      <c r="I39" s="12"/>
      <c r="J39" s="10">
        <f>SUM(J37:J38)</f>
        <v>0</v>
      </c>
      <c r="K39" s="12"/>
      <c r="L39" s="10">
        <f>SUM(L37:L38)</f>
        <v>0</v>
      </c>
      <c r="N39" s="8">
        <f>D39+F39+H39+J39+L39</f>
        <v>0</v>
      </c>
    </row>
    <row r="40" spans="1:16" x14ac:dyDescent="0.2">
      <c r="A40" s="33"/>
      <c r="B40" s="23" t="s">
        <v>147</v>
      </c>
      <c r="D40" s="43" t="str">
        <f>IF(D39='Exh A'!D39,"OK","ERROR")</f>
        <v>OK</v>
      </c>
      <c r="F40" s="43" t="str">
        <f>IF(F39='Exh A'!F39,"OK","ERROR")</f>
        <v>OK</v>
      </c>
      <c r="H40" s="43" t="str">
        <f>IF(H39='Exh A'!H39,"OK","ERROR")</f>
        <v>OK</v>
      </c>
      <c r="J40" s="43" t="str">
        <f>IF(J39='Exh A'!J39,"OK","ERROR")</f>
        <v>OK</v>
      </c>
      <c r="L40" s="43" t="str">
        <f>IF(L39='Exh A'!L39,"OK","ERROR")</f>
        <v>OK</v>
      </c>
    </row>
    <row r="41" spans="1:16" x14ac:dyDescent="0.2">
      <c r="A41" s="33"/>
      <c r="B41" s="23"/>
    </row>
    <row r="42" spans="1:16" x14ac:dyDescent="0.2">
      <c r="A42" s="33"/>
      <c r="B42" s="1" t="s">
        <v>74</v>
      </c>
    </row>
    <row r="43" spans="1:16" x14ac:dyDescent="0.2">
      <c r="A43" s="33">
        <v>260</v>
      </c>
      <c r="B43" s="3" t="s">
        <v>153</v>
      </c>
      <c r="D43" s="50">
        <v>0</v>
      </c>
      <c r="F43" s="52">
        <v>0</v>
      </c>
      <c r="G43" s="6"/>
      <c r="H43" s="52">
        <v>0</v>
      </c>
      <c r="I43" s="6"/>
      <c r="J43" s="52">
        <v>0</v>
      </c>
      <c r="K43" s="6"/>
      <c r="L43" s="52">
        <v>0</v>
      </c>
      <c r="N43" s="12">
        <f>D43+F43+H43+J43+L43</f>
        <v>0</v>
      </c>
    </row>
    <row r="44" spans="1:16" x14ac:dyDescent="0.2">
      <c r="A44" s="33">
        <v>261</v>
      </c>
      <c r="B44" s="3" t="s">
        <v>154</v>
      </c>
      <c r="D44" s="50">
        <v>0</v>
      </c>
      <c r="F44" s="51">
        <v>0</v>
      </c>
      <c r="G44" s="6"/>
      <c r="H44" s="51">
        <v>0</v>
      </c>
      <c r="I44" s="6"/>
      <c r="J44" s="51">
        <v>0</v>
      </c>
      <c r="K44" s="6"/>
      <c r="L44" s="51">
        <v>0</v>
      </c>
      <c r="N44" s="7">
        <f>D44+F44+H44+J44+L44</f>
        <v>0</v>
      </c>
    </row>
    <row r="45" spans="1:16" x14ac:dyDescent="0.2">
      <c r="A45" s="33"/>
      <c r="B45" s="24" t="s">
        <v>41</v>
      </c>
      <c r="D45" s="21">
        <f>SUM(D43:D44)</f>
        <v>0</v>
      </c>
      <c r="F45" s="21">
        <f>SUM(F43:F44)</f>
        <v>0</v>
      </c>
      <c r="G45" s="12"/>
      <c r="H45" s="21">
        <f>SUM(H43:H44)</f>
        <v>0</v>
      </c>
      <c r="I45" s="12"/>
      <c r="J45" s="21">
        <f>SUM(J43:J44)</f>
        <v>0</v>
      </c>
      <c r="K45" s="12"/>
      <c r="L45" s="21">
        <f>SUM(L43:L44)</f>
        <v>0</v>
      </c>
      <c r="N45" s="8">
        <f>D45+F45+H45+J45+L45</f>
        <v>0</v>
      </c>
    </row>
    <row r="46" spans="1:16" x14ac:dyDescent="0.2">
      <c r="A46" s="33"/>
      <c r="B46" s="23" t="s">
        <v>147</v>
      </c>
      <c r="D46" s="43" t="str">
        <f>IF(D45='Exh A'!D40,"OK","ERROR")</f>
        <v>OK</v>
      </c>
      <c r="F46" s="43" t="str">
        <f>IF(F45='Exh A'!F40,"OK","ERROR")</f>
        <v>OK</v>
      </c>
      <c r="H46" s="43" t="str">
        <f>IF(H45='Exh A'!H40,"OK","ERROR")</f>
        <v>OK</v>
      </c>
      <c r="J46" s="43" t="str">
        <f>IF(J45='Exh A'!J40,"OK","ERROR")</f>
        <v>OK</v>
      </c>
      <c r="L46" s="43" t="str">
        <f>IF(L45='Exh A'!L40,"OK","ERROR")</f>
        <v>OK</v>
      </c>
    </row>
    <row r="47" spans="1:16" x14ac:dyDescent="0.2">
      <c r="A47" s="33"/>
      <c r="B47" s="23"/>
    </row>
    <row r="48" spans="1:16" x14ac:dyDescent="0.2">
      <c r="A48" s="33"/>
      <c r="B48" s="1" t="s">
        <v>462</v>
      </c>
      <c r="P48" s="142"/>
    </row>
    <row r="49" spans="1:16" x14ac:dyDescent="0.2">
      <c r="A49" s="33">
        <v>260</v>
      </c>
      <c r="B49" s="217" t="s">
        <v>153</v>
      </c>
      <c r="D49" s="52">
        <v>0</v>
      </c>
      <c r="F49" s="52">
        <v>0</v>
      </c>
      <c r="G49" s="6"/>
      <c r="H49" s="52">
        <v>0</v>
      </c>
      <c r="I49" s="6"/>
      <c r="J49" s="52">
        <v>0</v>
      </c>
      <c r="K49" s="6"/>
      <c r="L49" s="52">
        <v>0</v>
      </c>
      <c r="N49" s="12">
        <f>D49+F49+H49+J49+L49</f>
        <v>0</v>
      </c>
      <c r="P49" s="142"/>
    </row>
    <row r="50" spans="1:16" x14ac:dyDescent="0.2">
      <c r="A50" s="33">
        <v>261</v>
      </c>
      <c r="B50" s="217" t="s">
        <v>154</v>
      </c>
      <c r="D50" s="51">
        <v>0</v>
      </c>
      <c r="F50" s="51">
        <v>0</v>
      </c>
      <c r="G50" s="6"/>
      <c r="H50" s="51">
        <v>0</v>
      </c>
      <c r="I50" s="6"/>
      <c r="J50" s="51">
        <v>0</v>
      </c>
      <c r="K50" s="6"/>
      <c r="L50" s="51">
        <v>0</v>
      </c>
      <c r="N50" s="7">
        <f>D50+F50+H50+J50+L50</f>
        <v>0</v>
      </c>
    </row>
    <row r="51" spans="1:16" x14ac:dyDescent="0.2">
      <c r="A51" s="33"/>
      <c r="B51" s="24" t="s">
        <v>41</v>
      </c>
      <c r="D51" s="21">
        <f>SUM(D49:D50)</f>
        <v>0</v>
      </c>
      <c r="F51" s="21">
        <f>SUM(F49:F50)</f>
        <v>0</v>
      </c>
      <c r="G51" s="12"/>
      <c r="H51" s="21">
        <f>SUM(H49:H50)</f>
        <v>0</v>
      </c>
      <c r="I51" s="12"/>
      <c r="J51" s="21">
        <f>SUM(J49:J50)</f>
        <v>0</v>
      </c>
      <c r="K51" s="12"/>
      <c r="L51" s="21">
        <f>SUM(L49:L50)</f>
        <v>0</v>
      </c>
      <c r="N51" s="8">
        <f>D51+F51+H51+J51+L51</f>
        <v>0</v>
      </c>
    </row>
    <row r="52" spans="1:16" x14ac:dyDescent="0.2">
      <c r="A52" s="33"/>
      <c r="B52" s="23" t="s">
        <v>147</v>
      </c>
      <c r="D52" s="43" t="str">
        <f>IF(D51='Exh A'!D41,"OK","ERROR")</f>
        <v>OK</v>
      </c>
      <c r="F52" s="43" t="str">
        <f>IF(F51='Exh A'!F41,"OK","ERROR")</f>
        <v>OK</v>
      </c>
      <c r="H52" s="43" t="str">
        <f>IF(H51='Exh A'!H41,"OK","ERROR")</f>
        <v>OK</v>
      </c>
      <c r="J52" s="43" t="str">
        <f>IF(J51='Exh A'!J41,"OK","ERROR")</f>
        <v>OK</v>
      </c>
      <c r="L52" s="43" t="str">
        <f>IF(L51='Exh A'!L41,"OK","ERROR")</f>
        <v>OK</v>
      </c>
    </row>
    <row r="53" spans="1:16" x14ac:dyDescent="0.2">
      <c r="A53" s="33"/>
      <c r="B53" s="23"/>
    </row>
    <row r="54" spans="1:16" x14ac:dyDescent="0.2">
      <c r="A54" s="33"/>
      <c r="B54" s="1" t="s">
        <v>75</v>
      </c>
    </row>
    <row r="55" spans="1:16" x14ac:dyDescent="0.2">
      <c r="A55" s="33">
        <v>260</v>
      </c>
      <c r="B55" s="3" t="s">
        <v>153</v>
      </c>
      <c r="D55" s="52">
        <v>0</v>
      </c>
      <c r="F55" s="342">
        <v>0</v>
      </c>
      <c r="G55" s="6"/>
      <c r="H55" s="52">
        <v>0</v>
      </c>
      <c r="I55" s="6"/>
      <c r="J55" s="52">
        <v>0</v>
      </c>
      <c r="K55" s="6"/>
      <c r="L55" s="52">
        <v>0</v>
      </c>
      <c r="N55" s="12">
        <f>D55+F55+H55+J55+L55</f>
        <v>0</v>
      </c>
    </row>
    <row r="56" spans="1:16" x14ac:dyDescent="0.2">
      <c r="A56" s="33">
        <v>261</v>
      </c>
      <c r="B56" s="3" t="s">
        <v>154</v>
      </c>
      <c r="D56" s="51">
        <v>0</v>
      </c>
      <c r="F56" s="51">
        <v>0</v>
      </c>
      <c r="G56" s="6"/>
      <c r="H56" s="51">
        <v>0</v>
      </c>
      <c r="I56" s="6"/>
      <c r="J56" s="51">
        <v>0</v>
      </c>
      <c r="K56" s="6"/>
      <c r="L56" s="51">
        <v>0</v>
      </c>
      <c r="N56" s="7">
        <f>D56+F56+H56+J56+L56</f>
        <v>0</v>
      </c>
    </row>
    <row r="57" spans="1:16" x14ac:dyDescent="0.2">
      <c r="A57" s="33"/>
      <c r="B57" s="24" t="s">
        <v>41</v>
      </c>
      <c r="D57" s="21">
        <f>SUM(D55:D56)</f>
        <v>0</v>
      </c>
      <c r="F57" s="21">
        <f>SUM(F55:F56)</f>
        <v>0</v>
      </c>
      <c r="G57" s="12"/>
      <c r="H57" s="21">
        <f>SUM(H55:H56)</f>
        <v>0</v>
      </c>
      <c r="I57" s="12"/>
      <c r="J57" s="21">
        <f>SUM(J55:J56)</f>
        <v>0</v>
      </c>
      <c r="K57" s="12"/>
      <c r="L57" s="21">
        <f>SUM(L55:L56)</f>
        <v>0</v>
      </c>
      <c r="N57" s="8">
        <f>D57+F57+H57+J57+L57</f>
        <v>0</v>
      </c>
    </row>
    <row r="58" spans="1:16" x14ac:dyDescent="0.2">
      <c r="A58" s="33"/>
      <c r="B58" s="23" t="s">
        <v>147</v>
      </c>
      <c r="D58" s="43" t="str">
        <f>IF(D57='Exh A'!D42,"OK","ERROR")</f>
        <v>OK</v>
      </c>
      <c r="F58" s="43" t="str">
        <f>IF(F57='Exh A'!F42,"OK","ERROR")</f>
        <v>OK</v>
      </c>
      <c r="H58" s="43" t="str">
        <f>IF(H57='Exh A'!H42,"OK","ERROR")</f>
        <v>OK</v>
      </c>
      <c r="J58" s="43" t="str">
        <f>IF(J57='Exh A'!J42,"OK","ERROR")</f>
        <v>OK</v>
      </c>
      <c r="L58" s="43" t="str">
        <f>IF(L57='Exh A'!L42,"OK","ERROR")</f>
        <v>OK</v>
      </c>
    </row>
    <row r="59" spans="1:16" x14ac:dyDescent="0.2">
      <c r="A59" s="33"/>
      <c r="B59" s="23"/>
    </row>
    <row r="60" spans="1:16" x14ac:dyDescent="0.2">
      <c r="A60" s="33"/>
      <c r="B60" s="1" t="s">
        <v>76</v>
      </c>
    </row>
    <row r="61" spans="1:16" x14ac:dyDescent="0.2">
      <c r="A61" s="33">
        <v>260</v>
      </c>
      <c r="B61" s="3" t="s">
        <v>153</v>
      </c>
      <c r="D61" s="50">
        <v>0</v>
      </c>
      <c r="F61" s="52">
        <v>0</v>
      </c>
      <c r="G61" s="12"/>
      <c r="H61" s="52">
        <v>0</v>
      </c>
      <c r="I61" s="12"/>
      <c r="J61" s="52">
        <v>0</v>
      </c>
      <c r="K61" s="12"/>
      <c r="L61" s="52">
        <v>0</v>
      </c>
      <c r="N61" s="6">
        <f>D61+F61+H61+J61+L61</f>
        <v>0</v>
      </c>
    </row>
    <row r="62" spans="1:16" x14ac:dyDescent="0.2">
      <c r="A62" s="33">
        <v>261</v>
      </c>
      <c r="B62" s="3" t="s">
        <v>154</v>
      </c>
      <c r="D62" s="50">
        <v>0</v>
      </c>
      <c r="F62" s="53">
        <v>0</v>
      </c>
      <c r="G62" s="12"/>
      <c r="H62" s="53">
        <v>0</v>
      </c>
      <c r="I62" s="12"/>
      <c r="J62" s="53">
        <v>0</v>
      </c>
      <c r="K62" s="12"/>
      <c r="L62" s="53">
        <v>0</v>
      </c>
      <c r="N62" s="7">
        <f>D62+F62+H62+J62+L62</f>
        <v>0</v>
      </c>
    </row>
    <row r="63" spans="1:16" x14ac:dyDescent="0.2">
      <c r="A63" s="33"/>
      <c r="B63" s="24" t="s">
        <v>41</v>
      </c>
      <c r="D63" s="10">
        <f>SUM(D61:D62)</f>
        <v>0</v>
      </c>
      <c r="F63" s="10">
        <f>SUM(F61:F62)</f>
        <v>0</v>
      </c>
      <c r="G63" s="12"/>
      <c r="H63" s="10">
        <f>SUM(H61:H62)</f>
        <v>0</v>
      </c>
      <c r="I63" s="12"/>
      <c r="J63" s="10">
        <f>SUM(J61:J62)</f>
        <v>0</v>
      </c>
      <c r="K63" s="12"/>
      <c r="L63" s="10">
        <f>SUM(L61:L62)</f>
        <v>0</v>
      </c>
      <c r="N63" s="8">
        <f>D63+F63+H63+J63+L63</f>
        <v>0</v>
      </c>
    </row>
    <row r="64" spans="1:16" x14ac:dyDescent="0.2">
      <c r="A64" s="33"/>
      <c r="B64" s="23" t="s">
        <v>147</v>
      </c>
      <c r="D64" s="43" t="str">
        <f>IF(D63='Exh A'!D43,"OK","ERROR")</f>
        <v>OK</v>
      </c>
      <c r="F64" s="43" t="str">
        <f>IF(F63='Exh A'!F43,"OK","ERROR")</f>
        <v>OK</v>
      </c>
      <c r="H64" s="43" t="str">
        <f>IF(H63='Exh A'!H43,"OK","ERROR")</f>
        <v>OK</v>
      </c>
      <c r="J64" s="43" t="str">
        <f>IF(J63='Exh A'!J43,"OK","ERROR")</f>
        <v>OK</v>
      </c>
      <c r="L64" s="43" t="str">
        <f>IF(L63='Exh A'!L43,"OK","ERROR")</f>
        <v>OK</v>
      </c>
    </row>
    <row r="65" spans="1:14" x14ac:dyDescent="0.2">
      <c r="A65" s="33"/>
      <c r="B65" s="23"/>
    </row>
    <row r="66" spans="1:14" x14ac:dyDescent="0.2">
      <c r="A66" s="33"/>
      <c r="B66" s="1" t="s">
        <v>110</v>
      </c>
    </row>
    <row r="67" spans="1:14" x14ac:dyDescent="0.2">
      <c r="A67" s="33">
        <v>500</v>
      </c>
      <c r="B67" s="3" t="s">
        <v>155</v>
      </c>
      <c r="D67" s="342">
        <v>0</v>
      </c>
      <c r="F67" s="342">
        <v>0</v>
      </c>
      <c r="G67" s="12"/>
      <c r="H67" s="342">
        <v>0</v>
      </c>
      <c r="I67" s="12"/>
      <c r="J67" s="52">
        <v>0</v>
      </c>
      <c r="K67" s="12"/>
      <c r="L67" s="52">
        <v>0</v>
      </c>
      <c r="N67" s="6">
        <f>D67+F67+H67+J67+L67</f>
        <v>0</v>
      </c>
    </row>
    <row r="68" spans="1:14" x14ac:dyDescent="0.2">
      <c r="A68" s="33">
        <v>510</v>
      </c>
      <c r="B68" s="3" t="s">
        <v>156</v>
      </c>
      <c r="D68" s="342">
        <v>0</v>
      </c>
      <c r="F68" s="342">
        <v>0</v>
      </c>
      <c r="G68" s="12"/>
      <c r="H68" s="342">
        <v>0</v>
      </c>
      <c r="I68" s="12"/>
      <c r="J68" s="52">
        <v>0</v>
      </c>
      <c r="K68" s="12"/>
      <c r="L68" s="52">
        <v>0</v>
      </c>
      <c r="N68" s="6">
        <f>D68+F68+H68+J68+L68</f>
        <v>0</v>
      </c>
    </row>
    <row r="69" spans="1:14" x14ac:dyDescent="0.2">
      <c r="A69" s="33">
        <v>520</v>
      </c>
      <c r="B69" s="3" t="s">
        <v>157</v>
      </c>
      <c r="D69" s="344">
        <v>0</v>
      </c>
      <c r="F69" s="344">
        <v>0</v>
      </c>
      <c r="G69" s="12"/>
      <c r="H69" s="344">
        <v>0</v>
      </c>
      <c r="I69" s="12"/>
      <c r="J69" s="53">
        <v>0</v>
      </c>
      <c r="K69" s="12"/>
      <c r="L69" s="53">
        <v>0</v>
      </c>
      <c r="N69" s="7">
        <f>D69+F69+H69+J69+L69</f>
        <v>0</v>
      </c>
    </row>
    <row r="70" spans="1:14" x14ac:dyDescent="0.2">
      <c r="A70" s="33"/>
      <c r="B70" s="24" t="s">
        <v>41</v>
      </c>
      <c r="D70" s="21">
        <f>SUM(D67:D69)</f>
        <v>0</v>
      </c>
      <c r="F70" s="21">
        <f>SUM(F67:F69)</f>
        <v>0</v>
      </c>
      <c r="G70" s="12"/>
      <c r="H70" s="21">
        <f>SUM(H67:H69)</f>
        <v>0</v>
      </c>
      <c r="I70" s="12"/>
      <c r="J70" s="21">
        <f>SUM(J67:J69)</f>
        <v>0</v>
      </c>
      <c r="K70" s="12"/>
      <c r="L70" s="21">
        <f>SUM(L67:L69)</f>
        <v>0</v>
      </c>
      <c r="N70" s="8">
        <f>D70+F70+H70+J70+L70</f>
        <v>0</v>
      </c>
    </row>
    <row r="71" spans="1:14" x14ac:dyDescent="0.2">
      <c r="A71" s="33"/>
      <c r="B71" s="23" t="s">
        <v>158</v>
      </c>
      <c r="D71" s="43" t="str">
        <f>IF(D70='Exh B'!D9,"OK","ERROR")</f>
        <v>OK</v>
      </c>
      <c r="F71" s="43" t="str">
        <f>IF(F70='Exh B'!F9,"OK","ERROR")</f>
        <v>OK</v>
      </c>
      <c r="H71" s="43" t="str">
        <f>IF(H70='Exh B'!H9,"OK","ERROR")</f>
        <v>OK</v>
      </c>
      <c r="J71" s="43" t="str">
        <f>IF(J70='Exh B'!J9,"OK","ERROR")</f>
        <v>OK</v>
      </c>
      <c r="L71" s="43" t="str">
        <f>IF(L70='Exh B'!L9,"OK","ERROR")</f>
        <v>OK</v>
      </c>
    </row>
    <row r="72" spans="1:14" ht="18" customHeight="1" x14ac:dyDescent="0.2">
      <c r="A72" s="33"/>
      <c r="B72" s="23"/>
      <c r="D72" s="43"/>
      <c r="F72" s="43"/>
      <c r="H72" s="43"/>
      <c r="J72" s="43"/>
      <c r="L72" s="43"/>
    </row>
    <row r="73" spans="1:14" x14ac:dyDescent="0.2">
      <c r="A73" s="459" t="s">
        <v>159</v>
      </c>
      <c r="B73" s="459"/>
    </row>
    <row r="74" spans="1:14" ht="12" customHeight="1" x14ac:dyDescent="0.2">
      <c r="A74" s="46"/>
      <c r="B74" s="46"/>
    </row>
    <row r="75" spans="1:14" ht="14.25" x14ac:dyDescent="0.2">
      <c r="A75" s="33"/>
      <c r="B75" s="1" t="s">
        <v>160</v>
      </c>
    </row>
    <row r="76" spans="1:14" x14ac:dyDescent="0.2">
      <c r="A76" s="33">
        <v>604</v>
      </c>
      <c r="B76" s="3" t="s">
        <v>161</v>
      </c>
      <c r="D76" s="50">
        <v>0</v>
      </c>
      <c r="F76" s="52">
        <v>0</v>
      </c>
      <c r="H76" s="52">
        <v>0</v>
      </c>
      <c r="J76" s="52">
        <v>0</v>
      </c>
      <c r="K76" s="12"/>
      <c r="L76" s="52">
        <v>0</v>
      </c>
      <c r="N76" s="6">
        <f>D76+F76+H76+J76+L76</f>
        <v>0</v>
      </c>
    </row>
    <row r="77" spans="1:14" x14ac:dyDescent="0.2">
      <c r="A77" s="33">
        <v>600</v>
      </c>
      <c r="B77" s="3" t="s">
        <v>162</v>
      </c>
      <c r="D77" s="342">
        <v>0</v>
      </c>
      <c r="F77" s="342">
        <v>0</v>
      </c>
      <c r="H77" s="342">
        <v>0</v>
      </c>
      <c r="J77" s="52">
        <v>0</v>
      </c>
      <c r="K77" s="12"/>
      <c r="L77" s="52">
        <v>0</v>
      </c>
      <c r="N77" s="6">
        <f>D77+F77+H77+J77+L77</f>
        <v>0</v>
      </c>
    </row>
    <row r="78" spans="1:14" x14ac:dyDescent="0.2">
      <c r="A78" s="33">
        <v>602</v>
      </c>
      <c r="B78" s="3" t="s">
        <v>163</v>
      </c>
      <c r="D78" s="50">
        <v>0</v>
      </c>
      <c r="F78" s="53">
        <v>0</v>
      </c>
      <c r="H78" s="53">
        <v>0</v>
      </c>
      <c r="J78" s="53">
        <v>0</v>
      </c>
      <c r="K78" s="12"/>
      <c r="L78" s="53">
        <v>0</v>
      </c>
      <c r="N78" s="7">
        <f>D78+F78+H78+J78+L78</f>
        <v>0</v>
      </c>
    </row>
    <row r="79" spans="1:14" x14ac:dyDescent="0.2">
      <c r="A79" s="33"/>
      <c r="B79" s="24" t="s">
        <v>41</v>
      </c>
      <c r="D79" s="21">
        <f>SUM(D76:D78)</f>
        <v>0</v>
      </c>
      <c r="F79" s="21">
        <f>SUM(F76:F78)</f>
        <v>0</v>
      </c>
      <c r="H79" s="21">
        <f>SUM(H76:H78)</f>
        <v>0</v>
      </c>
      <c r="J79" s="21">
        <f>SUM(J76:J78)</f>
        <v>0</v>
      </c>
      <c r="K79" s="12"/>
      <c r="L79" s="21">
        <f>SUM(L76:L78)</f>
        <v>0</v>
      </c>
      <c r="N79" s="8">
        <f>D79+F79+H79+J79+L79</f>
        <v>0</v>
      </c>
    </row>
    <row r="80" spans="1:14" x14ac:dyDescent="0.2">
      <c r="A80" s="33"/>
      <c r="B80" s="23" t="s">
        <v>158</v>
      </c>
      <c r="D80" s="43" t="str">
        <f>IF(D79='Exh B'!D22,"OK","ERROR")</f>
        <v>OK</v>
      </c>
      <c r="F80" s="43" t="str">
        <f>IF(F79='Exh B'!F22,"OK","ERROR")</f>
        <v>OK</v>
      </c>
      <c r="H80" s="43" t="str">
        <f>IF(H79='Exh B'!H22,"OK","ERROR")</f>
        <v>OK</v>
      </c>
      <c r="J80" s="43" t="str">
        <f>IF(J79='Exh B'!J22,"OK","ERROR")</f>
        <v>OK</v>
      </c>
      <c r="L80" s="43" t="str">
        <f>IF(L79='Exh B'!L22,"OK","ERROR")</f>
        <v>OK</v>
      </c>
    </row>
    <row r="81" spans="1:15" ht="18" customHeight="1" x14ac:dyDescent="0.2">
      <c r="A81" s="33"/>
      <c r="B81" s="23"/>
      <c r="D81" s="43"/>
      <c r="F81" s="43"/>
      <c r="H81" s="43"/>
      <c r="J81" s="43"/>
      <c r="L81" s="43"/>
    </row>
    <row r="82" spans="1:15" x14ac:dyDescent="0.2">
      <c r="A82" s="33"/>
      <c r="B82" s="235" t="s">
        <v>164</v>
      </c>
      <c r="D82" s="43"/>
      <c r="F82" s="43"/>
      <c r="H82" s="43"/>
      <c r="J82" s="43"/>
      <c r="L82" s="43"/>
    </row>
    <row r="83" spans="1:15" x14ac:dyDescent="0.2">
      <c r="A83" s="33"/>
      <c r="B83" s="235"/>
      <c r="D83" s="43"/>
      <c r="F83" s="43"/>
      <c r="H83" s="43"/>
      <c r="J83" s="43"/>
      <c r="L83" s="43"/>
    </row>
    <row r="84" spans="1:15" x14ac:dyDescent="0.2">
      <c r="A84" s="33"/>
      <c r="B84" s="1" t="s">
        <v>165</v>
      </c>
      <c r="D84" s="54" t="s">
        <v>166</v>
      </c>
      <c r="F84" s="54" t="s">
        <v>166</v>
      </c>
      <c r="H84" s="54" t="s">
        <v>166</v>
      </c>
      <c r="J84" s="54" t="s">
        <v>166</v>
      </c>
      <c r="L84" s="54" t="s">
        <v>166</v>
      </c>
    </row>
    <row r="85" spans="1:15" ht="11.25" customHeight="1" x14ac:dyDescent="0.2">
      <c r="A85" s="33"/>
      <c r="B85" s="1"/>
      <c r="D85" s="72"/>
      <c r="F85" s="72"/>
      <c r="H85" s="72"/>
      <c r="J85" s="72"/>
      <c r="L85" s="72"/>
    </row>
    <row r="86" spans="1:15" ht="14.25" x14ac:dyDescent="0.2">
      <c r="A86" s="33"/>
      <c r="B86" s="73" t="s">
        <v>167</v>
      </c>
      <c r="D86" s="72"/>
      <c r="F86" s="72"/>
      <c r="H86" s="72"/>
      <c r="J86" s="72"/>
      <c r="L86" s="72"/>
    </row>
    <row r="87" spans="1:15" x14ac:dyDescent="0.2">
      <c r="A87" s="33"/>
      <c r="B87" s="217" t="s">
        <v>168</v>
      </c>
      <c r="D87" s="52">
        <v>0</v>
      </c>
      <c r="E87" s="52"/>
      <c r="F87" s="342">
        <v>0</v>
      </c>
      <c r="G87" s="52"/>
      <c r="H87" s="52">
        <v>0</v>
      </c>
      <c r="I87" s="52"/>
      <c r="J87" s="52">
        <v>0</v>
      </c>
      <c r="K87" s="52"/>
      <c r="L87" s="52">
        <v>0</v>
      </c>
      <c r="M87" s="52"/>
      <c r="N87" s="6">
        <f>D87+F87+H87+J87+L87</f>
        <v>0</v>
      </c>
      <c r="O87" s="154"/>
    </row>
    <row r="88" spans="1:15" x14ac:dyDescent="0.2">
      <c r="A88" s="33"/>
      <c r="B88" s="3" t="s">
        <v>169</v>
      </c>
      <c r="D88" s="53">
        <v>0</v>
      </c>
      <c r="E88" s="52"/>
      <c r="F88" s="344">
        <v>0</v>
      </c>
      <c r="G88" s="52"/>
      <c r="H88" s="53">
        <v>0</v>
      </c>
      <c r="I88" s="52"/>
      <c r="J88" s="53">
        <v>0</v>
      </c>
      <c r="K88" s="52"/>
      <c r="L88" s="53">
        <v>0</v>
      </c>
      <c r="M88" s="52"/>
      <c r="N88" s="7">
        <f>D88+F88+H88+J88+L88</f>
        <v>0</v>
      </c>
    </row>
    <row r="89" spans="1:15" x14ac:dyDescent="0.2">
      <c r="A89" s="33"/>
      <c r="B89" s="24" t="s">
        <v>41</v>
      </c>
      <c r="D89" s="10">
        <f>SUM(D87:D88)</f>
        <v>0</v>
      </c>
      <c r="E89" s="12"/>
      <c r="F89" s="10">
        <f>SUM(F87:F88)</f>
        <v>0</v>
      </c>
      <c r="G89" s="12"/>
      <c r="H89" s="10">
        <f>SUM(H87:H88)</f>
        <v>0</v>
      </c>
      <c r="I89" s="12"/>
      <c r="J89" s="10">
        <f>SUM(J87:J88)</f>
        <v>0</v>
      </c>
      <c r="K89" s="12"/>
      <c r="L89" s="10">
        <f>SUM(L87:L88)</f>
        <v>0</v>
      </c>
      <c r="M89" s="12"/>
      <c r="N89" s="8">
        <f>D89+F89+H89+J89+L89</f>
        <v>0</v>
      </c>
      <c r="O89" t="str">
        <f>IF($N$116&gt;=0,"","See below error - Invested in capital assets")</f>
        <v/>
      </c>
    </row>
    <row r="90" spans="1:15" x14ac:dyDescent="0.2">
      <c r="A90" s="33"/>
      <c r="B90" s="23" t="s">
        <v>147</v>
      </c>
      <c r="D90" s="43" t="str">
        <f>IF(D89='Exh A'!D42,"OK","ERROR")</f>
        <v>OK</v>
      </c>
      <c r="E90" s="52"/>
      <c r="F90" s="43" t="str">
        <f>IF(F89='Exh A'!F42,"OK","ERROR")</f>
        <v>OK</v>
      </c>
      <c r="G90" s="52"/>
      <c r="H90" s="43" t="str">
        <f>IF(H89='Exh A'!H42,"OK","ERROR")</f>
        <v>OK</v>
      </c>
      <c r="I90" s="52"/>
      <c r="J90" s="43" t="str">
        <f>IF(J89='Exh A'!J42,"OK","ERROR")</f>
        <v>OK</v>
      </c>
      <c r="K90" s="52"/>
      <c r="L90" s="43" t="str">
        <f>IF(L89='Exh A'!L42,"OK","ERROR")</f>
        <v>OK</v>
      </c>
      <c r="M90" s="52"/>
      <c r="N90" s="52"/>
    </row>
    <row r="91" spans="1:15" ht="9" customHeight="1" x14ac:dyDescent="0.2">
      <c r="A91" s="33"/>
      <c r="B91" s="236"/>
      <c r="D91" s="52"/>
      <c r="E91" s="52"/>
      <c r="F91" s="52"/>
      <c r="G91" s="52"/>
      <c r="H91" s="52"/>
      <c r="I91" s="52"/>
      <c r="J91" s="52"/>
      <c r="K91" s="52"/>
      <c r="L91" s="52"/>
      <c r="M91" s="52"/>
      <c r="N91" s="52"/>
    </row>
    <row r="92" spans="1:15" ht="14.25" x14ac:dyDescent="0.2">
      <c r="A92" s="33"/>
      <c r="B92" s="73" t="s">
        <v>170</v>
      </c>
      <c r="D92" s="52"/>
      <c r="E92" s="52"/>
      <c r="F92" s="52"/>
      <c r="G92" s="52"/>
      <c r="H92" s="52"/>
      <c r="I92" s="52"/>
      <c r="J92" s="52"/>
      <c r="K92" s="52"/>
      <c r="L92" s="52"/>
      <c r="M92" s="52"/>
      <c r="N92" s="52"/>
    </row>
    <row r="93" spans="1:15" x14ac:dyDescent="0.2">
      <c r="A93" s="33"/>
      <c r="B93" s="3" t="s">
        <v>171</v>
      </c>
      <c r="D93" s="52">
        <v>0</v>
      </c>
      <c r="E93" s="52"/>
      <c r="F93" s="52">
        <v>0</v>
      </c>
      <c r="G93" s="52"/>
      <c r="H93" s="52">
        <v>0</v>
      </c>
      <c r="I93" s="52"/>
      <c r="J93" s="52">
        <v>0</v>
      </c>
      <c r="K93" s="52"/>
      <c r="L93" s="52">
        <v>0</v>
      </c>
      <c r="M93" s="52"/>
      <c r="N93" s="6">
        <f>D93+F93+H93+J93+L93</f>
        <v>0</v>
      </c>
    </row>
    <row r="94" spans="1:15" x14ac:dyDescent="0.2">
      <c r="A94" s="33"/>
      <c r="B94" s="3" t="s">
        <v>172</v>
      </c>
      <c r="D94" s="50">
        <v>0</v>
      </c>
      <c r="E94" s="52"/>
      <c r="F94" s="53">
        <v>0</v>
      </c>
      <c r="G94" s="52"/>
      <c r="H94" s="53">
        <v>0</v>
      </c>
      <c r="I94" s="52"/>
      <c r="J94" s="53">
        <v>0</v>
      </c>
      <c r="K94" s="52"/>
      <c r="L94" s="53">
        <v>0</v>
      </c>
      <c r="M94" s="52"/>
      <c r="N94" s="7">
        <f>D94+F94+H94+J94+L94</f>
        <v>0</v>
      </c>
    </row>
    <row r="95" spans="1:15" x14ac:dyDescent="0.2">
      <c r="A95" s="33"/>
      <c r="B95" s="24" t="s">
        <v>41</v>
      </c>
      <c r="D95" s="10">
        <f>SUM(D93:D94)</f>
        <v>0</v>
      </c>
      <c r="E95" s="12"/>
      <c r="F95" s="10">
        <f>SUM(F93:F94)</f>
        <v>0</v>
      </c>
      <c r="G95" s="12"/>
      <c r="H95" s="10">
        <f>SUM(H93:H94)</f>
        <v>0</v>
      </c>
      <c r="I95" s="12"/>
      <c r="J95" s="10">
        <f>SUM(J93:J94)</f>
        <v>0</v>
      </c>
      <c r="K95" s="12"/>
      <c r="L95" s="10">
        <f>SUM(L93:L94)</f>
        <v>0</v>
      </c>
      <c r="M95" s="12"/>
      <c r="N95" s="8">
        <f>D95+F95+H95+J95+L95</f>
        <v>0</v>
      </c>
      <c r="O95" t="str">
        <f>IF($N$116&gt;=0,"","See below error - Invested in capital assets")</f>
        <v/>
      </c>
    </row>
    <row r="96" spans="1:15" x14ac:dyDescent="0.2">
      <c r="A96" s="33"/>
      <c r="B96" s="23" t="s">
        <v>147</v>
      </c>
      <c r="D96" s="43" t="str">
        <f>IF(D95='Exh A'!D43,"OK","ERROR")</f>
        <v>OK</v>
      </c>
      <c r="E96" s="52"/>
      <c r="F96" s="43" t="str">
        <f>IF(F95='Exh A'!F43,"OK","ERROR")</f>
        <v>OK</v>
      </c>
      <c r="G96" s="52"/>
      <c r="H96" s="43" t="str">
        <f>IF(H95='Exh A'!H43,"OK","ERROR")</f>
        <v>OK</v>
      </c>
      <c r="I96" s="52"/>
      <c r="J96" s="43" t="str">
        <f>IF(J95='Exh A'!J43,"OK","ERROR")</f>
        <v>OK</v>
      </c>
      <c r="K96" s="52"/>
      <c r="L96" s="43" t="str">
        <f>IF(L95='Exh A'!L43,"OK","ERROR")</f>
        <v>OK</v>
      </c>
      <c r="M96" s="52"/>
      <c r="N96" s="52"/>
    </row>
    <row r="97" spans="1:15" ht="9" customHeight="1" x14ac:dyDescent="0.2">
      <c r="A97" s="33"/>
      <c r="B97" s="23"/>
      <c r="D97" s="43"/>
      <c r="E97" s="52"/>
      <c r="F97" s="43"/>
      <c r="G97" s="52"/>
      <c r="H97" s="43"/>
      <c r="I97" s="52"/>
      <c r="J97" s="43"/>
      <c r="K97" s="52"/>
      <c r="L97" s="43"/>
      <c r="M97" s="52"/>
      <c r="N97" s="52"/>
    </row>
    <row r="98" spans="1:15" ht="14.25" x14ac:dyDescent="0.2">
      <c r="A98" s="33"/>
      <c r="B98" s="73" t="s">
        <v>173</v>
      </c>
      <c r="D98" s="43"/>
      <c r="E98" s="52"/>
      <c r="F98" s="43"/>
      <c r="G98" s="52"/>
      <c r="H98" s="43"/>
      <c r="I98" s="52"/>
      <c r="J98" s="43"/>
      <c r="K98" s="52"/>
      <c r="L98" s="43"/>
      <c r="M98" s="52"/>
      <c r="N98" s="52"/>
    </row>
    <row r="99" spans="1:15" x14ac:dyDescent="0.2">
      <c r="A99" s="33"/>
      <c r="B99" s="3" t="s">
        <v>174</v>
      </c>
      <c r="D99" s="52">
        <v>0</v>
      </c>
      <c r="E99" s="52"/>
      <c r="F99" s="52">
        <v>0</v>
      </c>
      <c r="G99" s="52"/>
      <c r="H99" s="52">
        <v>0</v>
      </c>
      <c r="I99" s="52"/>
      <c r="J99" s="52">
        <v>0</v>
      </c>
      <c r="K99" s="52"/>
      <c r="L99" s="52">
        <v>0</v>
      </c>
      <c r="M99" s="52"/>
      <c r="N99" s="6">
        <f>D99+F99+H99+J99+L99</f>
        <v>0</v>
      </c>
    </row>
    <row r="100" spans="1:15" x14ac:dyDescent="0.2">
      <c r="A100" s="33"/>
      <c r="B100" s="3" t="s">
        <v>175</v>
      </c>
      <c r="D100" s="53">
        <v>0</v>
      </c>
      <c r="E100" s="52"/>
      <c r="F100" s="53">
        <v>0</v>
      </c>
      <c r="G100" s="52"/>
      <c r="H100" s="53">
        <v>0</v>
      </c>
      <c r="I100" s="52"/>
      <c r="J100" s="53">
        <v>0</v>
      </c>
      <c r="K100" s="52"/>
      <c r="L100" s="53">
        <v>0</v>
      </c>
      <c r="M100" s="52"/>
      <c r="N100" s="7">
        <f>D100+F100+H100+J100+L100</f>
        <v>0</v>
      </c>
    </row>
    <row r="101" spans="1:15" x14ac:dyDescent="0.2">
      <c r="A101" s="33"/>
      <c r="B101" s="24" t="s">
        <v>41</v>
      </c>
      <c r="D101" s="10">
        <f>SUM(D99:D100)</f>
        <v>0</v>
      </c>
      <c r="E101" s="12"/>
      <c r="F101" s="10">
        <f>SUM(F99:F100)</f>
        <v>0</v>
      </c>
      <c r="G101" s="12"/>
      <c r="H101" s="10">
        <f>SUM(H99:H100)</f>
        <v>0</v>
      </c>
      <c r="I101" s="12"/>
      <c r="J101" s="10">
        <f>SUM(J99:J100)</f>
        <v>0</v>
      </c>
      <c r="K101" s="12"/>
      <c r="L101" s="10">
        <f>SUM(L99:L100)</f>
        <v>0</v>
      </c>
      <c r="M101" s="12"/>
      <c r="N101" s="8">
        <f>D101+F101+H101+J101+L101</f>
        <v>0</v>
      </c>
      <c r="O101" t="str">
        <f>IF($N$116&gt;=0,"","See below error - Invested in capital assets")</f>
        <v/>
      </c>
    </row>
    <row r="102" spans="1:15" x14ac:dyDescent="0.2">
      <c r="A102" s="33"/>
      <c r="B102" s="23"/>
      <c r="D102" s="43"/>
      <c r="E102" s="52"/>
      <c r="F102" s="43"/>
      <c r="G102" s="52"/>
      <c r="H102" s="43"/>
      <c r="I102" s="52"/>
      <c r="J102" s="43"/>
      <c r="K102" s="52"/>
      <c r="L102" s="43"/>
      <c r="M102" s="52"/>
      <c r="N102" s="52"/>
    </row>
    <row r="103" spans="1:15" ht="14.25" x14ac:dyDescent="0.2">
      <c r="A103" s="33"/>
      <c r="B103" s="1" t="s">
        <v>176</v>
      </c>
      <c r="C103" s="142"/>
      <c r="D103" s="216"/>
      <c r="E103" s="142"/>
      <c r="F103" s="216"/>
      <c r="G103" s="142"/>
      <c r="H103" s="216"/>
      <c r="I103" s="142"/>
      <c r="J103" s="216"/>
      <c r="K103" s="142"/>
      <c r="L103" s="216"/>
      <c r="M103" s="142"/>
      <c r="N103" s="142"/>
      <c r="O103" s="152"/>
    </row>
    <row r="104" spans="1:15" x14ac:dyDescent="0.2">
      <c r="A104" s="33"/>
      <c r="B104" s="217" t="s">
        <v>177</v>
      </c>
      <c r="C104" s="142"/>
      <c r="D104" s="345">
        <v>0</v>
      </c>
      <c r="E104" s="154"/>
      <c r="F104" s="347">
        <v>0</v>
      </c>
      <c r="G104" s="154"/>
      <c r="H104" s="347">
        <v>0</v>
      </c>
      <c r="I104" s="154"/>
      <c r="J104" s="221">
        <v>0</v>
      </c>
      <c r="K104" s="154"/>
      <c r="L104" s="221">
        <v>0</v>
      </c>
      <c r="M104" s="154"/>
      <c r="N104" s="223">
        <f>D104+F104+H104+J104+L104</f>
        <v>0</v>
      </c>
      <c r="O104" s="152"/>
    </row>
    <row r="105" spans="1:15" x14ac:dyDescent="0.2">
      <c r="A105" s="33"/>
      <c r="B105" s="217" t="s">
        <v>178</v>
      </c>
      <c r="D105" s="346">
        <v>0</v>
      </c>
      <c r="E105" s="52"/>
      <c r="F105" s="348">
        <v>0</v>
      </c>
      <c r="G105" s="52"/>
      <c r="H105" s="348">
        <v>0</v>
      </c>
      <c r="I105" s="52"/>
      <c r="J105" s="222">
        <v>0</v>
      </c>
      <c r="K105" s="52"/>
      <c r="L105" s="222">
        <v>0</v>
      </c>
      <c r="M105" s="52"/>
      <c r="N105" s="224">
        <f>D105+F105+H105+J105+L105</f>
        <v>0</v>
      </c>
      <c r="O105" s="152"/>
    </row>
    <row r="106" spans="1:15" x14ac:dyDescent="0.2">
      <c r="A106" s="33"/>
      <c r="B106" s="217"/>
      <c r="D106" s="218">
        <f>SUM(D104:D105)</f>
        <v>0</v>
      </c>
      <c r="E106" s="52"/>
      <c r="F106" s="219">
        <f>SUM(F104:F105)</f>
        <v>0</v>
      </c>
      <c r="G106" s="52"/>
      <c r="H106" s="219">
        <f>SUM(H104:H105)</f>
        <v>0</v>
      </c>
      <c r="I106" s="52"/>
      <c r="J106" s="219">
        <f>SUM(J104:J105)</f>
        <v>0</v>
      </c>
      <c r="K106" s="52"/>
      <c r="L106" s="219">
        <f>SUM(L104:L105)</f>
        <v>0</v>
      </c>
      <c r="M106" s="52"/>
      <c r="N106" s="220">
        <f>SUM(N104:N105)</f>
        <v>0</v>
      </c>
      <c r="O106" s="152"/>
    </row>
    <row r="107" spans="1:15" s="317" customFormat="1" ht="39" customHeight="1" x14ac:dyDescent="0.2">
      <c r="A107" s="315"/>
      <c r="B107" s="316"/>
      <c r="D107" s="318" t="str">
        <f>IF(D106='Exh A'!D48,"OK","Explain Further on 'Comments' tab - Column A")</f>
        <v>OK</v>
      </c>
      <c r="E107" s="318"/>
      <c r="F107" s="318" t="str">
        <f>IF(F106='Exh A'!F48,"OK","Explain Further on 'Comments' tab")</f>
        <v>OK</v>
      </c>
      <c r="G107" s="318"/>
      <c r="H107" s="318" t="str">
        <f>IF(H106='Exh A'!H48,"OK","Explain Further on 'Comments' tab")</f>
        <v>OK</v>
      </c>
      <c r="I107" s="318"/>
      <c r="J107" s="318" t="str">
        <f>IF(J106='Exh A'!J48,"OK","Explain Further on 'Comments' tab")</f>
        <v>OK</v>
      </c>
      <c r="K107" s="318"/>
      <c r="L107" s="318" t="str">
        <f>IF(L106='Exh A'!L48,"OK","Explain Further on 'Comments' tab")</f>
        <v>OK</v>
      </c>
      <c r="M107" s="318"/>
      <c r="N107" s="318" t="str">
        <f>IF(N106='Exh A'!N48,"OK","Explain Further on 'Comments' tab - Column A")</f>
        <v>OK</v>
      </c>
      <c r="O107" s="319"/>
    </row>
    <row r="108" spans="1:15" x14ac:dyDescent="0.2">
      <c r="A108" s="33"/>
      <c r="B108" s="23"/>
      <c r="D108" s="43"/>
      <c r="E108" s="52"/>
      <c r="F108" s="43"/>
      <c r="G108" s="52"/>
      <c r="H108" s="43"/>
      <c r="I108" s="52"/>
      <c r="J108" s="43"/>
      <c r="K108" s="52"/>
      <c r="L108" s="43"/>
      <c r="M108" s="52"/>
      <c r="N108" s="52"/>
    </row>
    <row r="109" spans="1:15" ht="14.25" x14ac:dyDescent="0.2">
      <c r="A109" s="33"/>
      <c r="B109" s="29" t="s">
        <v>179</v>
      </c>
      <c r="C109" s="14"/>
      <c r="D109" s="14"/>
      <c r="E109" s="14"/>
      <c r="F109" s="14"/>
      <c r="G109" s="14"/>
      <c r="H109" s="14"/>
      <c r="I109" s="14"/>
      <c r="J109" s="14"/>
      <c r="K109" s="14"/>
      <c r="L109" s="14"/>
      <c r="M109" s="14"/>
      <c r="N109" s="14"/>
    </row>
    <row r="110" spans="1:15" x14ac:dyDescent="0.2">
      <c r="A110" s="33"/>
      <c r="B110" s="15" t="s">
        <v>180</v>
      </c>
      <c r="C110" s="14"/>
      <c r="D110" s="14"/>
      <c r="E110" s="14"/>
      <c r="F110" s="14"/>
      <c r="G110" s="14"/>
      <c r="H110" s="14"/>
      <c r="I110" s="14"/>
      <c r="J110" s="14"/>
      <c r="K110" s="14"/>
      <c r="L110" s="14"/>
      <c r="M110" s="14"/>
      <c r="N110" s="14"/>
    </row>
    <row r="111" spans="1:15" x14ac:dyDescent="0.2">
      <c r="A111" s="33"/>
      <c r="B111" s="16" t="s">
        <v>181</v>
      </c>
      <c r="C111" s="14"/>
      <c r="D111" s="30">
        <f>'Exh A'!D26</f>
        <v>0</v>
      </c>
      <c r="E111" s="14"/>
      <c r="F111" s="30">
        <f>'Exh A'!F26</f>
        <v>0</v>
      </c>
      <c r="G111" s="18"/>
      <c r="H111" s="30">
        <f>'Exh A'!H26</f>
        <v>0</v>
      </c>
      <c r="I111" s="18"/>
      <c r="J111" s="30">
        <f>'Exh A'!J26</f>
        <v>0</v>
      </c>
      <c r="K111" s="18"/>
      <c r="L111" s="30">
        <f>'Exh A'!L26</f>
        <v>0</v>
      </c>
      <c r="M111" s="14"/>
      <c r="N111" s="30">
        <f t="shared" ref="N111:N116" si="0">D111+F111+H111+J111+L111</f>
        <v>0</v>
      </c>
    </row>
    <row r="112" spans="1:15" x14ac:dyDescent="0.2">
      <c r="A112" s="33"/>
      <c r="B112" s="16" t="s">
        <v>182</v>
      </c>
      <c r="C112" s="14"/>
      <c r="D112" s="18">
        <f>'Exh A'!D40</f>
        <v>0</v>
      </c>
      <c r="E112" s="14"/>
      <c r="F112" s="18">
        <f>'Exh A'!F40</f>
        <v>0</v>
      </c>
      <c r="G112" s="18"/>
      <c r="H112" s="18">
        <f>'Exh A'!H40</f>
        <v>0</v>
      </c>
      <c r="I112" s="18"/>
      <c r="J112" s="18">
        <f>'Exh A'!J40</f>
        <v>0</v>
      </c>
      <c r="K112" s="18"/>
      <c r="L112" s="18">
        <f>'Exh A'!L40</f>
        <v>0</v>
      </c>
      <c r="M112" s="14"/>
      <c r="N112" s="18">
        <f t="shared" si="0"/>
        <v>0</v>
      </c>
    </row>
    <row r="113" spans="1:15" x14ac:dyDescent="0.2">
      <c r="A113" s="33"/>
      <c r="B113" s="16" t="s">
        <v>183</v>
      </c>
      <c r="C113" s="14"/>
      <c r="D113" s="18">
        <f>D87</f>
        <v>0</v>
      </c>
      <c r="E113" s="14"/>
      <c r="F113" s="18">
        <f>F87</f>
        <v>0</v>
      </c>
      <c r="G113" s="18"/>
      <c r="H113" s="18">
        <f>H87</f>
        <v>0</v>
      </c>
      <c r="I113" s="18"/>
      <c r="J113" s="18">
        <f>J87</f>
        <v>0</v>
      </c>
      <c r="K113" s="18"/>
      <c r="L113" s="18">
        <f>L87</f>
        <v>0</v>
      </c>
      <c r="M113" s="14"/>
      <c r="N113" s="18">
        <f t="shared" si="0"/>
        <v>0</v>
      </c>
    </row>
    <row r="114" spans="1:15" x14ac:dyDescent="0.2">
      <c r="A114" s="33"/>
      <c r="B114" s="16" t="s">
        <v>184</v>
      </c>
      <c r="C114" s="14"/>
      <c r="D114" s="18">
        <f>D93</f>
        <v>0</v>
      </c>
      <c r="E114" s="14"/>
      <c r="F114" s="18">
        <f>F93</f>
        <v>0</v>
      </c>
      <c r="G114" s="18"/>
      <c r="H114" s="18">
        <f>H93</f>
        <v>0</v>
      </c>
      <c r="I114" s="18"/>
      <c r="J114" s="18">
        <f>J93</f>
        <v>0</v>
      </c>
      <c r="K114" s="18"/>
      <c r="L114" s="18">
        <f>L93</f>
        <v>0</v>
      </c>
      <c r="M114" s="14"/>
      <c r="N114" s="18">
        <f t="shared" si="0"/>
        <v>0</v>
      </c>
    </row>
    <row r="115" spans="1:15" x14ac:dyDescent="0.2">
      <c r="A115" s="33"/>
      <c r="B115" s="16" t="s">
        <v>185</v>
      </c>
      <c r="C115" s="14"/>
      <c r="D115" s="19">
        <f>D99</f>
        <v>0</v>
      </c>
      <c r="E115" s="14"/>
      <c r="F115" s="19">
        <f>F99</f>
        <v>0</v>
      </c>
      <c r="G115" s="18"/>
      <c r="H115" s="19">
        <f>H99</f>
        <v>0</v>
      </c>
      <c r="I115" s="18"/>
      <c r="J115" s="19">
        <f>J99</f>
        <v>0</v>
      </c>
      <c r="K115" s="18"/>
      <c r="L115" s="19">
        <f>L99</f>
        <v>0</v>
      </c>
      <c r="M115" s="14"/>
      <c r="N115" s="18">
        <f t="shared" si="0"/>
        <v>0</v>
      </c>
    </row>
    <row r="116" spans="1:15" x14ac:dyDescent="0.2">
      <c r="A116" s="33"/>
      <c r="B116" s="17" t="s">
        <v>180</v>
      </c>
      <c r="C116" s="14"/>
      <c r="D116" s="20">
        <f>D111-D112-D113-D114+D115</f>
        <v>0</v>
      </c>
      <c r="E116" s="14"/>
      <c r="F116" s="20">
        <f>F111-F112-F113-F114+F115</f>
        <v>0</v>
      </c>
      <c r="G116" s="18"/>
      <c r="H116" s="20">
        <f>H111-H112-H113-H114+H115</f>
        <v>0</v>
      </c>
      <c r="I116" s="18"/>
      <c r="J116" s="20">
        <f>J111-J112-J113-J114+J115</f>
        <v>0</v>
      </c>
      <c r="K116" s="18"/>
      <c r="L116" s="20">
        <f>L111-L112-L113-L114+L115</f>
        <v>0</v>
      </c>
      <c r="M116" s="14"/>
      <c r="N116" s="20">
        <f t="shared" si="0"/>
        <v>0</v>
      </c>
      <c r="O116" s="114" t="str">
        <f>IF(N116&gt;=0,"OK ","ERROR - Cannot be a negative amount. Review adjustments above, especially lines 80-95.")</f>
        <v xml:space="preserve">OK </v>
      </c>
    </row>
    <row r="117" spans="1:15" ht="9.75" customHeight="1" x14ac:dyDescent="0.2">
      <c r="A117" s="33"/>
      <c r="B117" s="17"/>
      <c r="C117" s="14"/>
      <c r="D117" s="18"/>
      <c r="E117" s="14"/>
      <c r="F117" s="18"/>
      <c r="G117" s="18"/>
      <c r="H117" s="18"/>
      <c r="I117" s="18"/>
      <c r="J117" s="18"/>
      <c r="K117" s="18"/>
      <c r="L117" s="18"/>
      <c r="M117" s="14"/>
      <c r="N117" s="18"/>
    </row>
    <row r="118" spans="1:15" x14ac:dyDescent="0.2">
      <c r="A118" s="33"/>
      <c r="B118" s="15" t="s">
        <v>186</v>
      </c>
      <c r="C118" s="14"/>
      <c r="D118" s="18"/>
      <c r="E118" s="14"/>
      <c r="F118" s="18"/>
      <c r="G118" s="18"/>
      <c r="H118" s="18"/>
      <c r="I118" s="18"/>
      <c r="J118" s="18"/>
      <c r="K118" s="18"/>
      <c r="L118" s="18"/>
      <c r="M118" s="14"/>
      <c r="N118" s="18"/>
    </row>
    <row r="119" spans="1:15" x14ac:dyDescent="0.2">
      <c r="A119" s="33"/>
      <c r="B119" s="213" t="s">
        <v>187</v>
      </c>
      <c r="C119" s="214"/>
      <c r="D119" s="215">
        <f>D105</f>
        <v>0</v>
      </c>
      <c r="E119" s="214"/>
      <c r="F119" s="215">
        <f>F105</f>
        <v>0</v>
      </c>
      <c r="G119" s="215"/>
      <c r="H119" s="215">
        <f>H105</f>
        <v>0</v>
      </c>
      <c r="I119" s="215"/>
      <c r="J119" s="215">
        <f>J105</f>
        <v>0</v>
      </c>
      <c r="K119" s="215"/>
      <c r="L119" s="215">
        <f>L105</f>
        <v>0</v>
      </c>
      <c r="M119" s="214"/>
      <c r="N119" s="215">
        <f>D119+F119+H119+J119+L119</f>
        <v>0</v>
      </c>
      <c r="O119" s="152"/>
    </row>
    <row r="120" spans="1:15" x14ac:dyDescent="0.2">
      <c r="A120" s="33"/>
      <c r="B120" s="16" t="s">
        <v>188</v>
      </c>
      <c r="C120" s="14"/>
      <c r="D120" s="18">
        <f>D25</f>
        <v>0</v>
      </c>
      <c r="E120" s="14"/>
      <c r="F120" s="18">
        <f>F25</f>
        <v>0</v>
      </c>
      <c r="G120" s="18"/>
      <c r="H120" s="18">
        <f>H25</f>
        <v>0</v>
      </c>
      <c r="I120" s="18"/>
      <c r="J120" s="18">
        <f>J25</f>
        <v>0</v>
      </c>
      <c r="K120" s="18"/>
      <c r="L120" s="18">
        <f>L25</f>
        <v>0</v>
      </c>
      <c r="M120" s="14"/>
      <c r="N120" s="18">
        <f>D120+F120+H120+J120+L120</f>
        <v>0</v>
      </c>
    </row>
    <row r="121" spans="1:15" x14ac:dyDescent="0.2">
      <c r="A121" s="33"/>
      <c r="B121" s="16" t="s">
        <v>189</v>
      </c>
      <c r="C121" s="14"/>
      <c r="D121" s="18">
        <f>D26</f>
        <v>0</v>
      </c>
      <c r="E121" s="14"/>
      <c r="F121" s="18">
        <f>F26</f>
        <v>0</v>
      </c>
      <c r="G121" s="18"/>
      <c r="H121" s="18">
        <f>H26</f>
        <v>0</v>
      </c>
      <c r="I121" s="18"/>
      <c r="J121" s="18">
        <f>J26</f>
        <v>0</v>
      </c>
      <c r="K121" s="18"/>
      <c r="L121" s="18">
        <f>L26</f>
        <v>0</v>
      </c>
      <c r="M121" s="14"/>
      <c r="N121" s="18">
        <f>D121+F121+H121+J121+L121</f>
        <v>0</v>
      </c>
    </row>
    <row r="122" spans="1:15" x14ac:dyDescent="0.2">
      <c r="A122" s="33"/>
      <c r="B122" s="17" t="s">
        <v>190</v>
      </c>
      <c r="C122" s="14"/>
      <c r="D122" s="20">
        <f>D119-D120-D121</f>
        <v>0</v>
      </c>
      <c r="E122" s="14"/>
      <c r="F122" s="20">
        <f>F119-F120-F121</f>
        <v>0</v>
      </c>
      <c r="G122" s="18"/>
      <c r="H122" s="20">
        <f>H119-H120-H121</f>
        <v>0</v>
      </c>
      <c r="I122" s="18"/>
      <c r="J122" s="20">
        <f>J119-J120-J121</f>
        <v>0</v>
      </c>
      <c r="K122" s="18"/>
      <c r="L122" s="20">
        <f>L119-L120-L121</f>
        <v>0</v>
      </c>
      <c r="M122" s="14"/>
      <c r="N122" s="20">
        <f>D122+F122+H122+J122+L122</f>
        <v>0</v>
      </c>
      <c r="O122" s="114" t="str">
        <f>IF(N122&gt;=0,"OK ","ERROR - Cannot be a negative amount. Review adjustments above, especially lines 25-26.")</f>
        <v xml:space="preserve">OK </v>
      </c>
    </row>
    <row r="123" spans="1:15" ht="9.75" customHeight="1" x14ac:dyDescent="0.2">
      <c r="A123" s="33"/>
      <c r="B123" s="14"/>
      <c r="C123" s="14"/>
      <c r="D123" s="14"/>
      <c r="E123" s="14"/>
      <c r="F123" s="14"/>
      <c r="G123" s="14"/>
      <c r="H123" s="14"/>
      <c r="I123" s="14"/>
      <c r="J123" s="14"/>
      <c r="K123" s="14"/>
      <c r="L123" s="14"/>
      <c r="M123" s="14"/>
      <c r="N123" s="14"/>
    </row>
    <row r="124" spans="1:15" x14ac:dyDescent="0.2">
      <c r="A124" s="33"/>
      <c r="B124" s="22" t="s">
        <v>191</v>
      </c>
      <c r="C124" s="14"/>
      <c r="D124" s="14"/>
      <c r="E124" s="14"/>
      <c r="F124" s="14"/>
      <c r="G124" s="14"/>
      <c r="H124" s="14"/>
      <c r="I124" s="14"/>
      <c r="J124" s="14"/>
      <c r="K124" s="14"/>
      <c r="L124" s="14"/>
      <c r="M124" s="14"/>
      <c r="N124" s="14"/>
    </row>
    <row r="125" spans="1:15" x14ac:dyDescent="0.2">
      <c r="A125" s="33"/>
      <c r="B125" s="16" t="s">
        <v>192</v>
      </c>
      <c r="C125" s="14"/>
      <c r="D125" s="18">
        <f>'Exh A'!D49</f>
        <v>0</v>
      </c>
      <c r="E125" s="14"/>
      <c r="F125" s="18">
        <f>'Exh A'!F49</f>
        <v>0</v>
      </c>
      <c r="G125" s="18"/>
      <c r="H125" s="18">
        <f>'Exh A'!H49</f>
        <v>0</v>
      </c>
      <c r="I125" s="18"/>
      <c r="J125" s="18">
        <f>'Exh A'!J49</f>
        <v>0</v>
      </c>
      <c r="K125" s="18"/>
      <c r="L125" s="18">
        <f>'Exh A'!L49</f>
        <v>0</v>
      </c>
      <c r="M125" s="14"/>
      <c r="N125" s="18">
        <f>D125+F125+H125+J125+L125</f>
        <v>0</v>
      </c>
    </row>
    <row r="126" spans="1:15" x14ac:dyDescent="0.2">
      <c r="A126" s="33"/>
      <c r="B126" s="16" t="s">
        <v>193</v>
      </c>
      <c r="C126" s="14"/>
      <c r="D126" s="18">
        <f>D116</f>
        <v>0</v>
      </c>
      <c r="E126" s="14"/>
      <c r="F126" s="18">
        <f>F116</f>
        <v>0</v>
      </c>
      <c r="G126" s="18"/>
      <c r="H126" s="18">
        <f>H116</f>
        <v>0</v>
      </c>
      <c r="I126" s="18"/>
      <c r="J126" s="18">
        <f>J116</f>
        <v>0</v>
      </c>
      <c r="K126" s="18"/>
      <c r="L126" s="18">
        <f>L116</f>
        <v>0</v>
      </c>
      <c r="M126" s="14"/>
      <c r="N126" s="18">
        <f>D126+F126+H126+J126+L126</f>
        <v>0</v>
      </c>
    </row>
    <row r="127" spans="1:15" x14ac:dyDescent="0.2">
      <c r="A127" s="33"/>
      <c r="B127" s="16" t="s">
        <v>194</v>
      </c>
      <c r="C127" s="14"/>
      <c r="D127" s="18">
        <f>D122</f>
        <v>0</v>
      </c>
      <c r="E127" s="14"/>
      <c r="F127" s="18">
        <f>F122</f>
        <v>0</v>
      </c>
      <c r="G127" s="18"/>
      <c r="H127" s="18">
        <f>H122</f>
        <v>0</v>
      </c>
      <c r="I127" s="18"/>
      <c r="J127" s="18">
        <f>J122</f>
        <v>0</v>
      </c>
      <c r="K127" s="18"/>
      <c r="L127" s="18">
        <f>L122</f>
        <v>0</v>
      </c>
      <c r="M127" s="14"/>
      <c r="N127" s="18">
        <f>D127+F127+H127+J127+L127</f>
        <v>0</v>
      </c>
    </row>
    <row r="128" spans="1:15" x14ac:dyDescent="0.2">
      <c r="A128" s="33"/>
      <c r="B128" s="16" t="s">
        <v>195</v>
      </c>
      <c r="C128" s="14"/>
      <c r="D128" s="19">
        <f>D104</f>
        <v>0</v>
      </c>
      <c r="E128" s="14"/>
      <c r="F128" s="19">
        <f>F104</f>
        <v>0</v>
      </c>
      <c r="G128" s="18"/>
      <c r="H128" s="19">
        <f>H104</f>
        <v>0</v>
      </c>
      <c r="I128" s="18"/>
      <c r="J128" s="19">
        <f>J104</f>
        <v>0</v>
      </c>
      <c r="K128" s="18"/>
      <c r="L128" s="19">
        <f>L104</f>
        <v>0</v>
      </c>
      <c r="M128" s="14"/>
      <c r="N128" s="19">
        <f>D128+F128+H128+J128+L128</f>
        <v>0</v>
      </c>
    </row>
    <row r="129" spans="1:14" x14ac:dyDescent="0.2">
      <c r="A129" s="33"/>
      <c r="B129" s="17" t="s">
        <v>196</v>
      </c>
      <c r="C129" s="14"/>
      <c r="D129" s="20">
        <f>D125-D126-D127-D128</f>
        <v>0</v>
      </c>
      <c r="E129" s="14"/>
      <c r="F129" s="20">
        <f>F125-F126-F127-F128</f>
        <v>0</v>
      </c>
      <c r="G129" s="18"/>
      <c r="H129" s="20">
        <f>H125-H126-H127-H128</f>
        <v>0</v>
      </c>
      <c r="I129" s="18"/>
      <c r="J129" s="20">
        <f>J125-J126-J127-J128</f>
        <v>0</v>
      </c>
      <c r="K129" s="18"/>
      <c r="L129" s="20">
        <f>L125-L126-L127-L128</f>
        <v>0</v>
      </c>
      <c r="M129" s="14"/>
      <c r="N129" s="20">
        <f>D129+F129+H129+J129+L129</f>
        <v>0</v>
      </c>
    </row>
    <row r="130" spans="1:14" ht="12.75" customHeight="1" x14ac:dyDescent="0.2">
      <c r="A130" s="27"/>
    </row>
    <row r="131" spans="1:14" x14ac:dyDescent="0.2">
      <c r="A131" s="25" t="s">
        <v>83</v>
      </c>
    </row>
    <row r="132" spans="1:14" x14ac:dyDescent="0.2">
      <c r="A132" s="27"/>
      <c r="B132" s="25"/>
    </row>
    <row r="133" spans="1:14" x14ac:dyDescent="0.2">
      <c r="A133" s="37" t="s">
        <v>84</v>
      </c>
      <c r="B133" s="154" t="s">
        <v>197</v>
      </c>
    </row>
    <row r="134" spans="1:14" x14ac:dyDescent="0.2">
      <c r="A134" s="27"/>
      <c r="B134" s="154" t="s">
        <v>198</v>
      </c>
    </row>
    <row r="135" spans="1:14" x14ac:dyDescent="0.2">
      <c r="A135" s="27"/>
      <c r="B135" s="154" t="s">
        <v>199</v>
      </c>
    </row>
    <row r="136" spans="1:14" x14ac:dyDescent="0.2">
      <c r="A136" s="27"/>
      <c r="B136" s="154" t="s">
        <v>200</v>
      </c>
    </row>
    <row r="137" spans="1:14" ht="12.75" customHeight="1" x14ac:dyDescent="0.2">
      <c r="A137" s="27"/>
      <c r="B137" s="154" t="s">
        <v>201</v>
      </c>
    </row>
    <row r="138" spans="1:14" ht="12.75" customHeight="1" x14ac:dyDescent="0.2">
      <c r="A138" s="27"/>
      <c r="B138" s="154"/>
    </row>
    <row r="139" spans="1:14" ht="12.75" customHeight="1" x14ac:dyDescent="0.2">
      <c r="A139" s="37" t="s">
        <v>87</v>
      </c>
      <c r="B139" s="154" t="s">
        <v>202</v>
      </c>
    </row>
    <row r="140" spans="1:14" ht="12.75" customHeight="1" x14ac:dyDescent="0.2">
      <c r="A140" s="27"/>
      <c r="B140" s="154" t="s">
        <v>203</v>
      </c>
    </row>
    <row r="141" spans="1:14" ht="8.1" customHeight="1" x14ac:dyDescent="0.2">
      <c r="A141" s="27"/>
      <c r="B141" s="154"/>
    </row>
    <row r="142" spans="1:14" ht="12.75" customHeight="1" x14ac:dyDescent="0.2">
      <c r="A142" s="37" t="s">
        <v>93</v>
      </c>
      <c r="B142" s="154" t="s">
        <v>204</v>
      </c>
    </row>
    <row r="143" spans="1:14" ht="12.75" customHeight="1" x14ac:dyDescent="0.2">
      <c r="A143" s="37"/>
      <c r="B143" s="154" t="s">
        <v>205</v>
      </c>
    </row>
    <row r="144" spans="1:14" ht="12.75" customHeight="1" x14ac:dyDescent="0.2">
      <c r="A144" s="27"/>
      <c r="B144" s="154" t="s">
        <v>206</v>
      </c>
    </row>
    <row r="145" spans="1:2" ht="8.1" customHeight="1" x14ac:dyDescent="0.2">
      <c r="A145" s="27"/>
      <c r="B145" s="154"/>
    </row>
    <row r="146" spans="1:2" ht="12.75" customHeight="1" x14ac:dyDescent="0.2">
      <c r="A146" s="37" t="s">
        <v>96</v>
      </c>
      <c r="B146" s="154" t="s">
        <v>207</v>
      </c>
    </row>
    <row r="147" spans="1:2" ht="12.75" customHeight="1" x14ac:dyDescent="0.2">
      <c r="A147" s="27"/>
      <c r="B147" s="154" t="s">
        <v>208</v>
      </c>
    </row>
    <row r="148" spans="1:2" ht="12.75" customHeight="1" x14ac:dyDescent="0.2">
      <c r="A148" s="27"/>
      <c r="B148" s="154" t="s">
        <v>209</v>
      </c>
    </row>
    <row r="149" spans="1:2" ht="12.75" customHeight="1" x14ac:dyDescent="0.2">
      <c r="A149" s="27"/>
      <c r="B149" s="154" t="s">
        <v>210</v>
      </c>
    </row>
    <row r="150" spans="1:2" ht="12.75" customHeight="1" x14ac:dyDescent="0.2">
      <c r="A150" s="27"/>
      <c r="B150" s="154" t="s">
        <v>211</v>
      </c>
    </row>
    <row r="151" spans="1:2" ht="12.75" customHeight="1" x14ac:dyDescent="0.2">
      <c r="A151" s="27"/>
      <c r="B151" s="154" t="s">
        <v>212</v>
      </c>
    </row>
    <row r="152" spans="1:2" ht="8.1" customHeight="1" x14ac:dyDescent="0.2">
      <c r="A152" s="27"/>
      <c r="B152" s="154"/>
    </row>
    <row r="153" spans="1:2" x14ac:dyDescent="0.2">
      <c r="A153" s="37" t="s">
        <v>100</v>
      </c>
      <c r="B153" t="s">
        <v>213</v>
      </c>
    </row>
    <row r="154" spans="1:2" x14ac:dyDescent="0.2">
      <c r="A154" s="27"/>
      <c r="B154" t="s">
        <v>214</v>
      </c>
    </row>
    <row r="155" spans="1:2" x14ac:dyDescent="0.2">
      <c r="A155" s="27"/>
      <c r="B155" t="s">
        <v>215</v>
      </c>
    </row>
    <row r="156" spans="1:2" x14ac:dyDescent="0.2">
      <c r="A156" s="27"/>
      <c r="B156" t="s">
        <v>216</v>
      </c>
    </row>
    <row r="157" spans="1:2" ht="8.1" customHeight="1" x14ac:dyDescent="0.2">
      <c r="A157" s="27"/>
    </row>
    <row r="158" spans="1:2" x14ac:dyDescent="0.2">
      <c r="A158" s="37" t="s">
        <v>217</v>
      </c>
      <c r="B158" t="s">
        <v>218</v>
      </c>
    </row>
    <row r="159" spans="1:2" x14ac:dyDescent="0.2">
      <c r="B159" t="s">
        <v>219</v>
      </c>
    </row>
    <row r="160" spans="1:2" x14ac:dyDescent="0.2">
      <c r="A160" s="27"/>
      <c r="B160" t="s">
        <v>220</v>
      </c>
    </row>
    <row r="161" spans="1:8" x14ac:dyDescent="0.2">
      <c r="A161" s="27"/>
      <c r="B161" t="s">
        <v>221</v>
      </c>
    </row>
    <row r="162" spans="1:8" x14ac:dyDescent="0.2">
      <c r="A162" s="27"/>
      <c r="B162" t="s">
        <v>222</v>
      </c>
    </row>
    <row r="163" spans="1:8" x14ac:dyDescent="0.2">
      <c r="A163" s="27"/>
      <c r="B163" s="154" t="s">
        <v>223</v>
      </c>
    </row>
    <row r="164" spans="1:8" x14ac:dyDescent="0.2">
      <c r="A164" s="27"/>
      <c r="B164" t="s">
        <v>224</v>
      </c>
    </row>
    <row r="165" spans="1:8" ht="8.1" customHeight="1" x14ac:dyDescent="0.2">
      <c r="A165" s="27"/>
    </row>
    <row r="166" spans="1:8" ht="148.5" customHeight="1" x14ac:dyDescent="0.2">
      <c r="A166" s="212" t="s">
        <v>225</v>
      </c>
      <c r="B166" s="457" t="s">
        <v>226</v>
      </c>
      <c r="C166" s="458"/>
      <c r="D166" s="458"/>
      <c r="E166" s="458"/>
      <c r="F166" s="458"/>
      <c r="G166" s="458"/>
      <c r="H166" s="458"/>
    </row>
    <row r="167" spans="1:8" x14ac:dyDescent="0.2">
      <c r="A167" s="27"/>
    </row>
    <row r="168" spans="1:8" x14ac:dyDescent="0.2">
      <c r="A168" s="246" t="s">
        <v>227</v>
      </c>
      <c r="B168" s="154" t="s">
        <v>228</v>
      </c>
    </row>
    <row r="169" spans="1:8" x14ac:dyDescent="0.2">
      <c r="B169" s="154" t="s">
        <v>229</v>
      </c>
    </row>
  </sheetData>
  <sheetProtection algorithmName="SHA-512" hashValue="xhBty6QBeUwzU0nwpis5fKnhm+TYhqGg0vyiW0yvv44SYkw+jpHCjAvqX9EC8RLkI9HZwGDvyyk7ypkvX6Y/7g==" saltValue="jNsRrX8rnOwAzrAplkTYcA==" spinCount="100000" sheet="1" formatColumns="0" formatRows="0" autoFilter="0"/>
  <mergeCells count="8">
    <mergeCell ref="B166:H166"/>
    <mergeCell ref="A73:B73"/>
    <mergeCell ref="A7:B7"/>
    <mergeCell ref="L4:L6"/>
    <mergeCell ref="D4:D6"/>
    <mergeCell ref="F4:F6"/>
    <mergeCell ref="H4:H6"/>
    <mergeCell ref="J4:J6"/>
  </mergeCells>
  <phoneticPr fontId="0" type="noConversion"/>
  <conditionalFormatting sqref="D20 F20 H20 J20 L20 D28 F28 H28 J28 L28 D34 F34 H34 J34 L34 D40 F40 H40 J40 L40 D46 F46 H46 J46 L46 D58 F58 H58 J58 L58 D64 F64 H64 J64 L64 D71:D72 F71:F72 H71:H72 J71:J72 L71:L72 D80:D83 F80:F83 H80:H83 J80:J83 L80:L83 D90 F90 H90 J90 L90 D96:D98 F96:F98 H96:H98 J96:J98 L96:L98 D106:D108 F108 H108 J108 L108">
    <cfRule type="cellIs" dxfId="20" priority="8" stopIfTrue="1" operator="equal">
      <formula>"ERROR"</formula>
    </cfRule>
  </conditionalFormatting>
  <conditionalFormatting sqref="D52 F52 H52 J52 L52">
    <cfRule type="cellIs" dxfId="19" priority="1" stopIfTrue="1" operator="equal">
      <formula>"ERROR"</formula>
    </cfRule>
  </conditionalFormatting>
  <conditionalFormatting sqref="D102:D103 F102:F106 H102:H106 J102:J106 L102:L106">
    <cfRule type="cellIs" dxfId="18" priority="2" stopIfTrue="1" operator="equal">
      <formula>"ERROR"</formula>
    </cfRule>
  </conditionalFormatting>
  <conditionalFormatting sqref="E107:N107">
    <cfRule type="cellIs" dxfId="17" priority="3" stopIfTrue="1" operator="equal">
      <formula>"ERROR"</formula>
    </cfRule>
  </conditionalFormatting>
  <conditionalFormatting sqref="O89">
    <cfRule type="cellIs" dxfId="16" priority="6" stopIfTrue="1" operator="equal">
      <formula>"See below error - Invested in capital assets"</formula>
    </cfRule>
  </conditionalFormatting>
  <conditionalFormatting sqref="O95 O101">
    <cfRule type="cellIs" dxfId="15" priority="5" stopIfTrue="1" operator="equal">
      <formula>"See below error - Invested in capital assets"</formula>
    </cfRule>
  </conditionalFormatting>
  <conditionalFormatting sqref="O116">
    <cfRule type="cellIs" dxfId="14" priority="7" stopIfTrue="1" operator="equal">
      <formula>"ERROR - Cannot be a negative amount. Review adjustments above, especially lines 80-95."</formula>
    </cfRule>
  </conditionalFormatting>
  <conditionalFormatting sqref="O122">
    <cfRule type="cellIs" dxfId="13" priority="4" stopIfTrue="1" operator="equal">
      <formula>"ERROR - Cannot be a negative amount. Review adjustments above, especially lines 25-26."</formula>
    </cfRule>
  </conditionalFormatting>
  <pageMargins left="0.3" right="0.3" top="0.4" bottom="0.4" header="0.5" footer="0.2"/>
  <pageSetup scale="66" fitToHeight="3" orientation="landscape" r:id="rId1"/>
  <headerFooter alignWithMargins="0">
    <oddFooter>&amp;L&amp;F &amp;A&amp;C&amp;P of &amp;N&amp;R&amp;D</oddFooter>
  </headerFooter>
  <rowBreaks count="2" manualBreakCount="2">
    <brk id="64" max="14" man="1"/>
    <brk id="123" max="16383" man="1"/>
  </rowBreaks>
  <ignoredErrors>
    <ignoredError sqref="N17" unlockedFormula="1"/>
    <ignoredError sqref="A13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60"/>
  <sheetViews>
    <sheetView topLeftCell="A18" zoomScaleNormal="100" workbookViewId="0">
      <selection activeCell="P25" sqref="P25"/>
    </sheetView>
  </sheetViews>
  <sheetFormatPr defaultRowHeight="12.75" x14ac:dyDescent="0.2"/>
  <cols>
    <col min="1" max="1" width="3.7109375" customWidth="1"/>
    <col min="2" max="2" width="47.140625" customWidth="1"/>
    <col min="3" max="3" width="1.7109375" customWidth="1"/>
    <col min="4" max="4" width="16.85546875" customWidth="1"/>
    <col min="5" max="5" width="1.7109375" customWidth="1"/>
    <col min="6" max="6" width="16.5703125" customWidth="1"/>
    <col min="7" max="7" width="2.28515625" customWidth="1"/>
    <col min="8" max="8" width="15.42578125" customWidth="1"/>
    <col min="9" max="9" width="2" customWidth="1"/>
    <col min="10" max="10" width="10.85546875" customWidth="1"/>
    <col min="12" max="12" width="24.42578125" style="226" customWidth="1"/>
    <col min="13" max="13" width="15.85546875" customWidth="1"/>
    <col min="15" max="15" width="12.85546875" customWidth="1"/>
    <col min="16" max="16" width="9.42578125" customWidth="1"/>
  </cols>
  <sheetData>
    <row r="1" spans="1:17" ht="12.75" customHeight="1" x14ac:dyDescent="0.25">
      <c r="A1" s="1" t="e">
        <f>CONCATENATE(Info!D7," Foundations")</f>
        <v>#N/A</v>
      </c>
      <c r="C1" s="154"/>
      <c r="D1" s="31"/>
      <c r="E1" s="154"/>
      <c r="J1" s="31" t="s">
        <v>230</v>
      </c>
      <c r="O1" s="231" t="s">
        <v>231</v>
      </c>
      <c r="P1" s="231" t="str">
        <f>F3</f>
        <v>F</v>
      </c>
      <c r="Q1" s="227" t="s">
        <v>232</v>
      </c>
    </row>
    <row r="2" spans="1:17" ht="12.75" customHeight="1" x14ac:dyDescent="0.25">
      <c r="A2" s="1" t="s">
        <v>233</v>
      </c>
      <c r="C2" s="154"/>
      <c r="D2" s="154"/>
      <c r="E2" s="154"/>
      <c r="L2" s="228"/>
      <c r="M2" s="117"/>
      <c r="O2" s="231" t="s">
        <v>234</v>
      </c>
      <c r="P2" s="231" t="e">
        <f>VLOOKUP(Info!D6,FCCSnum,2,FALSE)</f>
        <v>#N/A</v>
      </c>
      <c r="Q2" s="227" t="s">
        <v>235</v>
      </c>
    </row>
    <row r="3" spans="1:17" ht="12.75" customHeight="1" x14ac:dyDescent="0.25">
      <c r="A3" s="103" t="s">
        <v>236</v>
      </c>
      <c r="C3" s="154"/>
      <c r="D3" s="154"/>
      <c r="E3" s="154"/>
      <c r="F3" s="27" t="str">
        <f>CONCATENATE(Info!D6,"F")</f>
        <v>F</v>
      </c>
      <c r="L3" s="228"/>
      <c r="M3" s="117"/>
    </row>
    <row r="4" spans="1:17" ht="12.75" customHeight="1" x14ac:dyDescent="0.25">
      <c r="A4" s="153" t="s">
        <v>467</v>
      </c>
      <c r="L4" s="228"/>
      <c r="M4" s="117"/>
    </row>
    <row r="5" spans="1:17" ht="12.75" customHeight="1" x14ac:dyDescent="0.25">
      <c r="D5" s="249" t="s">
        <v>237</v>
      </c>
      <c r="F5" s="4" t="s">
        <v>238</v>
      </c>
      <c r="H5" s="4" t="s">
        <v>239</v>
      </c>
      <c r="J5" s="4" t="s">
        <v>240</v>
      </c>
      <c r="L5" s="228"/>
      <c r="M5" s="117"/>
    </row>
    <row r="6" spans="1:17" ht="13.5" x14ac:dyDescent="0.25">
      <c r="B6" s="1" t="s">
        <v>241</v>
      </c>
      <c r="L6" s="228"/>
      <c r="M6" s="117"/>
    </row>
    <row r="7" spans="1:17" ht="13.5" x14ac:dyDescent="0.25">
      <c r="A7" s="33">
        <v>100</v>
      </c>
      <c r="B7" s="3" t="s">
        <v>43</v>
      </c>
      <c r="D7" s="28">
        <f ca="1">SUMIF(FASB_BS,A7,'Exh A'!$N$9:$N$43)</f>
        <v>0</v>
      </c>
      <c r="E7" s="12"/>
      <c r="F7" s="28" t="e">
        <f>HLOOKUP($F$3,PriorYrExhD!$E$2:$V$17,6,FALSE)</f>
        <v>#N/A</v>
      </c>
      <c r="H7" s="105" t="e">
        <f ca="1">D7-F7</f>
        <v>#N/A</v>
      </c>
      <c r="J7" s="104" t="e">
        <f>IF(F7=0,0,H7/F7)</f>
        <v>#N/A</v>
      </c>
      <c r="L7" s="229">
        <v>11111000</v>
      </c>
      <c r="M7" s="117"/>
    </row>
    <row r="8" spans="1:17" ht="13.5" x14ac:dyDescent="0.25">
      <c r="A8" s="33">
        <v>105</v>
      </c>
      <c r="B8" s="3" t="s">
        <v>45</v>
      </c>
      <c r="D8" s="12">
        <f ca="1">SUMIF(FASB_BS,A8,'Exh A'!$N$9:$N$43)+SUMIF(FASB_ADJ,A8,Adjustments!$N$7:$N$78)</f>
        <v>0</v>
      </c>
      <c r="E8" s="12"/>
      <c r="F8" s="12" t="e">
        <f>HLOOKUP($F$3,PriorYrExhD!$E$2:$V$17,7,FALSE)</f>
        <v>#N/A</v>
      </c>
      <c r="H8" s="105" t="e">
        <f t="shared" ref="H8:H17" ca="1" si="0">D8-F8</f>
        <v>#N/A</v>
      </c>
      <c r="J8" s="104" t="e">
        <f t="shared" ref="J8:J17" si="1">IF(F8=0,0,H8/F8)</f>
        <v>#N/A</v>
      </c>
      <c r="L8" s="229">
        <v>11210100</v>
      </c>
    </row>
    <row r="9" spans="1:17" ht="13.5" x14ac:dyDescent="0.25">
      <c r="A9" s="33">
        <v>110</v>
      </c>
      <c r="B9" s="217" t="s">
        <v>52</v>
      </c>
      <c r="D9" s="12">
        <f ca="1">SUMIF(FASB_BS,A9,'Exh A'!$N$9:$N$43)</f>
        <v>0</v>
      </c>
      <c r="E9" s="12"/>
      <c r="F9" s="12" t="e">
        <f>HLOOKUP($F$3,PriorYrExhD!$E$2:$V$17,8,FALSE)</f>
        <v>#N/A</v>
      </c>
      <c r="H9" s="105" t="e">
        <f t="shared" ca="1" si="0"/>
        <v>#N/A</v>
      </c>
      <c r="J9" s="104" t="e">
        <f t="shared" si="1"/>
        <v>#N/A</v>
      </c>
      <c r="L9" s="229">
        <v>11320000</v>
      </c>
    </row>
    <row r="10" spans="1:17" ht="13.5" x14ac:dyDescent="0.25">
      <c r="A10" s="33">
        <v>112</v>
      </c>
      <c r="B10" s="217" t="s">
        <v>242</v>
      </c>
      <c r="D10" s="12">
        <f ca="1">SUMIF(FASB_BS,A10,'Exh A'!$N$9:$N$43)</f>
        <v>0</v>
      </c>
      <c r="E10" s="12"/>
      <c r="F10" s="12" t="e">
        <f>HLOOKUP($F$3,PriorYrExhD!$E$2:$V$17,9,FALSE)</f>
        <v>#N/A</v>
      </c>
      <c r="H10" s="105" t="e">
        <f t="shared" ca="1" si="0"/>
        <v>#N/A</v>
      </c>
      <c r="J10" s="104" t="e">
        <f t="shared" si="1"/>
        <v>#N/A</v>
      </c>
      <c r="K10" s="142"/>
      <c r="L10" s="229">
        <v>11480000</v>
      </c>
    </row>
    <row r="11" spans="1:17" ht="13.5" x14ac:dyDescent="0.25">
      <c r="A11" s="33">
        <v>115</v>
      </c>
      <c r="B11" s="3" t="s">
        <v>55</v>
      </c>
      <c r="D11" s="12">
        <f ca="1">SUMIF(FASB_BS,A11,'Exh A'!$N$9:$N$43)</f>
        <v>0</v>
      </c>
      <c r="E11" s="12"/>
      <c r="F11" s="12" t="e">
        <f>HLOOKUP($F$3,PriorYrExhD!$E$2:$V$17,10,FALSE)</f>
        <v>#N/A</v>
      </c>
      <c r="H11" s="105" t="e">
        <f t="shared" ca="1" si="0"/>
        <v>#N/A</v>
      </c>
      <c r="J11" s="104" t="e">
        <f t="shared" si="1"/>
        <v>#N/A</v>
      </c>
      <c r="L11" s="229">
        <v>11611000</v>
      </c>
    </row>
    <row r="12" spans="1:17" ht="13.5" x14ac:dyDescent="0.25">
      <c r="A12" s="33">
        <v>120</v>
      </c>
      <c r="B12" s="3" t="s">
        <v>243</v>
      </c>
      <c r="D12" s="12">
        <f ca="1">SUMIF(FASB_BS,A12,'Exh A'!$N$9:$N$43)</f>
        <v>0</v>
      </c>
      <c r="E12" s="12"/>
      <c r="F12" s="12" t="e">
        <f>HLOOKUP($F$3,PriorYrExhD!$E$2:$V$17,11,FALSE)</f>
        <v>#N/A</v>
      </c>
      <c r="H12" s="105" t="e">
        <f t="shared" ca="1" si="0"/>
        <v>#N/A</v>
      </c>
      <c r="J12" s="104" t="e">
        <f t="shared" si="1"/>
        <v>#N/A</v>
      </c>
      <c r="L12" s="229">
        <v>11910000</v>
      </c>
    </row>
    <row r="13" spans="1:17" ht="13.5" x14ac:dyDescent="0.25">
      <c r="A13" s="33">
        <v>125</v>
      </c>
      <c r="B13" s="3" t="s">
        <v>244</v>
      </c>
      <c r="D13" s="12">
        <f ca="1">SUMIF(FASB_BS,A13,'Exh A'!$N$9:$N$43)</f>
        <v>0</v>
      </c>
      <c r="E13" s="12"/>
      <c r="F13" s="12" t="e">
        <f>HLOOKUP($F$3,PriorYrExhD!$E$2:$V$17,12,FALSE)</f>
        <v>#N/A</v>
      </c>
      <c r="H13" s="105" t="e">
        <f t="shared" ca="1" si="0"/>
        <v>#N/A</v>
      </c>
      <c r="J13" s="104" t="e">
        <f t="shared" si="1"/>
        <v>#N/A</v>
      </c>
      <c r="L13" s="229">
        <v>11510000</v>
      </c>
    </row>
    <row r="14" spans="1:17" ht="13.5" x14ac:dyDescent="0.25">
      <c r="A14" s="33">
        <v>128</v>
      </c>
      <c r="B14" s="3" t="s">
        <v>245</v>
      </c>
      <c r="D14" s="12">
        <f ca="1">SUMIF(FASB_BS,A14,'Exh A'!$N$9:$N$43)</f>
        <v>0</v>
      </c>
      <c r="E14" s="12"/>
      <c r="F14" s="12" t="e">
        <f>HLOOKUP($F$3,PriorYrExhD!$E$2:$V$17,13,FALSE)</f>
        <v>#N/A</v>
      </c>
      <c r="H14" s="105" t="e">
        <f ca="1">D14-F14</f>
        <v>#N/A</v>
      </c>
      <c r="J14" s="104" t="e">
        <f>IF(F14=0,0,H14/F14)</f>
        <v>#N/A</v>
      </c>
      <c r="K14" s="32"/>
      <c r="L14" s="229" t="s">
        <v>246</v>
      </c>
    </row>
    <row r="15" spans="1:17" ht="13.5" x14ac:dyDescent="0.25">
      <c r="A15" s="33">
        <v>130</v>
      </c>
      <c r="B15" s="3" t="s">
        <v>247</v>
      </c>
      <c r="D15" s="12">
        <f ca="1">SUMIF(FASB_ADJ,A15,Adjustments!$N$7:$N$78)</f>
        <v>0</v>
      </c>
      <c r="E15" s="12"/>
      <c r="F15" s="12" t="e">
        <f>HLOOKUP($F$3,PriorYrExhD!$E$2:$V$17,14,FALSE)</f>
        <v>#N/A</v>
      </c>
      <c r="H15" s="105" t="e">
        <f t="shared" ca="1" si="0"/>
        <v>#N/A</v>
      </c>
      <c r="J15" s="104" t="e">
        <f t="shared" si="1"/>
        <v>#N/A</v>
      </c>
      <c r="L15" s="229">
        <v>11212500</v>
      </c>
    </row>
    <row r="16" spans="1:17" ht="13.5" x14ac:dyDescent="0.25">
      <c r="A16" s="33">
        <v>140</v>
      </c>
      <c r="B16" s="3" t="s">
        <v>248</v>
      </c>
      <c r="D16" s="12">
        <f ca="1">SUMIF(FASB_ADJ,A16,Adjustments!$N$7:$N$78)</f>
        <v>0</v>
      </c>
      <c r="E16" s="12"/>
      <c r="F16" s="12" t="e">
        <f>HLOOKUP($F$3,PriorYrExhD!$E$2:$V$17,15,FALSE)</f>
        <v>#N/A</v>
      </c>
      <c r="H16" s="105" t="e">
        <f t="shared" ca="1" si="0"/>
        <v>#N/A</v>
      </c>
      <c r="J16" s="104" t="e">
        <f t="shared" si="1"/>
        <v>#N/A</v>
      </c>
      <c r="L16" s="229">
        <v>12700000</v>
      </c>
    </row>
    <row r="17" spans="1:12" ht="13.5" x14ac:dyDescent="0.25">
      <c r="A17" s="33">
        <v>145</v>
      </c>
      <c r="B17" s="3" t="s">
        <v>249</v>
      </c>
      <c r="D17" s="12">
        <f ca="1">SUMIF(FASB_ADJ,A17,Adjustments!$N$7:$N$78)</f>
        <v>0</v>
      </c>
      <c r="E17" s="12"/>
      <c r="F17" s="12" t="e">
        <f>HLOOKUP($F$3,PriorYrExhD!$E$2:$V$17,16,FALSE)</f>
        <v>#N/A</v>
      </c>
      <c r="H17" s="105" t="e">
        <f t="shared" ca="1" si="0"/>
        <v>#N/A</v>
      </c>
      <c r="J17" s="104" t="e">
        <f t="shared" si="1"/>
        <v>#N/A</v>
      </c>
      <c r="L17" s="229">
        <v>12710000</v>
      </c>
    </row>
    <row r="18" spans="1:12" x14ac:dyDescent="0.2">
      <c r="A18" s="33"/>
      <c r="B18" s="1" t="s">
        <v>62</v>
      </c>
      <c r="D18" s="21">
        <f ca="1">SUM(D7:D17)</f>
        <v>0</v>
      </c>
      <c r="E18" s="12"/>
      <c r="F18" s="21" t="e">
        <f>SUM(F7:F17)</f>
        <v>#N/A</v>
      </c>
    </row>
    <row r="19" spans="1:12" ht="12.75" customHeight="1" x14ac:dyDescent="0.2">
      <c r="A19" s="33"/>
      <c r="B19" s="1"/>
    </row>
    <row r="20" spans="1:12" x14ac:dyDescent="0.2">
      <c r="A20" s="33"/>
      <c r="B20" s="1" t="s">
        <v>250</v>
      </c>
    </row>
    <row r="21" spans="1:12" ht="13.5" x14ac:dyDescent="0.25">
      <c r="A21" s="33">
        <v>200</v>
      </c>
      <c r="B21" s="217" t="s">
        <v>251</v>
      </c>
      <c r="D21" s="12">
        <f ca="1">SUMIF(FASB_BS,A21,'Exh A'!$N$9:$N$43)</f>
        <v>0</v>
      </c>
      <c r="E21" s="12"/>
      <c r="F21" s="12" t="e">
        <f>HLOOKUP($F$3,PriorYrExhD!$E$2:$V$30,20,FALSE)</f>
        <v>#N/A</v>
      </c>
      <c r="H21" s="105" t="e">
        <f ca="1">D21-F21</f>
        <v>#N/A</v>
      </c>
      <c r="J21" s="104" t="e">
        <f>IF(F21=0,0,H21/F21)</f>
        <v>#N/A</v>
      </c>
      <c r="L21" s="229">
        <v>21110000</v>
      </c>
    </row>
    <row r="22" spans="1:12" ht="15" x14ac:dyDescent="0.25">
      <c r="A22" s="33">
        <v>202</v>
      </c>
      <c r="B22" s="217" t="s">
        <v>252</v>
      </c>
      <c r="D22" s="12">
        <f ca="1">SUMIF(FASB_BS,A22,'Exh A'!$N$9:$N$43)</f>
        <v>0</v>
      </c>
      <c r="E22" s="12"/>
      <c r="F22" s="12" t="e">
        <f>HLOOKUP($F$3,PriorYrExhD!$E$2:$V$30,21,FALSE)</f>
        <v>#N/A</v>
      </c>
      <c r="H22" s="105" t="e">
        <f t="shared" ref="H22:H30" ca="1" si="2">D22-F22</f>
        <v>#N/A</v>
      </c>
      <c r="J22" s="104" t="e">
        <f t="shared" ref="J22:J30" si="3">IF(F22=0,0,H22/F22)</f>
        <v>#N/A</v>
      </c>
      <c r="L22" s="229">
        <v>21270000</v>
      </c>
    </row>
    <row r="23" spans="1:12" ht="15" x14ac:dyDescent="0.25">
      <c r="A23" s="33">
        <v>203</v>
      </c>
      <c r="B23" s="217" t="s">
        <v>253</v>
      </c>
      <c r="D23" s="12">
        <f ca="1">SUMIF(FASB_BS,A23,'Exh A'!$N$9:$N$43)</f>
        <v>0</v>
      </c>
      <c r="E23" s="12"/>
      <c r="F23" s="12" t="e">
        <f>HLOOKUP($F$3,PriorYrExhD!$E$2:$V$30,22,FALSE)</f>
        <v>#N/A</v>
      </c>
      <c r="H23" s="105" t="e">
        <f t="shared" ca="1" si="2"/>
        <v>#N/A</v>
      </c>
      <c r="J23" s="104" t="e">
        <f t="shared" si="3"/>
        <v>#N/A</v>
      </c>
      <c r="L23" s="229" t="s">
        <v>254</v>
      </c>
    </row>
    <row r="24" spans="1:12" ht="13.5" x14ac:dyDescent="0.25">
      <c r="A24" s="33">
        <v>205</v>
      </c>
      <c r="B24" s="217" t="s">
        <v>67</v>
      </c>
      <c r="D24" s="12">
        <f ca="1">SUMIF(FASB_BS,A24,'Exh A'!$N$9:$N$43)</f>
        <v>0</v>
      </c>
      <c r="E24" s="12"/>
      <c r="F24" s="12" t="e">
        <f>HLOOKUP($F$3,PriorYrExhD!$E$2:$V$30,23,FALSE)</f>
        <v>#N/A</v>
      </c>
      <c r="H24" s="105" t="e">
        <f t="shared" ca="1" si="2"/>
        <v>#N/A</v>
      </c>
      <c r="J24" s="104" t="e">
        <f t="shared" si="3"/>
        <v>#N/A</v>
      </c>
      <c r="L24" s="229">
        <v>21811000</v>
      </c>
    </row>
    <row r="25" spans="1:12" ht="13.5" x14ac:dyDescent="0.25">
      <c r="A25" s="33">
        <v>210</v>
      </c>
      <c r="B25" s="217" t="s">
        <v>68</v>
      </c>
      <c r="D25" s="12">
        <f ca="1">SUMIF(FASB_BS,A25,'Exh A'!$N$9:$N$43)</f>
        <v>0</v>
      </c>
      <c r="E25" s="12"/>
      <c r="F25" s="12" t="e">
        <f>HLOOKUP($F$3,PriorYrExhD!$E$2:$V$30,24,FALSE)</f>
        <v>#N/A</v>
      </c>
      <c r="H25" s="105" t="e">
        <f t="shared" ca="1" si="2"/>
        <v>#N/A</v>
      </c>
      <c r="J25" s="104" t="e">
        <f t="shared" si="3"/>
        <v>#N/A</v>
      </c>
      <c r="L25" s="229">
        <v>21621000</v>
      </c>
    </row>
    <row r="26" spans="1:12" ht="13.5" x14ac:dyDescent="0.25">
      <c r="A26" s="33">
        <v>215</v>
      </c>
      <c r="B26" s="217" t="s">
        <v>69</v>
      </c>
      <c r="D26" s="12">
        <f ca="1">SUMIF(FASB_BS,A26,'Exh A'!$N$9:$N$43)</f>
        <v>0</v>
      </c>
      <c r="E26" s="12"/>
      <c r="F26" s="12" t="e">
        <f>HLOOKUP($F$3,PriorYrExhD!$E$2:$V$30,25,FALSE)</f>
        <v>#N/A</v>
      </c>
      <c r="H26" s="105" t="e">
        <f t="shared" ca="1" si="2"/>
        <v>#N/A</v>
      </c>
      <c r="J26" s="104" t="e">
        <f t="shared" si="3"/>
        <v>#N/A</v>
      </c>
      <c r="L26" s="229">
        <v>21712000</v>
      </c>
    </row>
    <row r="27" spans="1:12" ht="13.5" x14ac:dyDescent="0.25">
      <c r="A27" s="33">
        <v>220</v>
      </c>
      <c r="B27" s="217" t="s">
        <v>70</v>
      </c>
      <c r="D27" s="12">
        <f ca="1">SUMIF(FASB_BS,A27,'Exh A'!$N$9:$N$43)</f>
        <v>0</v>
      </c>
      <c r="E27" s="12"/>
      <c r="F27" s="12" t="e">
        <f>HLOOKUP($F$3,PriorYrExhD!$E$2:$V$30,26,FALSE)</f>
        <v>#N/A</v>
      </c>
      <c r="H27" s="105" t="e">
        <f t="shared" ca="1" si="2"/>
        <v>#N/A</v>
      </c>
      <c r="J27" s="104" t="e">
        <f t="shared" si="3"/>
        <v>#N/A</v>
      </c>
      <c r="L27" s="229">
        <v>21719000</v>
      </c>
    </row>
    <row r="28" spans="1:12" ht="13.5" x14ac:dyDescent="0.25">
      <c r="A28" s="33"/>
      <c r="B28" s="217" t="s">
        <v>255</v>
      </c>
      <c r="D28" s="12"/>
      <c r="E28" s="12"/>
      <c r="F28" s="12" t="e">
        <f>HLOOKUP($F$3,PriorYrExhD!$E$2:$V$30,27,FALSE)</f>
        <v>#N/A</v>
      </c>
      <c r="H28" s="105" t="e">
        <f t="shared" si="2"/>
        <v>#N/A</v>
      </c>
      <c r="J28" s="104" t="e">
        <f t="shared" si="3"/>
        <v>#N/A</v>
      </c>
    </row>
    <row r="29" spans="1:12" ht="13.5" x14ac:dyDescent="0.25">
      <c r="A29" s="33">
        <v>260</v>
      </c>
      <c r="B29" s="250" t="s">
        <v>256</v>
      </c>
      <c r="D29" s="12">
        <f ca="1">SUMIF(FASB_ADJ,A29,Adjustments!$N$7:$N$78)</f>
        <v>0</v>
      </c>
      <c r="E29" s="12"/>
      <c r="F29" s="12" t="e">
        <f>HLOOKUP($F$3,PriorYrExhD!$E$2:$V$30,28,FALSE)</f>
        <v>#N/A</v>
      </c>
      <c r="H29" s="105" t="e">
        <f t="shared" ca="1" si="2"/>
        <v>#N/A</v>
      </c>
      <c r="J29" s="104" t="e">
        <f t="shared" si="3"/>
        <v>#N/A</v>
      </c>
      <c r="L29" s="229" t="s">
        <v>257</v>
      </c>
    </row>
    <row r="30" spans="1:12" ht="13.5" x14ac:dyDescent="0.25">
      <c r="A30" s="33">
        <v>261</v>
      </c>
      <c r="B30" s="250" t="s">
        <v>258</v>
      </c>
      <c r="D30" s="10">
        <f ca="1">SUMIF(FASB_ADJ,A30,Adjustments!$N$7:$N$78)</f>
        <v>0</v>
      </c>
      <c r="E30" s="12"/>
      <c r="F30" s="12" t="e">
        <f>HLOOKUP($F$3,PriorYrExhD!$E$2:$V$30,29,FALSE)</f>
        <v>#N/A</v>
      </c>
      <c r="H30" s="105" t="e">
        <f t="shared" ca="1" si="2"/>
        <v>#N/A</v>
      </c>
      <c r="J30" s="104" t="e">
        <f t="shared" si="3"/>
        <v>#N/A</v>
      </c>
      <c r="L30" s="229" t="s">
        <v>259</v>
      </c>
    </row>
    <row r="31" spans="1:12" x14ac:dyDescent="0.2">
      <c r="B31" s="1" t="s">
        <v>77</v>
      </c>
      <c r="D31" s="10">
        <f ca="1">SUM(D21:D30)</f>
        <v>0</v>
      </c>
      <c r="E31" s="12"/>
      <c r="F31" s="21" t="e">
        <f>SUM(F21:F30)</f>
        <v>#N/A</v>
      </c>
    </row>
    <row r="32" spans="1:12" ht="12.75" customHeight="1" x14ac:dyDescent="0.2">
      <c r="B32" s="154"/>
    </row>
    <row r="33" spans="1:13" x14ac:dyDescent="0.2">
      <c r="B33" s="1" t="s">
        <v>260</v>
      </c>
    </row>
    <row r="34" spans="1:13" ht="13.5" x14ac:dyDescent="0.25">
      <c r="B34" s="154" t="s">
        <v>261</v>
      </c>
      <c r="D34" s="12">
        <f>Adjustments!N116</f>
        <v>0</v>
      </c>
      <c r="E34" s="12"/>
      <c r="F34" s="12" t="e">
        <f>HLOOKUP($F$3,PriorYrExhD!$E$2:$V$40,33,FALSE)</f>
        <v>#N/A</v>
      </c>
      <c r="H34" s="105" t="e">
        <f>D34-F34</f>
        <v>#N/A</v>
      </c>
      <c r="J34" s="104" t="e">
        <f>IF(F34=0,0,H34/F34)</f>
        <v>#N/A</v>
      </c>
      <c r="L34" s="229" t="s">
        <v>262</v>
      </c>
      <c r="M34" s="230" t="s">
        <v>263</v>
      </c>
    </row>
    <row r="35" spans="1:13" x14ac:dyDescent="0.2">
      <c r="B35" t="s">
        <v>264</v>
      </c>
      <c r="L35" s="229"/>
      <c r="M35" s="230"/>
    </row>
    <row r="36" spans="1:13" x14ac:dyDescent="0.2">
      <c r="B36" s="3" t="s">
        <v>265</v>
      </c>
      <c r="L36" s="229"/>
      <c r="M36" s="230"/>
    </row>
    <row r="37" spans="1:13" ht="13.5" x14ac:dyDescent="0.25">
      <c r="B37" s="2" t="s">
        <v>266</v>
      </c>
      <c r="D37" s="12">
        <f>Adjustments!N104</f>
        <v>0</v>
      </c>
      <c r="E37" s="12"/>
      <c r="F37" s="12" t="e">
        <f>HLOOKUP($F$3,PriorYrExhD!$E$2:$V$40,36,FALSE)</f>
        <v>#N/A</v>
      </c>
      <c r="H37" s="105" t="e">
        <f>D37-F37</f>
        <v>#N/A</v>
      </c>
      <c r="J37" s="104" t="e">
        <f>IF(F37=0,0,H37/F37)</f>
        <v>#N/A</v>
      </c>
      <c r="K37" s="152"/>
      <c r="L37" s="229" t="s">
        <v>267</v>
      </c>
      <c r="M37" s="230" t="s">
        <v>268</v>
      </c>
    </row>
    <row r="38" spans="1:13" x14ac:dyDescent="0.2">
      <c r="B38" s="3" t="s">
        <v>269</v>
      </c>
      <c r="L38" s="229"/>
      <c r="M38" s="230"/>
    </row>
    <row r="39" spans="1:13" ht="13.5" x14ac:dyDescent="0.25">
      <c r="B39" s="2" t="s">
        <v>266</v>
      </c>
      <c r="D39" s="12">
        <f>Adjustments!N122</f>
        <v>0</v>
      </c>
      <c r="E39" s="12"/>
      <c r="F39" s="12" t="e">
        <f>HLOOKUP($F$3,PriorYrExhD!$E$2:$V$40,38,FALSE)</f>
        <v>#N/A</v>
      </c>
      <c r="H39" s="105" t="e">
        <f>D39-F39</f>
        <v>#N/A</v>
      </c>
      <c r="J39" s="104" t="e">
        <f>IF(F39=0,0,H39/F39)</f>
        <v>#N/A</v>
      </c>
      <c r="L39" s="229" t="s">
        <v>270</v>
      </c>
      <c r="M39" s="230" t="s">
        <v>268</v>
      </c>
    </row>
    <row r="40" spans="1:13" ht="13.5" x14ac:dyDescent="0.25">
      <c r="B40" t="s">
        <v>271</v>
      </c>
      <c r="D40" s="10">
        <f>Adjustments!N129</f>
        <v>0</v>
      </c>
      <c r="E40" s="12"/>
      <c r="F40" s="12" t="e">
        <f>HLOOKUP($F$3,PriorYrExhD!$E$2:$V$40,39,FALSE)</f>
        <v>#N/A</v>
      </c>
      <c r="H40" s="105" t="e">
        <f>D40-F40</f>
        <v>#N/A</v>
      </c>
      <c r="J40" s="104" t="e">
        <f>IF(F40=0,0,H40/F40)</f>
        <v>#N/A</v>
      </c>
      <c r="L40" s="229" t="s">
        <v>272</v>
      </c>
      <c r="M40" s="230" t="s">
        <v>273</v>
      </c>
    </row>
    <row r="41" spans="1:13" ht="13.5" thickBot="1" x14ac:dyDescent="0.25">
      <c r="B41" s="1" t="s">
        <v>274</v>
      </c>
      <c r="D41" s="11">
        <f>SUM(D34:D40)</f>
        <v>0</v>
      </c>
      <c r="E41" s="12"/>
      <c r="F41" s="11" t="e">
        <f>SUM(F34:F40)</f>
        <v>#N/A</v>
      </c>
    </row>
    <row r="42" spans="1:13" ht="13.5" thickTop="1" x14ac:dyDescent="0.2"/>
    <row r="43" spans="1:13" x14ac:dyDescent="0.2">
      <c r="B43" s="23" t="s">
        <v>275</v>
      </c>
      <c r="D43" s="35" t="str">
        <f ca="1">IF(D18-D31=D41,"OK","ERROR")</f>
        <v>OK</v>
      </c>
      <c r="F43" s="35" t="e">
        <f>IF(F18-F31=F41,"OK","ERROR")</f>
        <v>#N/A</v>
      </c>
    </row>
    <row r="44" spans="1:13" x14ac:dyDescent="0.2">
      <c r="B44" s="23"/>
    </row>
    <row r="45" spans="1:13" x14ac:dyDescent="0.2">
      <c r="A45" s="25" t="s">
        <v>83</v>
      </c>
    </row>
    <row r="47" spans="1:13" x14ac:dyDescent="0.2">
      <c r="A47" s="47" t="s">
        <v>84</v>
      </c>
      <c r="B47" t="s">
        <v>276</v>
      </c>
    </row>
    <row r="48" spans="1:13" x14ac:dyDescent="0.2">
      <c r="B48" t="s">
        <v>277</v>
      </c>
    </row>
    <row r="50" spans="1:2" x14ac:dyDescent="0.2">
      <c r="A50" s="153" t="s">
        <v>87</v>
      </c>
      <c r="B50" s="154" t="s">
        <v>278</v>
      </c>
    </row>
    <row r="51" spans="1:2" x14ac:dyDescent="0.2">
      <c r="B51" s="154" t="s">
        <v>279</v>
      </c>
    </row>
    <row r="52" spans="1:2" x14ac:dyDescent="0.2">
      <c r="B52" s="154" t="s">
        <v>280</v>
      </c>
    </row>
    <row r="53" spans="1:2" x14ac:dyDescent="0.2">
      <c r="B53" s="154" t="s">
        <v>281</v>
      </c>
    </row>
    <row r="55" spans="1:2" x14ac:dyDescent="0.2">
      <c r="B55" s="236" t="s">
        <v>282</v>
      </c>
    </row>
    <row r="56" spans="1:2" x14ac:dyDescent="0.2">
      <c r="B56" s="236" t="s">
        <v>283</v>
      </c>
    </row>
    <row r="57" spans="1:2" x14ac:dyDescent="0.2">
      <c r="B57" s="236" t="s">
        <v>284</v>
      </c>
    </row>
    <row r="58" spans="1:2" x14ac:dyDescent="0.2">
      <c r="B58" s="236" t="s">
        <v>285</v>
      </c>
    </row>
    <row r="59" spans="1:2" x14ac:dyDescent="0.2">
      <c r="B59" s="236" t="s">
        <v>286</v>
      </c>
    </row>
    <row r="60" spans="1:2" x14ac:dyDescent="0.2">
      <c r="B60" s="236" t="s">
        <v>287</v>
      </c>
    </row>
  </sheetData>
  <sheetProtection algorithmName="SHA-512" hashValue="3Ywflrlo7H/OPPt7N7rh7TVQDVvXgIxxG55hWZksVH8ZVchRvhsdRZ6CcOi6JnkiuG+dYVlJkc9z/zCWCF4Tpw==" saltValue="1eEXAQVKfS9i58B2oL3v4A==" spinCount="100000" sheet="1" formatColumns="0" formatRows="0" autoFilter="0"/>
  <phoneticPr fontId="0" type="noConversion"/>
  <conditionalFormatting sqref="D43">
    <cfRule type="cellIs" dxfId="12" priority="2" stopIfTrue="1" operator="equal">
      <formula>"ERROR"</formula>
    </cfRule>
  </conditionalFormatting>
  <conditionalFormatting sqref="F43">
    <cfRule type="cellIs" dxfId="11" priority="1" stopIfTrue="1" operator="equal">
      <formula>"ERROR"</formula>
    </cfRule>
  </conditionalFormatting>
  <dataValidations count="1">
    <dataValidation allowBlank="1" showInputMessage="1" showErrorMessage="1" prompt="Please provide net position breakdown." sqref="D34 D37 D39 D40 D41" xr:uid="{02F30998-51E6-438D-AA1C-B59A168CBE88}"/>
  </dataValidations>
  <pageMargins left="0.75" right="0.75" top="0.5" bottom="0.5" header="0.5" footer="0.2"/>
  <pageSetup scale="95" orientation="landscape" r:id="rId1"/>
  <headerFooter alignWithMargins="0">
    <oddFooter>&amp;L&amp;F &amp;A&amp;C&amp;P of &amp;N&amp;R&amp;D</oddFooter>
  </headerFooter>
  <rowBreaks count="1" manualBreakCount="1">
    <brk id="43" max="16383" man="1"/>
  </rowBreaks>
  <ignoredErrors>
    <ignoredError sqref="D8 D15" formula="1"/>
    <ignoredError sqref="A47 A5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48"/>
  <sheetViews>
    <sheetView zoomScaleNormal="100" workbookViewId="0">
      <selection activeCell="L29" sqref="L29"/>
    </sheetView>
  </sheetViews>
  <sheetFormatPr defaultRowHeight="12.75" x14ac:dyDescent="0.2"/>
  <cols>
    <col min="1" max="1" width="3.7109375" customWidth="1"/>
    <col min="2" max="2" width="48.7109375" customWidth="1"/>
    <col min="3" max="3" width="1.7109375" customWidth="1"/>
    <col min="4" max="4" width="16.42578125" customWidth="1"/>
    <col min="5" max="5" width="1.7109375" customWidth="1"/>
    <col min="6" max="6" width="17.7109375" customWidth="1"/>
    <col min="7" max="7" width="3.42578125" customWidth="1"/>
    <col min="8" max="8" width="15.140625" customWidth="1"/>
    <col min="9" max="9" width="3.5703125" customWidth="1"/>
    <col min="10" max="10" width="11.28515625" customWidth="1"/>
    <col min="12" max="12" width="16.28515625" style="229" customWidth="1"/>
  </cols>
  <sheetData>
    <row r="1" spans="1:12" s="13" customFormat="1" ht="12.75" customHeight="1" x14ac:dyDescent="0.2">
      <c r="A1" s="1" t="e">
        <f>CONCATENATE(Info!D7," Foundations")</f>
        <v>#N/A</v>
      </c>
      <c r="B1" s="154"/>
      <c r="C1" s="154"/>
      <c r="D1" s="31"/>
      <c r="E1" s="154"/>
      <c r="F1" s="154"/>
      <c r="G1" s="154"/>
      <c r="H1" s="154"/>
      <c r="I1" s="154"/>
      <c r="J1" s="31" t="s">
        <v>288</v>
      </c>
      <c r="K1" s="154"/>
      <c r="L1" s="229"/>
    </row>
    <row r="2" spans="1:12" s="13" customFormat="1" ht="12.75" customHeight="1" x14ac:dyDescent="0.2">
      <c r="A2" s="1" t="s">
        <v>289</v>
      </c>
      <c r="B2" s="154"/>
      <c r="C2" s="154"/>
      <c r="D2" s="154"/>
      <c r="E2" s="154"/>
      <c r="F2" s="154"/>
      <c r="G2" s="154"/>
      <c r="H2" s="154"/>
      <c r="I2" s="154"/>
      <c r="J2" s="154"/>
      <c r="K2" s="154"/>
      <c r="L2" s="229"/>
    </row>
    <row r="3" spans="1:12" s="13" customFormat="1" ht="12.75" customHeight="1" x14ac:dyDescent="0.2">
      <c r="A3" s="103" t="s">
        <v>236</v>
      </c>
      <c r="B3" s="154"/>
      <c r="C3" s="154"/>
      <c r="D3" s="154"/>
      <c r="E3" s="154"/>
      <c r="F3" s="27" t="str">
        <f>CONCATENATE(Info!D6,"F")</f>
        <v>F</v>
      </c>
      <c r="G3"/>
      <c r="H3"/>
      <c r="I3"/>
      <c r="J3"/>
      <c r="K3" s="154"/>
      <c r="L3" s="229"/>
    </row>
    <row r="4" spans="1:12" x14ac:dyDescent="0.2">
      <c r="A4" s="153" t="s">
        <v>471</v>
      </c>
    </row>
    <row r="5" spans="1:12" ht="12.75" customHeight="1" x14ac:dyDescent="0.2">
      <c r="D5" s="249" t="s">
        <v>237</v>
      </c>
      <c r="F5" s="4" t="s">
        <v>238</v>
      </c>
      <c r="H5" s="4" t="s">
        <v>239</v>
      </c>
      <c r="J5" s="4" t="s">
        <v>240</v>
      </c>
    </row>
    <row r="6" spans="1:12" x14ac:dyDescent="0.2">
      <c r="B6" s="1" t="s">
        <v>290</v>
      </c>
    </row>
    <row r="7" spans="1:12" ht="13.5" x14ac:dyDescent="0.25">
      <c r="A7" s="33">
        <v>505</v>
      </c>
      <c r="B7" s="154" t="s">
        <v>291</v>
      </c>
      <c r="D7" s="28">
        <f ca="1">SUMIF(FASB_IS,A7,'Exh B'!$N$9:$N$23)+SUMIF(FASB_ADJ,A7,Adjustments!$N$7:$N$78)</f>
        <v>0</v>
      </c>
      <c r="F7" s="28" t="e">
        <f>HLOOKUP($F$3,PriorYrExhE!$E$2:$V$22,6,FALSE)</f>
        <v>#N/A</v>
      </c>
      <c r="H7" s="105" t="e">
        <f ca="1">D7-F7</f>
        <v>#N/A</v>
      </c>
      <c r="J7" s="104" t="e">
        <f>IF(F7=0,0,H7/F7)</f>
        <v>#N/A</v>
      </c>
      <c r="L7" s="229" t="s">
        <v>292</v>
      </c>
    </row>
    <row r="8" spans="1:12" ht="13.5" x14ac:dyDescent="0.25">
      <c r="A8" s="33">
        <v>500</v>
      </c>
      <c r="B8" s="26" t="s">
        <v>155</v>
      </c>
      <c r="D8" s="12">
        <f ca="1">SUMIF(FASB_IS,A8,'Exh B'!$N$9:$N$23)+SUMIF(FASB_ADJ,A8,Adjustments!$N$7:$N$78)</f>
        <v>0</v>
      </c>
      <c r="F8" s="12" t="e">
        <f>HLOOKUP($F$3,PriorYrExhE!$E$2:$V$22,7,FALSE)</f>
        <v>#N/A</v>
      </c>
      <c r="H8" s="105" t="e">
        <f t="shared" ref="H8:H15" ca="1" si="0">D8-F8</f>
        <v>#N/A</v>
      </c>
      <c r="J8" s="104" t="e">
        <f t="shared" ref="J8:J15" si="1">IF(F8=0,0,H8/F8)</f>
        <v>#N/A</v>
      </c>
      <c r="L8" s="229">
        <v>46200000</v>
      </c>
    </row>
    <row r="9" spans="1:12" ht="13.5" x14ac:dyDescent="0.25">
      <c r="A9" s="33">
        <v>510</v>
      </c>
      <c r="B9" s="26" t="s">
        <v>156</v>
      </c>
      <c r="D9" s="12">
        <f ca="1">SUMIF(FASB_IS,A9,'Exh B'!$N$9:$N$23)+SUMIF(FASB_ADJ,A9,Adjustments!$N$7:$N$78)</f>
        <v>0</v>
      </c>
      <c r="F9" s="12" t="e">
        <f>HLOOKUP($F$3,PriorYrExhE!$E$2:$V$22,8,FALSE)</f>
        <v>#N/A</v>
      </c>
      <c r="H9" s="105" t="e">
        <f t="shared" ca="1" si="0"/>
        <v>#N/A</v>
      </c>
      <c r="J9" s="104" t="e">
        <f t="shared" si="1"/>
        <v>#N/A</v>
      </c>
      <c r="L9" s="229">
        <v>46203000</v>
      </c>
    </row>
    <row r="10" spans="1:12" ht="13.5" x14ac:dyDescent="0.25">
      <c r="A10" s="33">
        <v>520</v>
      </c>
      <c r="B10" s="26" t="s">
        <v>157</v>
      </c>
      <c r="D10" s="12">
        <f ca="1">SUMIF(FASB_IS,A10,'Exh B'!$N$9:$N$23)+SUMIF(FASB_ADJ,A10,Adjustments!$N$7:$N$78)</f>
        <v>0</v>
      </c>
      <c r="F10" s="12" t="e">
        <f>HLOOKUP($F$3,PriorYrExhE!$E$2:$V$22,9,FALSE)</f>
        <v>#N/A</v>
      </c>
      <c r="H10" s="105" t="e">
        <f t="shared" ca="1" si="0"/>
        <v>#N/A</v>
      </c>
      <c r="J10" s="104" t="e">
        <f t="shared" si="1"/>
        <v>#N/A</v>
      </c>
      <c r="L10" s="229">
        <v>46205000</v>
      </c>
    </row>
    <row r="11" spans="1:12" ht="13.5" x14ac:dyDescent="0.25">
      <c r="A11" s="33">
        <v>530</v>
      </c>
      <c r="B11" s="26" t="s">
        <v>114</v>
      </c>
      <c r="D11" s="12">
        <f ca="1">SUMIF(FASB_IS,A11,'Exh B'!$N$9:$N$23)+SUMIF(FASB_ADJ,A11,Adjustments!$N$7:$N$78)</f>
        <v>0</v>
      </c>
      <c r="F11" s="12" t="e">
        <f>HLOOKUP($F$3,PriorYrExhE!$E$2:$V$22,10,FALSE)</f>
        <v>#N/A</v>
      </c>
      <c r="H11" s="105" t="e">
        <f t="shared" ca="1" si="0"/>
        <v>#N/A</v>
      </c>
      <c r="J11" s="104" t="e">
        <f t="shared" si="1"/>
        <v>#N/A</v>
      </c>
      <c r="L11" s="229">
        <v>43111000</v>
      </c>
    </row>
    <row r="12" spans="1:12" ht="13.5" x14ac:dyDescent="0.25">
      <c r="A12" s="33">
        <v>540</v>
      </c>
      <c r="B12" s="26" t="s">
        <v>116</v>
      </c>
      <c r="D12" s="12">
        <f ca="1">SUMIF(FASB_IS,A12,'Exh B'!$N$9:$N$23)+SUMIF(FASB_ADJ,A12,Adjustments!$N$7:$N$78)</f>
        <v>0</v>
      </c>
      <c r="F12" s="12" t="e">
        <f>HLOOKUP($F$3,PriorYrExhE!$E$2:$V$22,11,FALSE)</f>
        <v>#N/A</v>
      </c>
      <c r="H12" s="105" t="e">
        <f t="shared" ca="1" si="0"/>
        <v>#N/A</v>
      </c>
      <c r="J12" s="104" t="e">
        <f t="shared" si="1"/>
        <v>#N/A</v>
      </c>
      <c r="L12" s="229">
        <v>44101000</v>
      </c>
    </row>
    <row r="13" spans="1:12" ht="13.5" x14ac:dyDescent="0.25">
      <c r="A13" s="33">
        <v>550</v>
      </c>
      <c r="B13" s="26" t="s">
        <v>293</v>
      </c>
      <c r="D13" s="12">
        <f ca="1">SUMIF(FASB_IS,A13,'Exh B'!$N$9:$N$23)+SUMIF(FASB_ADJ,A13,Adjustments!$N$7:$N$78)</f>
        <v>0</v>
      </c>
      <c r="F13" s="12" t="e">
        <f>HLOOKUP($F$3,PriorYrExhE!$E$2:$V$22,12,FALSE)</f>
        <v>#N/A</v>
      </c>
      <c r="H13" s="105" t="e">
        <f t="shared" ca="1" si="0"/>
        <v>#N/A</v>
      </c>
      <c r="J13" s="104" t="e">
        <f t="shared" si="1"/>
        <v>#N/A</v>
      </c>
      <c r="L13" s="229">
        <v>44410000</v>
      </c>
    </row>
    <row r="14" spans="1:12" ht="13.5" x14ac:dyDescent="0.25">
      <c r="A14" s="33">
        <v>555</v>
      </c>
      <c r="B14" s="26" t="s">
        <v>118</v>
      </c>
      <c r="D14" s="12">
        <f ca="1">SUMIF(FASB_IS,A14,'Exh B'!$N$9:$N$23)+SUMIF(FASB_ADJ,A14,Adjustments!$N$7:$N$78)</f>
        <v>0</v>
      </c>
      <c r="F14" s="12" t="e">
        <f>HLOOKUP($F$3,PriorYrExhE!$E$2:$V$22,13,FALSE)</f>
        <v>#N/A</v>
      </c>
      <c r="H14" s="105" t="e">
        <f t="shared" ca="1" si="0"/>
        <v>#N/A</v>
      </c>
      <c r="J14" s="104" t="e">
        <f t="shared" si="1"/>
        <v>#N/A</v>
      </c>
      <c r="L14" s="229">
        <v>44330000</v>
      </c>
    </row>
    <row r="15" spans="1:12" ht="13.5" x14ac:dyDescent="0.25">
      <c r="A15" s="33">
        <v>560</v>
      </c>
      <c r="B15" s="26" t="s">
        <v>294</v>
      </c>
      <c r="D15" s="12">
        <f ca="1">SUMIF(FASB_IS,A15,'Exh B'!$N$9:$N$23)+SUMIF(FASB_ADJ,A15,Adjustments!$N$7:$N$78)</f>
        <v>0</v>
      </c>
      <c r="F15" s="12" t="e">
        <f>HLOOKUP($F$3,PriorYrExhE!$E$2:$V$22,14,FALSE)</f>
        <v>#N/A</v>
      </c>
      <c r="H15" s="105" t="e">
        <f t="shared" ca="1" si="0"/>
        <v>#N/A</v>
      </c>
      <c r="J15" s="104" t="e">
        <f t="shared" si="1"/>
        <v>#N/A</v>
      </c>
      <c r="L15" s="229">
        <v>47991000</v>
      </c>
    </row>
    <row r="16" spans="1:12" x14ac:dyDescent="0.2">
      <c r="A16" s="33"/>
      <c r="B16" s="2" t="s">
        <v>120</v>
      </c>
      <c r="D16" s="21">
        <f ca="1">SUM(D7:D15)</f>
        <v>0</v>
      </c>
      <c r="F16" s="21" t="e">
        <f>SUM(F7:F15)</f>
        <v>#N/A</v>
      </c>
    </row>
    <row r="17" spans="1:12" x14ac:dyDescent="0.2">
      <c r="A17" s="33"/>
    </row>
    <row r="18" spans="1:12" x14ac:dyDescent="0.2">
      <c r="A18" s="33"/>
      <c r="B18" s="1" t="s">
        <v>295</v>
      </c>
    </row>
    <row r="19" spans="1:12" ht="15" x14ac:dyDescent="0.25">
      <c r="A19" s="33">
        <v>604</v>
      </c>
      <c r="B19" s="154" t="s">
        <v>296</v>
      </c>
      <c r="D19" s="12">
        <f ca="1">SUMIF(FASB_IS,A19,'Exh B'!$N$9:$N$23)+SUMIF(FASB_ADJ,A19,Adjustments!$N$7:$N$78)</f>
        <v>0</v>
      </c>
      <c r="F19" s="12" t="e">
        <f>HLOOKUP($F$3,PriorYrExhE!$E$2:$V$22,18,FALSE)</f>
        <v>#N/A</v>
      </c>
      <c r="H19" s="105" t="e">
        <f ca="1">D19-F19</f>
        <v>#N/A</v>
      </c>
      <c r="J19" s="104" t="e">
        <f>IF(F19=0,0,H19/F19)</f>
        <v>#N/A</v>
      </c>
      <c r="L19" s="229" t="s">
        <v>297</v>
      </c>
    </row>
    <row r="20" spans="1:12" ht="15" x14ac:dyDescent="0.25">
      <c r="A20" s="33">
        <v>600</v>
      </c>
      <c r="B20" s="154" t="s">
        <v>298</v>
      </c>
      <c r="D20" s="12">
        <f ca="1">SUMIF(FASB_IS,A20,'Exh B'!$N$9:$N$23)+SUMIF(FASB_ADJ,A20,Adjustments!$N$7:$N$78)</f>
        <v>0</v>
      </c>
      <c r="F20" s="12" t="e">
        <f>HLOOKUP($F$3,PriorYrExhE!$E$2:$V$22,19,FALSE)</f>
        <v>#N/A</v>
      </c>
      <c r="H20" s="105" t="e">
        <f ca="1">D20-F20</f>
        <v>#N/A</v>
      </c>
      <c r="J20" s="104" t="e">
        <f>IF(F20=0,0,H20/F20)</f>
        <v>#N/A</v>
      </c>
      <c r="L20" s="229" t="s">
        <v>299</v>
      </c>
    </row>
    <row r="21" spans="1:12" ht="15" x14ac:dyDescent="0.25">
      <c r="A21" s="33">
        <v>602</v>
      </c>
      <c r="B21" s="154" t="s">
        <v>300</v>
      </c>
      <c r="D21" s="12">
        <f ca="1">SUMIF(FASB_IS,A21,'Exh B'!$N$9:$N$23)+SUMIF(FASB_ADJ,A21,Adjustments!$N$7:$N$78)</f>
        <v>0</v>
      </c>
      <c r="F21" s="12" t="e">
        <f>HLOOKUP($F$3,PriorYrExhE!$E$2:$V$22,20,FALSE)</f>
        <v>#N/A</v>
      </c>
      <c r="H21" s="105" t="e">
        <f ca="1">D21-F21</f>
        <v>#N/A</v>
      </c>
      <c r="J21" s="104" t="e">
        <f>IF(F21=0,0,H21/F21)</f>
        <v>#N/A</v>
      </c>
      <c r="L21" s="229" t="s">
        <v>301</v>
      </c>
    </row>
    <row r="22" spans="1:12" ht="13.5" x14ac:dyDescent="0.25">
      <c r="A22" s="33">
        <v>610</v>
      </c>
      <c r="B22" s="154" t="s">
        <v>302</v>
      </c>
      <c r="D22" s="10">
        <f ca="1">SUMIF(FASB_IS,A22,'Exh B'!$N$9:$N$23)+SUMIF(FASB_ADJ,A22,Adjustments!$N$7:$N$78)</f>
        <v>0</v>
      </c>
      <c r="F22" s="12" t="e">
        <f>HLOOKUP($F$3,PriorYrExhE!$E$2:$V$22,21,FALSE)</f>
        <v>#N/A</v>
      </c>
      <c r="H22" s="105" t="e">
        <f ca="1">D22-F22</f>
        <v>#N/A</v>
      </c>
      <c r="J22" s="104" t="e">
        <f>IF(F22=0,0,H22/F22)</f>
        <v>#N/A</v>
      </c>
      <c r="L22" s="229">
        <v>55900000</v>
      </c>
    </row>
    <row r="23" spans="1:12" x14ac:dyDescent="0.2">
      <c r="A23" s="33"/>
      <c r="B23" s="2" t="s">
        <v>124</v>
      </c>
      <c r="D23" s="21">
        <f ca="1">SUM(D19:D22)</f>
        <v>0</v>
      </c>
      <c r="F23" s="21" t="e">
        <f>SUM(F19:F22)</f>
        <v>#N/A</v>
      </c>
    </row>
    <row r="25" spans="1:12" ht="13.5" x14ac:dyDescent="0.25">
      <c r="B25" s="236" t="s">
        <v>303</v>
      </c>
      <c r="D25" s="12">
        <f ca="1">D16-D23</f>
        <v>0</v>
      </c>
      <c r="F25" s="12" t="e">
        <f>F16-F23</f>
        <v>#N/A</v>
      </c>
      <c r="H25" s="105" t="e">
        <f ca="1">D25-F25</f>
        <v>#N/A</v>
      </c>
      <c r="J25" s="104" t="e">
        <f>IF(F25=0,0,H25/F25)</f>
        <v>#N/A</v>
      </c>
    </row>
    <row r="26" spans="1:12" x14ac:dyDescent="0.2">
      <c r="B26" s="26"/>
      <c r="D26" s="12"/>
    </row>
    <row r="27" spans="1:12" ht="13.5" x14ac:dyDescent="0.25">
      <c r="B27" s="154" t="s">
        <v>304</v>
      </c>
      <c r="D27" s="12" t="e">
        <f>'Exh B'!N28</f>
        <v>#N/A</v>
      </c>
      <c r="F27" s="12" t="e">
        <f>HLOOKUP($F$3,PriorYrExhE!$E$2:$V$28,26,FALSE)</f>
        <v>#N/A</v>
      </c>
      <c r="H27" s="105" t="e">
        <f>D27-F27</f>
        <v>#N/A</v>
      </c>
      <c r="J27" s="104" t="e">
        <f>IF(F27=0,0,H27/F27)</f>
        <v>#N/A</v>
      </c>
    </row>
    <row r="28" spans="1:12" ht="13.5" x14ac:dyDescent="0.25">
      <c r="B28" t="s">
        <v>305</v>
      </c>
      <c r="D28" s="10">
        <f>'Exh B'!N29</f>
        <v>0</v>
      </c>
      <c r="F28" s="12" t="e">
        <f>HLOOKUP($F$3,PriorYrExhE!$E$2:$V$28,27,FALSE)</f>
        <v>#N/A</v>
      </c>
      <c r="H28" s="105" t="e">
        <f>D28-F28</f>
        <v>#N/A</v>
      </c>
      <c r="J28" s="104" t="e">
        <f>IF(F28=0,0,H28/F28)</f>
        <v>#N/A</v>
      </c>
      <c r="L28" s="229">
        <v>33000100</v>
      </c>
    </row>
    <row r="29" spans="1:12" ht="13.5" thickBot="1" x14ac:dyDescent="0.25">
      <c r="B29" s="154" t="s">
        <v>306</v>
      </c>
      <c r="D29" s="11" t="e">
        <f ca="1">D25+D27+D28</f>
        <v>#N/A</v>
      </c>
      <c r="F29" s="11" t="e">
        <f>F25+F27+F28</f>
        <v>#N/A</v>
      </c>
    </row>
    <row r="30" spans="1:12" ht="13.5" thickTop="1" x14ac:dyDescent="0.2"/>
    <row r="31" spans="1:12" x14ac:dyDescent="0.2">
      <c r="B31" s="23" t="s">
        <v>307</v>
      </c>
      <c r="D31" s="35" t="e">
        <f ca="1">IF(D29='Exh D'!D41,"OK","ERROR")</f>
        <v>#N/A</v>
      </c>
      <c r="F31" s="35" t="e">
        <f>IF(F29='Exh D'!F41,"OK","ERROR")</f>
        <v>#N/A</v>
      </c>
    </row>
    <row r="32" spans="1:12" ht="11.25" customHeight="1" x14ac:dyDescent="0.2">
      <c r="B32" s="23"/>
    </row>
    <row r="33" spans="1:6" x14ac:dyDescent="0.2">
      <c r="A33" s="25" t="s">
        <v>83</v>
      </c>
    </row>
    <row r="34" spans="1:6" ht="5.25" customHeight="1" x14ac:dyDescent="0.2"/>
    <row r="35" spans="1:6" x14ac:dyDescent="0.2">
      <c r="A35" s="47" t="s">
        <v>84</v>
      </c>
      <c r="B35" t="s">
        <v>308</v>
      </c>
    </row>
    <row r="36" spans="1:6" x14ac:dyDescent="0.2">
      <c r="B36" t="s">
        <v>277</v>
      </c>
    </row>
    <row r="37" spans="1:6" ht="6" customHeight="1" x14ac:dyDescent="0.2"/>
    <row r="38" spans="1:6" x14ac:dyDescent="0.2">
      <c r="A38" s="153" t="s">
        <v>87</v>
      </c>
      <c r="B38" s="154" t="s">
        <v>278</v>
      </c>
    </row>
    <row r="39" spans="1:6" x14ac:dyDescent="0.2">
      <c r="B39" s="154" t="s">
        <v>279</v>
      </c>
    </row>
    <row r="40" spans="1:6" x14ac:dyDescent="0.2">
      <c r="B40" s="154" t="s">
        <v>280</v>
      </c>
    </row>
    <row r="41" spans="1:6" x14ac:dyDescent="0.2">
      <c r="B41" s="154" t="s">
        <v>281</v>
      </c>
    </row>
    <row r="42" spans="1:6" ht="6.75" customHeight="1" x14ac:dyDescent="0.2"/>
    <row r="43" spans="1:6" x14ac:dyDescent="0.2">
      <c r="B43" s="139" t="s">
        <v>309</v>
      </c>
    </row>
    <row r="44" spans="1:6" x14ac:dyDescent="0.2">
      <c r="B44" s="139" t="s">
        <v>310</v>
      </c>
    </row>
    <row r="45" spans="1:6" x14ac:dyDescent="0.2">
      <c r="B45" s="23"/>
      <c r="C45" s="23"/>
      <c r="D45" s="23"/>
      <c r="E45" s="23"/>
      <c r="F45" s="23"/>
    </row>
    <row r="46" spans="1:6" x14ac:dyDescent="0.2">
      <c r="B46" s="23"/>
      <c r="C46" s="23"/>
      <c r="D46" s="23"/>
      <c r="E46" s="23"/>
      <c r="F46" s="23"/>
    </row>
    <row r="47" spans="1:6" x14ac:dyDescent="0.2">
      <c r="B47" s="23"/>
      <c r="C47" s="23"/>
      <c r="D47" s="23"/>
      <c r="E47" s="23"/>
      <c r="F47" s="23"/>
    </row>
    <row r="48" spans="1:6" x14ac:dyDescent="0.2">
      <c r="B48" s="23"/>
    </row>
  </sheetData>
  <sheetProtection algorithmName="SHA-512" hashValue="BjFvtZNGm2NQLp4o62J5nQfJqLe+peAyakYdJXyIqz+8Zij283pZ5is+U5XL44KMemaEpMP0V8G/Tym6ZIvslw==" saltValue="loasFTONxIL0fdAZP5UlTQ==" spinCount="100000" sheet="1" formatColumns="0" formatRows="0" autoFilter="0"/>
  <phoneticPr fontId="0" type="noConversion"/>
  <conditionalFormatting sqref="D31">
    <cfRule type="cellIs" dxfId="10" priority="2" stopIfTrue="1" operator="equal">
      <formula>"ERROR"</formula>
    </cfRule>
  </conditionalFormatting>
  <conditionalFormatting sqref="F31">
    <cfRule type="cellIs" dxfId="9" priority="1" stopIfTrue="1" operator="equal">
      <formula>"ERROR"</formula>
    </cfRule>
  </conditionalFormatting>
  <pageMargins left="0.5" right="0.5" top="0.25" bottom="0.25" header="0.5" footer="0.2"/>
  <pageSetup orientation="landscape" r:id="rId1"/>
  <headerFooter alignWithMargins="0">
    <oddFooter>&amp;L&amp;F &amp;A&amp;C&amp;P of &amp;N&amp;R&amp;D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59999389629810485"/>
  </sheetPr>
  <dimension ref="A1:V93"/>
  <sheetViews>
    <sheetView zoomScaleNormal="100" workbookViewId="0">
      <selection activeCell="B34" sqref="B34"/>
    </sheetView>
  </sheetViews>
  <sheetFormatPr defaultRowHeight="15.75" x14ac:dyDescent="0.2"/>
  <cols>
    <col min="1" max="1" width="8.7109375" style="294" customWidth="1"/>
    <col min="2" max="2" width="37.85546875" style="294" customWidth="1"/>
    <col min="3" max="3" width="32.5703125" style="294" customWidth="1"/>
    <col min="4" max="4" width="24" style="294" customWidth="1"/>
    <col min="5" max="5" width="25.140625" style="294" customWidth="1"/>
    <col min="6" max="6" width="25.7109375" style="294" customWidth="1"/>
    <col min="7" max="7" width="37.85546875" style="294" customWidth="1"/>
    <col min="8" max="8" width="45.42578125" style="294" customWidth="1"/>
    <col min="9" max="9" width="78.5703125" style="294" customWidth="1"/>
    <col min="10" max="10" width="12.5703125" style="294" customWidth="1"/>
    <col min="11" max="11" width="9.140625" style="294" hidden="1" customWidth="1"/>
    <col min="12" max="12" width="12.5703125" style="294" hidden="1" customWidth="1"/>
    <col min="13" max="14" width="11.5703125" style="294" hidden="1" customWidth="1"/>
    <col min="15" max="18" width="19.7109375" style="294" hidden="1" customWidth="1"/>
    <col min="19" max="20" width="19.85546875" style="294" hidden="1" customWidth="1"/>
    <col min="21" max="21" width="22" style="428" hidden="1" customWidth="1"/>
    <col min="22" max="22" width="9.42578125" style="428" bestFit="1" customWidth="1"/>
    <col min="23" max="16384" width="9.140625" style="294"/>
  </cols>
  <sheetData>
    <row r="1" spans="2:22" ht="23.25" x14ac:dyDescent="0.2">
      <c r="B1" s="401" t="s">
        <v>485</v>
      </c>
      <c r="U1" s="402"/>
      <c r="V1" s="402"/>
    </row>
    <row r="2" spans="2:22" s="403" customFormat="1" ht="18.600000000000001" customHeight="1" x14ac:dyDescent="0.2">
      <c r="B2" s="404" t="e">
        <f>CONCATENATE(Info!D7," Foundations")</f>
        <v>#N/A</v>
      </c>
      <c r="C2" s="394"/>
      <c r="D2" s="394"/>
      <c r="E2" s="394"/>
      <c r="F2" s="405"/>
      <c r="U2" s="402"/>
      <c r="V2" s="402"/>
    </row>
    <row r="3" spans="2:22" s="403" customFormat="1" ht="18.600000000000001" customHeight="1" x14ac:dyDescent="0.2">
      <c r="B3" s="406" t="s">
        <v>471</v>
      </c>
      <c r="C3" s="394"/>
      <c r="D3" s="394"/>
      <c r="E3" s="394"/>
      <c r="F3" s="405"/>
      <c r="U3" s="402"/>
      <c r="V3" s="402"/>
    </row>
    <row r="4" spans="2:22" s="403" customFormat="1" ht="18.600000000000001" customHeight="1" thickBot="1" x14ac:dyDescent="0.25">
      <c r="B4" s="406"/>
      <c r="C4" s="394"/>
      <c r="D4" s="394"/>
      <c r="E4" s="394"/>
      <c r="F4" s="405"/>
      <c r="U4" s="407"/>
      <c r="V4" s="407"/>
    </row>
    <row r="5" spans="2:22" s="403" customFormat="1" ht="33" customHeight="1" thickBot="1" x14ac:dyDescent="0.25">
      <c r="B5" s="367" t="s">
        <v>496</v>
      </c>
      <c r="C5" s="408"/>
      <c r="D5" s="408"/>
      <c r="E5" s="408"/>
      <c r="F5" s="409"/>
      <c r="G5" s="519"/>
      <c r="H5" s="410"/>
      <c r="U5" s="407"/>
      <c r="V5" s="407"/>
    </row>
    <row r="6" spans="2:22" s="403" customFormat="1" ht="12.75" x14ac:dyDescent="0.2">
      <c r="B6" s="513" t="s">
        <v>487</v>
      </c>
      <c r="C6" s="514"/>
      <c r="D6" s="514"/>
      <c r="E6" s="514"/>
      <c r="F6" s="515"/>
      <c r="G6" s="516"/>
      <c r="H6" s="412"/>
      <c r="U6" s="407"/>
      <c r="V6" s="407"/>
    </row>
    <row r="7" spans="2:22" s="403" customFormat="1" ht="12.75" x14ac:dyDescent="0.2">
      <c r="B7" s="411" t="s">
        <v>741</v>
      </c>
      <c r="C7" s="514"/>
      <c r="D7" s="514"/>
      <c r="E7" s="514"/>
      <c r="F7" s="515"/>
      <c r="G7" s="516"/>
      <c r="H7" s="412"/>
      <c r="U7" s="407"/>
      <c r="V7" s="407"/>
    </row>
    <row r="8" spans="2:22" s="403" customFormat="1" ht="12.75" x14ac:dyDescent="0.2">
      <c r="B8" s="411" t="s">
        <v>755</v>
      </c>
      <c r="C8" s="514"/>
      <c r="D8" s="514"/>
      <c r="E8" s="514"/>
      <c r="F8" s="515"/>
      <c r="G8" s="516"/>
      <c r="H8" s="412"/>
      <c r="U8" s="407"/>
      <c r="V8" s="407"/>
    </row>
    <row r="9" spans="2:22" s="403" customFormat="1" ht="12.75" x14ac:dyDescent="0.2">
      <c r="B9" s="411" t="s">
        <v>747</v>
      </c>
      <c r="C9" s="514"/>
      <c r="D9" s="514"/>
      <c r="E9" s="514"/>
      <c r="F9" s="515"/>
      <c r="G9" s="516"/>
      <c r="H9" s="412"/>
      <c r="U9" s="407"/>
      <c r="V9" s="407"/>
    </row>
    <row r="10" spans="2:22" s="403" customFormat="1" ht="12.75" x14ac:dyDescent="0.2">
      <c r="B10" s="445" t="s">
        <v>748</v>
      </c>
      <c r="C10" s="514"/>
      <c r="D10" s="514"/>
      <c r="E10" s="514"/>
      <c r="F10" s="515"/>
      <c r="G10" s="516"/>
      <c r="H10" s="412"/>
      <c r="U10" s="407"/>
      <c r="V10" s="407"/>
    </row>
    <row r="11" spans="2:22" s="403" customFormat="1" ht="12.75" x14ac:dyDescent="0.2">
      <c r="B11" s="411" t="s">
        <v>695</v>
      </c>
      <c r="C11" s="514"/>
      <c r="D11" s="514"/>
      <c r="E11" s="514"/>
      <c r="F11" s="515"/>
      <c r="G11" s="516"/>
      <c r="H11" s="412"/>
      <c r="U11" s="407"/>
      <c r="V11" s="407"/>
    </row>
    <row r="12" spans="2:22" s="403" customFormat="1" ht="12.75" x14ac:dyDescent="0.2">
      <c r="B12" s="411" t="s">
        <v>696</v>
      </c>
      <c r="C12" s="514"/>
      <c r="D12" s="514"/>
      <c r="E12" s="514"/>
      <c r="F12" s="515"/>
      <c r="G12" s="516"/>
      <c r="H12" s="412"/>
      <c r="U12" s="407"/>
      <c r="V12" s="407"/>
    </row>
    <row r="13" spans="2:22" s="403" customFormat="1" ht="13.5" thickBot="1" x14ac:dyDescent="0.25">
      <c r="B13" s="413" t="s">
        <v>734</v>
      </c>
      <c r="C13" s="414"/>
      <c r="D13" s="414"/>
      <c r="E13" s="429"/>
      <c r="F13" s="429" t="s">
        <v>733</v>
      </c>
      <c r="G13" s="517"/>
      <c r="H13" s="415"/>
      <c r="U13" s="407"/>
      <c r="V13" s="407"/>
    </row>
    <row r="14" spans="2:22" s="403" customFormat="1" ht="12.75" customHeight="1" x14ac:dyDescent="0.2">
      <c r="C14" s="404"/>
      <c r="D14" s="394"/>
      <c r="E14" s="394"/>
      <c r="F14" s="394"/>
      <c r="U14" s="407"/>
      <c r="V14" s="407"/>
    </row>
    <row r="15" spans="2:22" s="403" customFormat="1" ht="12.75" customHeight="1" x14ac:dyDescent="0.2">
      <c r="C15" s="416"/>
      <c r="D15" s="417" t="s">
        <v>522</v>
      </c>
      <c r="E15" s="417" t="s">
        <v>626</v>
      </c>
      <c r="F15" s="417" t="s">
        <v>523</v>
      </c>
      <c r="H15" s="418" t="s">
        <v>521</v>
      </c>
      <c r="U15" s="407"/>
      <c r="V15" s="407"/>
    </row>
    <row r="16" spans="2:22" s="403" customFormat="1" ht="12.75" customHeight="1" x14ac:dyDescent="0.2">
      <c r="B16" s="419" t="s">
        <v>694</v>
      </c>
      <c r="C16" s="419"/>
      <c r="D16" s="419">
        <v>1</v>
      </c>
      <c r="E16" s="419">
        <v>2</v>
      </c>
      <c r="F16" s="419">
        <v>3</v>
      </c>
      <c r="G16" s="420">
        <v>4</v>
      </c>
      <c r="H16" s="421">
        <v>5</v>
      </c>
      <c r="I16" s="421">
        <v>6</v>
      </c>
      <c r="J16" s="392"/>
      <c r="U16" s="407"/>
      <c r="V16" s="407"/>
    </row>
    <row r="17" spans="1:22" s="293" customFormat="1" ht="28.5" customHeight="1" x14ac:dyDescent="0.2">
      <c r="A17" s="321" t="s">
        <v>493</v>
      </c>
      <c r="B17" s="322" t="s">
        <v>693</v>
      </c>
      <c r="C17" s="389">
        <f>+'Exh E'!D28</f>
        <v>0</v>
      </c>
      <c r="D17" s="326" t="s">
        <v>740</v>
      </c>
      <c r="E17" s="386" t="s">
        <v>127</v>
      </c>
      <c r="F17" s="326" t="s">
        <v>739</v>
      </c>
      <c r="G17" s="326" t="s">
        <v>749</v>
      </c>
      <c r="H17" s="326" t="s">
        <v>497</v>
      </c>
      <c r="I17" s="430" t="s">
        <v>732</v>
      </c>
      <c r="J17" s="392"/>
      <c r="U17" s="407"/>
      <c r="V17" s="407"/>
    </row>
    <row r="18" spans="1:22" ht="13.15" customHeight="1" x14ac:dyDescent="0.2">
      <c r="B18" s="462" t="s">
        <v>494</v>
      </c>
      <c r="C18" s="463"/>
      <c r="D18" s="463"/>
      <c r="E18" s="463"/>
      <c r="F18" s="463"/>
      <c r="G18" s="332"/>
      <c r="H18" s="332"/>
      <c r="I18" s="332"/>
      <c r="J18" s="394"/>
      <c r="L18" s="393" t="s">
        <v>736</v>
      </c>
      <c r="M18" s="393" t="s">
        <v>305</v>
      </c>
      <c r="N18" s="393"/>
      <c r="O18" s="488" t="s">
        <v>758</v>
      </c>
      <c r="P18" s="488" t="s">
        <v>759</v>
      </c>
      <c r="Q18" s="476" t="s">
        <v>751</v>
      </c>
      <c r="R18" s="476" t="s">
        <v>752</v>
      </c>
      <c r="S18" s="480" t="s">
        <v>753</v>
      </c>
      <c r="T18" s="480" t="s">
        <v>754</v>
      </c>
      <c r="U18" s="485" t="s">
        <v>737</v>
      </c>
      <c r="V18" s="407"/>
    </row>
    <row r="19" spans="1:22" ht="39.950000000000003" customHeight="1" x14ac:dyDescent="0.2">
      <c r="A19" s="460" t="s">
        <v>488</v>
      </c>
      <c r="B19" s="330" t="s">
        <v>627</v>
      </c>
      <c r="C19" s="422" t="s">
        <v>627</v>
      </c>
      <c r="D19" s="372"/>
      <c r="E19" s="387"/>
      <c r="F19" s="370">
        <f>+D19+E19</f>
        <v>0</v>
      </c>
      <c r="G19" s="331" t="s">
        <v>750</v>
      </c>
      <c r="H19" s="518" t="s">
        <v>499</v>
      </c>
      <c r="I19" s="336"/>
      <c r="J19" s="391"/>
      <c r="K19" s="294">
        <f>COUNTIF(L19:M19,FALSE)</f>
        <v>0</v>
      </c>
      <c r="L19" s="294" t="b">
        <f t="shared" ref="L19:L22" si="0">ISBLANK(D19)</f>
        <v>1</v>
      </c>
      <c r="M19" s="294" t="b">
        <f t="shared" ref="M19:M21" si="1">ISBLANK(E19)</f>
        <v>1</v>
      </c>
      <c r="O19" s="489" t="b">
        <f>IF(E19&lt;&gt;0,IF(B19="Select an account",NOT(ISBLANK(B19)),ISBLANK(B19)))</f>
        <v>0</v>
      </c>
      <c r="P19" s="490" t="b">
        <f>IF(E19=0,IF(B19="Select an account",NOT(ISBLANK(B19)),ISBLANK(B19)))</f>
        <v>0</v>
      </c>
      <c r="Q19" s="477" t="b">
        <f>IF(E19&lt;&gt;0,IF(G19="Select Category",NOT(ISBLANK(G19)),ISBLANK(G19)))</f>
        <v>0</v>
      </c>
      <c r="R19" s="477" t="b">
        <f>IF(E19=0,IF(G19="Select Category",ISBLANK(G19),NOT(ISBLANK(G19))))</f>
        <v>0</v>
      </c>
      <c r="S19" s="481" t="b">
        <f>IF(E19&lt;&gt;0,IF(H19="Select Reason",NOT(ISBLANK(H19)),ISBLANK(H19)))</f>
        <v>0</v>
      </c>
      <c r="T19" s="481" t="b">
        <f>IF(E19=0,IF(H19="Select Reason",ISBLANK(H19),NOT(ISBLANK(H19))))</f>
        <v>0</v>
      </c>
      <c r="U19" s="486" t="b">
        <f>IF(E19=0,ISBLANK(I19),NOT(ISBLANK(I19)))</f>
        <v>1</v>
      </c>
      <c r="V19" s="407"/>
    </row>
    <row r="20" spans="1:22" ht="39.950000000000003" customHeight="1" x14ac:dyDescent="0.2">
      <c r="A20" s="460"/>
      <c r="B20" s="330" t="s">
        <v>628</v>
      </c>
      <c r="C20" s="422" t="s">
        <v>628</v>
      </c>
      <c r="D20" s="372"/>
      <c r="E20" s="387"/>
      <c r="F20" s="370">
        <f>+D20+E20</f>
        <v>0</v>
      </c>
      <c r="G20" s="331" t="s">
        <v>750</v>
      </c>
      <c r="H20" s="518" t="s">
        <v>499</v>
      </c>
      <c r="I20" s="431"/>
      <c r="J20" s="391"/>
      <c r="K20" s="294">
        <f t="shared" ref="K20:K22" si="2">COUNTIF(L20:M20,FALSE)</f>
        <v>0</v>
      </c>
      <c r="L20" s="294" t="b">
        <f t="shared" si="0"/>
        <v>1</v>
      </c>
      <c r="M20" s="294" t="b">
        <f t="shared" si="1"/>
        <v>1</v>
      </c>
      <c r="O20" s="489" t="b">
        <f>IF(E20&lt;&gt;0,IF(B20="Select an account",NOT(ISBLANK(B20)),ISBLANK(B20)))</f>
        <v>0</v>
      </c>
      <c r="P20" s="490" t="b">
        <f t="shared" ref="P20" si="3">IF(E20=0,IF(B20="Select an account",NOT(ISBLANK(B20)),ISBLANK(B20)))</f>
        <v>0</v>
      </c>
      <c r="Q20" s="477" t="b">
        <f t="shared" ref="Q20:Q22" si="4">IF(E20&lt;&gt;0,IF(G20="Select Category",NOT(ISBLANK(G20)),ISBLANK(G20)))</f>
        <v>0</v>
      </c>
      <c r="R20" s="477" t="b">
        <f t="shared" ref="R20:R22" si="5">IF(E20=0,IF(G20="Select Category",ISBLANK(G20),NOT(ISBLANK(G20))))</f>
        <v>0</v>
      </c>
      <c r="S20" s="481" t="b">
        <f t="shared" ref="S20:S22" si="6">IF(E20&lt;&gt;0,IF(H20="Select Reason",NOT(ISBLANK(H20)),ISBLANK(H20)))</f>
        <v>0</v>
      </c>
      <c r="T20" s="481" t="b">
        <f t="shared" ref="T20:T22" si="7">IF(E20=0,IF(H20="Select Reason",ISBLANK(H20),NOT(ISBLANK(H20))))</f>
        <v>0</v>
      </c>
      <c r="U20" s="486" t="b">
        <f>IF(E20=0,ISBLANK(I20),NOT(ISBLANK(I20)))</f>
        <v>1</v>
      </c>
      <c r="V20" s="407"/>
    </row>
    <row r="21" spans="1:22" ht="39.950000000000003" customHeight="1" x14ac:dyDescent="0.2">
      <c r="A21" s="460"/>
      <c r="B21" s="330" t="s">
        <v>629</v>
      </c>
      <c r="C21" s="422" t="s">
        <v>629</v>
      </c>
      <c r="D21" s="372"/>
      <c r="E21" s="387"/>
      <c r="F21" s="370">
        <f>+D21+E21</f>
        <v>0</v>
      </c>
      <c r="G21" s="331" t="s">
        <v>750</v>
      </c>
      <c r="H21" s="518" t="s">
        <v>499</v>
      </c>
      <c r="I21" s="431"/>
      <c r="J21" s="391"/>
      <c r="K21" s="294">
        <f t="shared" si="2"/>
        <v>0</v>
      </c>
      <c r="L21" s="294" t="b">
        <f t="shared" si="0"/>
        <v>1</v>
      </c>
      <c r="M21" s="294" t="b">
        <f t="shared" si="1"/>
        <v>1</v>
      </c>
      <c r="O21" s="489" t="b">
        <f>IF(E21&lt;&gt;0,IF(B21="Select an account",NOT(ISBLANK(B21)),ISBLANK(B21)))</f>
        <v>0</v>
      </c>
      <c r="P21" s="490" t="b">
        <f>IF(E21=0,IF(B21="R_Restricted - expendable",ISBLANK(B21),NOT(ISBLANK(B21))))</f>
        <v>0</v>
      </c>
      <c r="Q21" s="477" t="b">
        <f t="shared" si="4"/>
        <v>0</v>
      </c>
      <c r="R21" s="477" t="b">
        <f t="shared" si="5"/>
        <v>0</v>
      </c>
      <c r="S21" s="481" t="b">
        <f t="shared" si="6"/>
        <v>0</v>
      </c>
      <c r="T21" s="481" t="b">
        <f t="shared" si="7"/>
        <v>0</v>
      </c>
      <c r="U21" s="486" t="b">
        <f>IF(E21=0,ISBLANK(I21),NOT(ISBLANK(I21)))</f>
        <v>1</v>
      </c>
      <c r="V21" s="407"/>
    </row>
    <row r="22" spans="1:22" ht="39.950000000000003" customHeight="1" thickBot="1" x14ac:dyDescent="0.25">
      <c r="A22" s="460"/>
      <c r="B22" s="330" t="s">
        <v>630</v>
      </c>
      <c r="C22" s="422" t="s">
        <v>630</v>
      </c>
      <c r="D22" s="372"/>
      <c r="E22" s="387"/>
      <c r="F22" s="370">
        <f>+D22+E22</f>
        <v>0</v>
      </c>
      <c r="G22" s="331" t="s">
        <v>750</v>
      </c>
      <c r="H22" s="518" t="s">
        <v>499</v>
      </c>
      <c r="I22" s="336"/>
      <c r="J22" s="391"/>
      <c r="K22" s="294">
        <f t="shared" si="2"/>
        <v>0</v>
      </c>
      <c r="L22" s="294" t="b">
        <f t="shared" si="0"/>
        <v>1</v>
      </c>
      <c r="M22" s="294" t="b">
        <f>ISBLANK(E22)</f>
        <v>1</v>
      </c>
      <c r="O22" s="489" t="b">
        <f>IF(E22&lt;&gt;0,IF(B22="Select an account",NOT(ISBLANK(B22)),ISBLANK(B22)))</f>
        <v>0</v>
      </c>
      <c r="P22" s="490" t="b">
        <f>IF(E22=0,IF(B22="R_Unrestricted",ISBLANK(B22),NOT(ISBLANK(B22))))</f>
        <v>0</v>
      </c>
      <c r="Q22" s="477" t="b">
        <f t="shared" si="4"/>
        <v>0</v>
      </c>
      <c r="R22" s="477" t="b">
        <f t="shared" si="5"/>
        <v>0</v>
      </c>
      <c r="S22" s="481" t="b">
        <f t="shared" si="6"/>
        <v>0</v>
      </c>
      <c r="T22" s="481" t="b">
        <f t="shared" si="7"/>
        <v>0</v>
      </c>
      <c r="U22" s="486" t="b">
        <f>IF(E22=0,ISBLANK(I22),NOT(ISBLANK(I22)))</f>
        <v>1</v>
      </c>
      <c r="V22" s="407"/>
    </row>
    <row r="23" spans="1:22" ht="39.950000000000003" customHeight="1" thickBot="1" x14ac:dyDescent="0.25">
      <c r="A23" s="440" t="s">
        <v>738</v>
      </c>
      <c r="B23" s="339"/>
      <c r="C23" s="339"/>
      <c r="D23" s="436" t="str">
        <f>IF(C17=0,"OK",IF(C17&lt;&gt;0,IF((SUM(D19:D22)=0),"Enter beginning balance","OK")))</f>
        <v>OK</v>
      </c>
      <c r="E23" s="436" t="str">
        <f>IF(C17=0,"OK",IF(C17&lt;&gt;0,IF((SUM(E19:E22)=C17),"OK","Check restatement amount")))</f>
        <v>OK</v>
      </c>
      <c r="F23" s="339"/>
      <c r="G23" s="339"/>
      <c r="H23" s="339"/>
      <c r="I23" s="339"/>
      <c r="J23" s="391"/>
      <c r="O23" s="489"/>
      <c r="P23" s="490"/>
      <c r="Q23" s="477"/>
      <c r="R23" s="477"/>
      <c r="S23" s="481"/>
      <c r="T23" s="481"/>
      <c r="U23" s="486"/>
      <c r="V23" s="407"/>
    </row>
    <row r="24" spans="1:22" ht="12.75" x14ac:dyDescent="0.2">
      <c r="A24" s="226"/>
      <c r="B24" s="333" t="s">
        <v>635</v>
      </c>
      <c r="C24" s="368"/>
      <c r="D24" s="369"/>
      <c r="E24" s="369"/>
      <c r="F24" s="369"/>
      <c r="G24" s="368"/>
      <c r="H24" s="520"/>
      <c r="I24" s="461"/>
      <c r="J24" s="393"/>
      <c r="O24" s="489"/>
      <c r="P24" s="489"/>
      <c r="Q24" s="477"/>
      <c r="R24" s="477"/>
      <c r="S24" s="481"/>
      <c r="T24" s="481"/>
      <c r="U24" s="486"/>
      <c r="V24" s="407"/>
    </row>
    <row r="25" spans="1:22" ht="12.75" x14ac:dyDescent="0.2">
      <c r="A25" s="226"/>
      <c r="B25" s="333" t="s">
        <v>42</v>
      </c>
      <c r="C25" s="365" t="s">
        <v>517</v>
      </c>
      <c r="D25" s="366"/>
      <c r="E25" s="366"/>
      <c r="F25" s="366"/>
      <c r="G25" s="335"/>
      <c r="H25" s="521"/>
      <c r="I25" s="461"/>
      <c r="J25" s="393"/>
      <c r="O25" s="489"/>
      <c r="P25" s="489"/>
      <c r="Q25" s="477"/>
      <c r="R25" s="477"/>
      <c r="S25" s="481"/>
      <c r="T25" s="481"/>
      <c r="U25" s="486"/>
      <c r="V25" s="407"/>
    </row>
    <row r="26" spans="1:22" ht="39.950000000000003" customHeight="1" x14ac:dyDescent="0.2">
      <c r="A26" s="460" t="s">
        <v>489</v>
      </c>
      <c r="B26" s="449" t="s">
        <v>483</v>
      </c>
      <c r="C26" s="423" t="str">
        <f>VLOOKUP(B26,Notes!$E$3:$F$26,2,FALSE)</f>
        <v>OSC Use only</v>
      </c>
      <c r="D26" s="373"/>
      <c r="E26" s="388"/>
      <c r="F26" s="371">
        <f>+D26+E26</f>
        <v>0</v>
      </c>
      <c r="G26" s="337" t="s">
        <v>750</v>
      </c>
      <c r="H26" s="518" t="s">
        <v>499</v>
      </c>
      <c r="I26" s="336"/>
      <c r="J26" s="391"/>
      <c r="K26" s="294">
        <f t="shared" ref="K26:K28" si="8">COUNTIF(L26:M26,FALSE)</f>
        <v>0</v>
      </c>
      <c r="L26" s="424" t="b">
        <f t="shared" ref="L26:M28" si="9">ISBLANK(D26)</f>
        <v>1</v>
      </c>
      <c r="M26" s="424" t="b">
        <f t="shared" si="9"/>
        <v>1</v>
      </c>
      <c r="N26" s="424"/>
      <c r="O26" s="489" t="b">
        <f>IF(E26&lt;&gt;0,IF(B26="Select an account",NOT(ISBLANK(B26)),ISBLANK(B26)))</f>
        <v>0</v>
      </c>
      <c r="P26" s="490" t="b">
        <f t="shared" ref="P26:P28" si="10">IF(E26=0,IF(B26="Select an account",ISBLANK(B26),NOT(ISBLANK(B26))))</f>
        <v>0</v>
      </c>
      <c r="Q26" s="477" t="b">
        <f t="shared" ref="Q26:Q28" si="11">IF(E26&lt;&gt;0,IF(G26="Select Category",NOT(ISBLANK(G26)),ISBLANK(G26)))</f>
        <v>0</v>
      </c>
      <c r="R26" s="477" t="b">
        <f t="shared" ref="R26:R28" si="12">IF(E26=0,IF(G26="Select Category",ISBLANK(G26),NOT(ISBLANK(G26))))</f>
        <v>0</v>
      </c>
      <c r="S26" s="482" t="b">
        <f t="shared" ref="S26:S28" si="13">IF(E26&lt;&gt;0,IF(H26="Select Reason",NOT(ISBLANK(H26)),ISBLANK(H26)))</f>
        <v>0</v>
      </c>
      <c r="T26" s="482" t="b">
        <f t="shared" ref="T26:T28" si="14">IF(E26=0,IF(H26="Select Reason",ISBLANK(H26),NOT(ISBLANK(H26))))</f>
        <v>0</v>
      </c>
      <c r="U26" s="486" t="b">
        <f>IF(E26=0,ISBLANK(I26),NOT(ISBLANK(I26)))</f>
        <v>1</v>
      </c>
      <c r="V26" s="407"/>
    </row>
    <row r="27" spans="1:22" ht="39.950000000000003" customHeight="1" x14ac:dyDescent="0.2">
      <c r="A27" s="460"/>
      <c r="B27" s="449" t="s">
        <v>483</v>
      </c>
      <c r="C27" s="423" t="str">
        <f>VLOOKUP(B27,Notes!$E$3:$F$26,2,FALSE)</f>
        <v>OSC Use only</v>
      </c>
      <c r="D27" s="373"/>
      <c r="E27" s="388"/>
      <c r="F27" s="371">
        <f>+D27+E27</f>
        <v>0</v>
      </c>
      <c r="G27" s="337" t="s">
        <v>750</v>
      </c>
      <c r="H27" s="518" t="s">
        <v>499</v>
      </c>
      <c r="I27" s="336"/>
      <c r="J27" s="391"/>
      <c r="K27" s="294">
        <f t="shared" si="8"/>
        <v>0</v>
      </c>
      <c r="L27" s="424" t="b">
        <f t="shared" si="9"/>
        <v>1</v>
      </c>
      <c r="M27" s="424" t="b">
        <f t="shared" si="9"/>
        <v>1</v>
      </c>
      <c r="N27" s="424"/>
      <c r="O27" s="489" t="b">
        <f>IF(E27&lt;&gt;0,IF(B27="Select an account",NOT(ISBLANK(B27)),ISBLANK(B27)))</f>
        <v>0</v>
      </c>
      <c r="P27" s="490" t="b">
        <f t="shared" si="10"/>
        <v>0</v>
      </c>
      <c r="Q27" s="477" t="b">
        <f t="shared" si="11"/>
        <v>0</v>
      </c>
      <c r="R27" s="477" t="b">
        <f t="shared" si="12"/>
        <v>0</v>
      </c>
      <c r="S27" s="482" t="b">
        <f t="shared" si="13"/>
        <v>0</v>
      </c>
      <c r="T27" s="482" t="b">
        <f t="shared" si="14"/>
        <v>0</v>
      </c>
      <c r="U27" s="486" t="b">
        <f>IF(E27=0,ISBLANK(I27),NOT(ISBLANK(I27)))</f>
        <v>1</v>
      </c>
      <c r="V27" s="407"/>
    </row>
    <row r="28" spans="1:22" ht="39.950000000000003" customHeight="1" x14ac:dyDescent="0.2">
      <c r="A28" s="460"/>
      <c r="B28" s="449" t="s">
        <v>483</v>
      </c>
      <c r="C28" s="423" t="str">
        <f>VLOOKUP(B28,Notes!$E$3:$F$26,2,FALSE)</f>
        <v>OSC Use only</v>
      </c>
      <c r="D28" s="373"/>
      <c r="E28" s="388"/>
      <c r="F28" s="371">
        <f>+D28+E28</f>
        <v>0</v>
      </c>
      <c r="G28" s="337" t="s">
        <v>750</v>
      </c>
      <c r="H28" s="518" t="s">
        <v>499</v>
      </c>
      <c r="I28" s="431"/>
      <c r="J28" s="391"/>
      <c r="K28" s="294">
        <f t="shared" si="8"/>
        <v>0</v>
      </c>
      <c r="L28" s="424" t="b">
        <f t="shared" si="9"/>
        <v>1</v>
      </c>
      <c r="M28" s="424" t="b">
        <f t="shared" si="9"/>
        <v>1</v>
      </c>
      <c r="N28" s="424"/>
      <c r="O28" s="489" t="b">
        <f>IF(E28&lt;&gt;0,IF(B28="Select an account",NOT(ISBLANK(B28)),ISBLANK(B28)))</f>
        <v>0</v>
      </c>
      <c r="P28" s="490" t="b">
        <f t="shared" si="10"/>
        <v>0</v>
      </c>
      <c r="Q28" s="477" t="b">
        <f t="shared" si="11"/>
        <v>0</v>
      </c>
      <c r="R28" s="477" t="b">
        <f t="shared" si="12"/>
        <v>0</v>
      </c>
      <c r="S28" s="482" t="b">
        <f t="shared" si="13"/>
        <v>0</v>
      </c>
      <c r="T28" s="482" t="b">
        <f t="shared" si="14"/>
        <v>0</v>
      </c>
      <c r="U28" s="486" t="b">
        <f>IF(E28=0,ISBLANK(I28),NOT(ISBLANK(I28)))</f>
        <v>1</v>
      </c>
      <c r="V28" s="407"/>
    </row>
    <row r="29" spans="1:22" ht="12.75" x14ac:dyDescent="0.2">
      <c r="B29" s="333" t="s">
        <v>486</v>
      </c>
      <c r="C29" s="365" t="s">
        <v>518</v>
      </c>
      <c r="D29" s="366"/>
      <c r="E29" s="366"/>
      <c r="F29" s="366"/>
      <c r="G29" s="335"/>
      <c r="H29" s="339"/>
      <c r="I29" s="332"/>
      <c r="J29" s="394"/>
      <c r="O29" s="489"/>
      <c r="P29" s="489"/>
      <c r="Q29" s="477"/>
      <c r="R29" s="477"/>
      <c r="S29" s="481"/>
      <c r="T29" s="481"/>
      <c r="U29" s="486"/>
      <c r="V29" s="407"/>
    </row>
    <row r="30" spans="1:22" ht="39.950000000000003" customHeight="1" x14ac:dyDescent="0.2">
      <c r="A30" s="460" t="s">
        <v>490</v>
      </c>
      <c r="B30" s="449" t="s">
        <v>483</v>
      </c>
      <c r="C30" s="423" t="str">
        <f>VLOOKUP(B30,Notes!$E$28:$F$836,2,FALSE)</f>
        <v>OSC Use only</v>
      </c>
      <c r="D30" s="373"/>
      <c r="E30" s="388"/>
      <c r="F30" s="371">
        <f>+D30+E30</f>
        <v>0</v>
      </c>
      <c r="G30" s="337" t="s">
        <v>750</v>
      </c>
      <c r="H30" s="518" t="s">
        <v>499</v>
      </c>
      <c r="I30" s="336"/>
      <c r="J30" s="391"/>
      <c r="K30" s="294">
        <f t="shared" ref="K30:K32" si="15">COUNTIF(L30:M30,FALSE)</f>
        <v>0</v>
      </c>
      <c r="L30" s="424" t="b">
        <f t="shared" ref="L30:M32" si="16">ISBLANK(D30)</f>
        <v>1</v>
      </c>
      <c r="M30" s="424" t="b">
        <f t="shared" si="16"/>
        <v>1</v>
      </c>
      <c r="N30" s="424"/>
      <c r="O30" s="489" t="b">
        <f>IF(E30&lt;&gt;0,IF(B30="Select an account",NOT(ISBLANK(B30)),ISBLANK(B30)))</f>
        <v>0</v>
      </c>
      <c r="P30" s="490" t="b">
        <f t="shared" ref="P30:P32" si="17">IF(E30=0,IF(B30="Select an account",ISBLANK(B30),NOT(ISBLANK(B30))))</f>
        <v>0</v>
      </c>
      <c r="Q30" s="477" t="b">
        <f t="shared" ref="Q30:Q32" si="18">IF(E30&lt;&gt;0,IF(G30="Select Category",NOT(ISBLANK(G30)),ISBLANK(G30)))</f>
        <v>0</v>
      </c>
      <c r="R30" s="477" t="b">
        <f t="shared" ref="R30:R32" si="19">IF(E30=0,IF(G30="Select Category",ISBLANK(G30),NOT(ISBLANK(G30))))</f>
        <v>0</v>
      </c>
      <c r="S30" s="482" t="b">
        <f t="shared" ref="S30:S32" si="20">IF(E30&lt;&gt;0,IF(H30="Select Reason",NOT(ISBLANK(H30)),ISBLANK(H30)))</f>
        <v>0</v>
      </c>
      <c r="T30" s="481" t="b">
        <f t="shared" ref="T30:T32" si="21">IF(E30=0,IF(H30="Select Reason",ISBLANK(H30),NOT(ISBLANK(H30))))</f>
        <v>0</v>
      </c>
      <c r="U30" s="486" t="b">
        <f>IF(E30=0,ISBLANK(I30),NOT(ISBLANK(I30)))</f>
        <v>1</v>
      </c>
      <c r="V30" s="407"/>
    </row>
    <row r="31" spans="1:22" ht="39.950000000000003" customHeight="1" x14ac:dyDescent="0.2">
      <c r="A31" s="460"/>
      <c r="B31" s="449" t="s">
        <v>483</v>
      </c>
      <c r="C31" s="423" t="str">
        <f>VLOOKUP(B31,Notes!$E$28:$F$836,2,FALSE)</f>
        <v>OSC Use only</v>
      </c>
      <c r="D31" s="373"/>
      <c r="E31" s="388"/>
      <c r="F31" s="371">
        <f>+D31+E31</f>
        <v>0</v>
      </c>
      <c r="G31" s="337" t="s">
        <v>750</v>
      </c>
      <c r="H31" s="518" t="s">
        <v>499</v>
      </c>
      <c r="I31" s="431"/>
      <c r="J31" s="391"/>
      <c r="K31" s="294">
        <f t="shared" si="15"/>
        <v>0</v>
      </c>
      <c r="L31" s="424" t="b">
        <f t="shared" si="16"/>
        <v>1</v>
      </c>
      <c r="M31" s="424" t="b">
        <f t="shared" si="16"/>
        <v>1</v>
      </c>
      <c r="N31" s="424"/>
      <c r="O31" s="489" t="b">
        <f>IF(E31&lt;&gt;0,IF(B31="Select an account",NOT(ISBLANK(B31)),ISBLANK(B31)))</f>
        <v>0</v>
      </c>
      <c r="P31" s="490" t="b">
        <f t="shared" si="17"/>
        <v>0</v>
      </c>
      <c r="Q31" s="477" t="b">
        <f t="shared" si="18"/>
        <v>0</v>
      </c>
      <c r="R31" s="477" t="b">
        <f t="shared" si="19"/>
        <v>0</v>
      </c>
      <c r="S31" s="482" t="b">
        <f t="shared" si="20"/>
        <v>0</v>
      </c>
      <c r="T31" s="481" t="b">
        <f t="shared" si="21"/>
        <v>0</v>
      </c>
      <c r="U31" s="486" t="b">
        <f>IF(E31=0,ISBLANK(I31),NOT(ISBLANK(I31)))</f>
        <v>1</v>
      </c>
      <c r="V31" s="407"/>
    </row>
    <row r="32" spans="1:22" ht="39.950000000000003" customHeight="1" thickBot="1" x14ac:dyDescent="0.25">
      <c r="A32" s="460"/>
      <c r="B32" s="449" t="s">
        <v>483</v>
      </c>
      <c r="C32" s="423" t="str">
        <f>VLOOKUP(B32,Notes!$E$28:$F$836,2,FALSE)</f>
        <v>OSC Use only</v>
      </c>
      <c r="D32" s="373"/>
      <c r="E32" s="433"/>
      <c r="F32" s="371">
        <f>+D32+E32</f>
        <v>0</v>
      </c>
      <c r="G32" s="337" t="s">
        <v>750</v>
      </c>
      <c r="H32" s="518" t="s">
        <v>499</v>
      </c>
      <c r="I32" s="431"/>
      <c r="J32" s="391"/>
      <c r="K32" s="294">
        <f t="shared" si="15"/>
        <v>0</v>
      </c>
      <c r="L32" s="424" t="b">
        <f t="shared" si="16"/>
        <v>1</v>
      </c>
      <c r="M32" s="424" t="b">
        <f t="shared" si="16"/>
        <v>1</v>
      </c>
      <c r="N32" s="424"/>
      <c r="O32" s="489" t="b">
        <f>IF(E32&lt;&gt;0,IF(B32="Select an account",NOT(ISBLANK(B32)),ISBLANK(B32)))</f>
        <v>0</v>
      </c>
      <c r="P32" s="490" t="b">
        <f t="shared" si="17"/>
        <v>0</v>
      </c>
      <c r="Q32" s="477" t="b">
        <f t="shared" si="18"/>
        <v>0</v>
      </c>
      <c r="R32" s="477" t="b">
        <f t="shared" si="19"/>
        <v>0</v>
      </c>
      <c r="S32" s="482" t="b">
        <f t="shared" si="20"/>
        <v>0</v>
      </c>
      <c r="T32" s="481" t="b">
        <f t="shared" si="21"/>
        <v>0</v>
      </c>
      <c r="U32" s="486" t="b">
        <f>IF(E32=0,ISBLANK(I32),NOT(ISBLANK(I32)))</f>
        <v>1</v>
      </c>
      <c r="V32" s="407"/>
    </row>
    <row r="33" spans="1:22" ht="18.75" thickBot="1" x14ac:dyDescent="0.25">
      <c r="B33" s="500" t="s">
        <v>729</v>
      </c>
      <c r="C33" s="500"/>
      <c r="D33" s="501"/>
      <c r="E33" s="442">
        <f>SUM(E26:E28)-SUM(E30:E32)</f>
        <v>0</v>
      </c>
      <c r="F33" s="499" t="str">
        <f>IF(E33&lt;&gt;0,"Ensure Balance Sheet Change Equals Operating Statement Change","")</f>
        <v/>
      </c>
      <c r="G33" s="499"/>
      <c r="H33" s="399"/>
      <c r="I33" s="399"/>
      <c r="J33" s="391"/>
      <c r="L33" s="424"/>
      <c r="M33" s="424"/>
      <c r="N33" s="424"/>
      <c r="O33" s="491"/>
      <c r="P33" s="491"/>
      <c r="Q33" s="478"/>
      <c r="R33" s="478"/>
      <c r="S33" s="482"/>
      <c r="T33" s="482"/>
      <c r="U33" s="486"/>
      <c r="V33" s="407"/>
    </row>
    <row r="34" spans="1:22" ht="12.75" x14ac:dyDescent="0.2">
      <c r="B34" s="333" t="s">
        <v>290</v>
      </c>
      <c r="C34" s="365" t="s">
        <v>520</v>
      </c>
      <c r="D34" s="366"/>
      <c r="E34" s="434"/>
      <c r="F34" s="366"/>
      <c r="G34" s="335"/>
      <c r="H34" s="339"/>
      <c r="I34" s="334"/>
      <c r="J34" s="393"/>
      <c r="O34" s="489"/>
      <c r="P34" s="489"/>
      <c r="Q34" s="477"/>
      <c r="R34" s="477"/>
      <c r="S34" s="481"/>
      <c r="T34" s="481"/>
      <c r="U34" s="486"/>
      <c r="V34" s="407"/>
    </row>
    <row r="35" spans="1:22" ht="39.950000000000003" customHeight="1" x14ac:dyDescent="0.2">
      <c r="A35" s="460" t="s">
        <v>491</v>
      </c>
      <c r="B35" s="449" t="s">
        <v>483</v>
      </c>
      <c r="C35" s="423" t="str">
        <f>VLOOKUP(B35,Notes!$E$58:$F$67,2,FALSE)</f>
        <v>OSC Use only</v>
      </c>
      <c r="D35" s="373"/>
      <c r="E35" s="388"/>
      <c r="F35" s="371">
        <f>+D35+E35</f>
        <v>0</v>
      </c>
      <c r="G35" s="337" t="s">
        <v>750</v>
      </c>
      <c r="H35" s="518" t="s">
        <v>499</v>
      </c>
      <c r="I35" s="336"/>
      <c r="J35" s="391"/>
      <c r="K35" s="294">
        <f t="shared" ref="K35:K37" si="22">COUNTIF(L35:M35,FALSE)</f>
        <v>0</v>
      </c>
      <c r="L35" s="424" t="b">
        <f>ISBLANK(D35)</f>
        <v>1</v>
      </c>
      <c r="M35" s="424" t="b">
        <f>ISBLANK(E35)</f>
        <v>1</v>
      </c>
      <c r="N35" s="424"/>
      <c r="O35" s="489" t="b">
        <f>IF(E35&lt;&gt;0,IF(B35="Select an account",NOT(ISBLANK(B35)),ISBLANK(B35)))</f>
        <v>0</v>
      </c>
      <c r="P35" s="490" t="b">
        <f t="shared" ref="P35:P37" si="23">IF(E35=0,IF(B35="Select an account",ISBLANK(B35),NOT(ISBLANK(B35))))</f>
        <v>0</v>
      </c>
      <c r="Q35" s="477" t="b">
        <f t="shared" ref="Q35:Q37" si="24">IF(E35&lt;&gt;0,IF(G35="Select Category",NOT(ISBLANK(G35)),ISBLANK(G35)))</f>
        <v>0</v>
      </c>
      <c r="R35" s="477" t="b">
        <f t="shared" ref="R35:R37" si="25">IF(E35=0,IF(G35="Select Category",ISBLANK(G35),NOT(ISBLANK(G35))))</f>
        <v>0</v>
      </c>
      <c r="S35" s="482" t="b">
        <f t="shared" ref="S35:S37" si="26">IF(E35&lt;&gt;0,IF(H35="Select Reason",NOT(ISBLANK(H35)),ISBLANK(H35)))</f>
        <v>0</v>
      </c>
      <c r="T35" s="481" t="b">
        <f t="shared" ref="T35:T37" si="27">IF(E35=0,IF(H35="Select Reason",ISBLANK(H35),NOT(ISBLANK(H35))))</f>
        <v>0</v>
      </c>
      <c r="U35" s="486" t="b">
        <f>IF(E35=0,ISBLANK(I35),NOT(ISBLANK(I35)))</f>
        <v>1</v>
      </c>
      <c r="V35" s="407"/>
    </row>
    <row r="36" spans="1:22" ht="39.950000000000003" customHeight="1" x14ac:dyDescent="0.2">
      <c r="A36" s="460"/>
      <c r="B36" s="449" t="s">
        <v>483</v>
      </c>
      <c r="C36" s="423" t="str">
        <f>VLOOKUP(B36,Notes!$E$58:$F$67,2,FALSE)</f>
        <v>OSC Use only</v>
      </c>
      <c r="D36" s="373"/>
      <c r="E36" s="388"/>
      <c r="F36" s="371">
        <f>+D36+E36</f>
        <v>0</v>
      </c>
      <c r="G36" s="337" t="s">
        <v>750</v>
      </c>
      <c r="H36" s="518" t="s">
        <v>499</v>
      </c>
      <c r="I36" s="336"/>
      <c r="J36" s="391"/>
      <c r="K36" s="294">
        <f t="shared" si="22"/>
        <v>0</v>
      </c>
      <c r="L36" s="424" t="b">
        <f t="shared" ref="L36:M37" si="28">ISBLANK(D36)</f>
        <v>1</v>
      </c>
      <c r="M36" s="424" t="b">
        <f>ISBLANK(E36)</f>
        <v>1</v>
      </c>
      <c r="N36" s="424"/>
      <c r="O36" s="489" t="b">
        <f>IF(E36&lt;&gt;0,IF(B36="Select an account",NOT(ISBLANK(B36)),ISBLANK(B36)))</f>
        <v>0</v>
      </c>
      <c r="P36" s="490" t="b">
        <f>IF(E36=0,IF(B36="Select an account",ISBLANK(B36),NOT(ISBLANK(B36))))</f>
        <v>0</v>
      </c>
      <c r="Q36" s="477" t="b">
        <f t="shared" si="24"/>
        <v>0</v>
      </c>
      <c r="R36" s="477" t="b">
        <f t="shared" si="25"/>
        <v>0</v>
      </c>
      <c r="S36" s="482" t="b">
        <f t="shared" si="26"/>
        <v>0</v>
      </c>
      <c r="T36" s="481" t="b">
        <f t="shared" si="27"/>
        <v>0</v>
      </c>
      <c r="U36" s="486" t="b">
        <f>IF(E36=0,ISBLANK(I36),NOT(ISBLANK(I36)))</f>
        <v>1</v>
      </c>
      <c r="V36" s="407"/>
    </row>
    <row r="37" spans="1:22" ht="39.950000000000003" customHeight="1" x14ac:dyDescent="0.2">
      <c r="A37" s="460"/>
      <c r="B37" s="449" t="s">
        <v>483</v>
      </c>
      <c r="C37" s="423" t="str">
        <f>VLOOKUP(B37,Notes!$E$58:$F$67,2,FALSE)</f>
        <v>OSC Use only</v>
      </c>
      <c r="D37" s="373"/>
      <c r="E37" s="388"/>
      <c r="F37" s="371">
        <f>+D37+E37</f>
        <v>0</v>
      </c>
      <c r="G37" s="337" t="s">
        <v>750</v>
      </c>
      <c r="H37" s="518" t="s">
        <v>499</v>
      </c>
      <c r="I37" s="336"/>
      <c r="J37" s="391"/>
      <c r="K37" s="294">
        <f t="shared" si="22"/>
        <v>0</v>
      </c>
      <c r="L37" s="424" t="b">
        <f t="shared" si="28"/>
        <v>1</v>
      </c>
      <c r="M37" s="424" t="b">
        <f t="shared" si="28"/>
        <v>1</v>
      </c>
      <c r="N37" s="424"/>
      <c r="O37" s="489" t="b">
        <f>IF(E37&lt;&gt;0,IF(B37="Select an account",NOT(ISBLANK(B37)),ISBLANK(B37)))</f>
        <v>0</v>
      </c>
      <c r="P37" s="490" t="b">
        <f t="shared" si="23"/>
        <v>0</v>
      </c>
      <c r="Q37" s="477" t="b">
        <f t="shared" si="24"/>
        <v>0</v>
      </c>
      <c r="R37" s="477" t="b">
        <f t="shared" si="25"/>
        <v>0</v>
      </c>
      <c r="S37" s="482" t="b">
        <f t="shared" si="26"/>
        <v>0</v>
      </c>
      <c r="T37" s="481" t="b">
        <f t="shared" si="27"/>
        <v>0</v>
      </c>
      <c r="U37" s="486" t="b">
        <f>IF(E37=0,ISBLANK(I37),NOT(ISBLANK(I37)))</f>
        <v>1</v>
      </c>
      <c r="V37" s="407"/>
    </row>
    <row r="38" spans="1:22" ht="12.75" x14ac:dyDescent="0.2">
      <c r="B38" s="333" t="s">
        <v>295</v>
      </c>
      <c r="C38" s="365" t="s">
        <v>519</v>
      </c>
      <c r="D38" s="366"/>
      <c r="E38" s="366"/>
      <c r="F38" s="366"/>
      <c r="G38" s="335"/>
      <c r="H38" s="339"/>
      <c r="I38" s="334"/>
      <c r="J38" s="393"/>
      <c r="O38" s="489"/>
      <c r="P38" s="489"/>
      <c r="Q38" s="477"/>
      <c r="R38" s="477"/>
      <c r="S38" s="481"/>
      <c r="T38" s="481"/>
      <c r="U38" s="486"/>
      <c r="V38" s="407"/>
    </row>
    <row r="39" spans="1:22" ht="39.950000000000003" customHeight="1" x14ac:dyDescent="0.2">
      <c r="A39" s="460" t="s">
        <v>492</v>
      </c>
      <c r="B39" s="449" t="s">
        <v>483</v>
      </c>
      <c r="C39" s="423" t="str">
        <f>VLOOKUP(B39,Notes!$E$73:$F$77,2,FALSE)</f>
        <v>OSC Use only</v>
      </c>
      <c r="D39" s="373"/>
      <c r="E39" s="388"/>
      <c r="F39" s="371">
        <f>+D39+E39</f>
        <v>0</v>
      </c>
      <c r="G39" s="337" t="s">
        <v>750</v>
      </c>
      <c r="H39" s="518" t="s">
        <v>499</v>
      </c>
      <c r="I39" s="336"/>
      <c r="J39" s="391"/>
      <c r="K39" s="294">
        <f t="shared" ref="K39:K41" si="29">COUNTIF(L39:M39,FALSE)</f>
        <v>0</v>
      </c>
      <c r="L39" s="424" t="b">
        <f t="shared" ref="L39:M41" si="30">ISBLANK(D39)</f>
        <v>1</v>
      </c>
      <c r="M39" s="424" t="b">
        <f t="shared" si="30"/>
        <v>1</v>
      </c>
      <c r="N39" s="424"/>
      <c r="O39" s="489" t="b">
        <f>IF(E39&lt;&gt;0,IF(B39="Select an account",NOT(ISBLANK(B39)),ISBLANK(B39)))</f>
        <v>0</v>
      </c>
      <c r="P39" s="490" t="b">
        <f t="shared" ref="P39:P41" si="31">IF(E39=0,IF(B39="Select an account",ISBLANK(B39),NOT(ISBLANK(B39))))</f>
        <v>0</v>
      </c>
      <c r="Q39" s="477" t="b">
        <f t="shared" ref="Q39:Q43" si="32">IF(E39&lt;&gt;0,IF(G39="Select Category",NOT(ISBLANK(G39)),ISBLANK(G39)))</f>
        <v>0</v>
      </c>
      <c r="R39" s="477" t="b">
        <f t="shared" ref="R39:R43" si="33">IF(E39=0,IF(G39="Select Category",ISBLANK(G39),NOT(ISBLANK(G39))))</f>
        <v>0</v>
      </c>
      <c r="S39" s="482" t="b">
        <f t="shared" ref="S39:S43" si="34">IF(E39&lt;&gt;0,IF(H39="Select Reason",NOT(ISBLANK(H39)),ISBLANK(H39)))</f>
        <v>0</v>
      </c>
      <c r="T39" s="481" t="b">
        <f t="shared" ref="T39:T43" si="35">IF(E39=0,IF(H39="Select Reason",ISBLANK(H39),NOT(ISBLANK(H39))))</f>
        <v>0</v>
      </c>
      <c r="U39" s="486" t="b">
        <f>IF(E39=0,ISBLANK(I39),NOT(ISBLANK(I39)))</f>
        <v>1</v>
      </c>
      <c r="V39" s="407"/>
    </row>
    <row r="40" spans="1:22" ht="39.950000000000003" customHeight="1" x14ac:dyDescent="0.2">
      <c r="A40" s="460"/>
      <c r="B40" s="449" t="s">
        <v>483</v>
      </c>
      <c r="C40" s="423" t="str">
        <f>VLOOKUP(B40,Notes!$E$73:$F$77,2,FALSE)</f>
        <v>OSC Use only</v>
      </c>
      <c r="D40" s="373"/>
      <c r="E40" s="388"/>
      <c r="F40" s="371">
        <f>+D40+E40</f>
        <v>0</v>
      </c>
      <c r="G40" s="337" t="s">
        <v>750</v>
      </c>
      <c r="H40" s="518" t="s">
        <v>499</v>
      </c>
      <c r="I40" s="336"/>
      <c r="J40" s="391"/>
      <c r="K40" s="294">
        <f t="shared" si="29"/>
        <v>0</v>
      </c>
      <c r="L40" s="424" t="b">
        <f>ISBLANK(D40)</f>
        <v>1</v>
      </c>
      <c r="M40" s="424" t="b">
        <f t="shared" si="30"/>
        <v>1</v>
      </c>
      <c r="N40" s="424"/>
      <c r="O40" s="489" t="b">
        <f>IF(E40&lt;&gt;0,IF(B40="Select an account",NOT(ISBLANK(B40)),ISBLANK(B40)))</f>
        <v>0</v>
      </c>
      <c r="P40" s="490" t="b">
        <f t="shared" si="31"/>
        <v>0</v>
      </c>
      <c r="Q40" s="477" t="b">
        <f>IF(E40&lt;&gt;0,IF(G40="Select Category",NOT(ISBLANK(G40)),ISBLANK(G40)))</f>
        <v>0</v>
      </c>
      <c r="R40" s="477" t="b">
        <f t="shared" si="33"/>
        <v>0</v>
      </c>
      <c r="S40" s="482" t="b">
        <f t="shared" si="34"/>
        <v>0</v>
      </c>
      <c r="T40" s="481" t="b">
        <f t="shared" si="35"/>
        <v>0</v>
      </c>
      <c r="U40" s="486" t="b">
        <f>IF(E40=0,ISBLANK(I40),NOT(ISBLANK(I40)))</f>
        <v>1</v>
      </c>
      <c r="V40" s="407"/>
    </row>
    <row r="41" spans="1:22" ht="39.950000000000003" customHeight="1" x14ac:dyDescent="0.2">
      <c r="A41" s="460"/>
      <c r="B41" s="450" t="s">
        <v>483</v>
      </c>
      <c r="C41" s="446" t="str">
        <f>VLOOKUP(B41,Notes!$E$73:$F$77,2,FALSE)</f>
        <v>OSC Use only</v>
      </c>
      <c r="D41" s="447"/>
      <c r="E41" s="433"/>
      <c r="F41" s="448">
        <f>+D41+E41</f>
        <v>0</v>
      </c>
      <c r="G41" s="337" t="s">
        <v>750</v>
      </c>
      <c r="H41" s="518" t="s">
        <v>499</v>
      </c>
      <c r="I41" s="336"/>
      <c r="J41" s="391"/>
      <c r="K41" s="294">
        <f t="shared" si="29"/>
        <v>0</v>
      </c>
      <c r="L41" s="424" t="b">
        <f t="shared" si="30"/>
        <v>1</v>
      </c>
      <c r="M41" s="424" t="b">
        <f t="shared" si="30"/>
        <v>1</v>
      </c>
      <c r="N41" s="424"/>
      <c r="O41" s="489" t="b">
        <f>IF(E41&lt;&gt;0,IF(B41="Select an account",NOT(ISBLANK(B41)),ISBLANK(B41)))</f>
        <v>0</v>
      </c>
      <c r="P41" s="490" t="b">
        <f t="shared" si="31"/>
        <v>0</v>
      </c>
      <c r="Q41" s="477" t="b">
        <f t="shared" si="32"/>
        <v>0</v>
      </c>
      <c r="R41" s="477" t="b">
        <f t="shared" si="33"/>
        <v>0</v>
      </c>
      <c r="S41" s="482" t="b">
        <f t="shared" si="34"/>
        <v>0</v>
      </c>
      <c r="T41" s="481" t="b">
        <f t="shared" si="35"/>
        <v>0</v>
      </c>
      <c r="U41" s="486" t="b">
        <f>IF(E41=0,ISBLANK(I41),NOT(ISBLANK(I41)))</f>
        <v>1</v>
      </c>
      <c r="V41" s="407"/>
    </row>
    <row r="42" spans="1:22" ht="13.5" customHeight="1" x14ac:dyDescent="0.2">
      <c r="A42" s="393"/>
      <c r="B42" s="333" t="s">
        <v>746</v>
      </c>
      <c r="C42" s="365" t="s">
        <v>745</v>
      </c>
      <c r="D42" s="366"/>
      <c r="E42" s="333"/>
      <c r="F42" s="366"/>
      <c r="G42" s="335"/>
      <c r="H42" s="339"/>
      <c r="I42" s="334"/>
      <c r="J42" s="391"/>
      <c r="L42" s="424"/>
      <c r="M42" s="424"/>
      <c r="N42" s="424"/>
      <c r="O42" s="489"/>
      <c r="P42" s="489"/>
      <c r="Q42" s="477"/>
      <c r="R42" s="477"/>
      <c r="S42" s="482"/>
      <c r="T42" s="482"/>
      <c r="U42" s="486"/>
      <c r="V42" s="407"/>
    </row>
    <row r="43" spans="1:22" ht="39.950000000000003" customHeight="1" thickBot="1" x14ac:dyDescent="0.25">
      <c r="A43" s="444" t="s">
        <v>742</v>
      </c>
      <c r="B43" s="330" t="s">
        <v>744</v>
      </c>
      <c r="C43" s="423" t="s">
        <v>744</v>
      </c>
      <c r="D43" s="373"/>
      <c r="E43" s="388"/>
      <c r="F43" s="448">
        <f>+D43+E43</f>
        <v>0</v>
      </c>
      <c r="G43" s="337" t="s">
        <v>750</v>
      </c>
      <c r="H43" s="518" t="s">
        <v>499</v>
      </c>
      <c r="I43" s="336"/>
      <c r="J43" s="391"/>
      <c r="K43" s="294">
        <f t="shared" ref="K43" si="36">COUNTIF(L43:M43,FALSE)</f>
        <v>0</v>
      </c>
      <c r="L43" s="294" t="b">
        <f>ISBLANK(D43)</f>
        <v>1</v>
      </c>
      <c r="M43" s="294" t="b">
        <f t="shared" ref="M43" si="37">ISBLANK(E43)</f>
        <v>1</v>
      </c>
      <c r="N43" s="424"/>
      <c r="O43" s="502" t="str">
        <f>IF(E43&lt;&gt;0,"FALSE","TRUE")</f>
        <v>TRUE</v>
      </c>
      <c r="P43" s="502" t="str">
        <f>IF(E43=0,"FALSE","TRUE")</f>
        <v>FALSE</v>
      </c>
      <c r="Q43" s="495" t="b">
        <f t="shared" si="32"/>
        <v>0</v>
      </c>
      <c r="R43" s="495" t="b">
        <f t="shared" si="33"/>
        <v>0</v>
      </c>
      <c r="S43" s="496" t="b">
        <f>IF(E43&lt;&gt;0,IF(H43="Select Reason",NOT(ISBLANK(H43)),ISBLANK(H43)))</f>
        <v>0</v>
      </c>
      <c r="T43" s="497" t="b">
        <f>IF(E43=0,IF(H43="Select Reason",ISBLANK(H43),NOT(ISBLANK(H43))))</f>
        <v>0</v>
      </c>
      <c r="U43" s="486" t="b">
        <f>IF(E43=0,ISBLANK(I43),NOT(ISBLANK(I43)))</f>
        <v>1</v>
      </c>
      <c r="V43" s="407"/>
    </row>
    <row r="44" spans="1:22" ht="18.75" thickBot="1" x14ac:dyDescent="0.25">
      <c r="A44" s="393"/>
      <c r="B44" s="500" t="s">
        <v>730</v>
      </c>
      <c r="C44" s="500"/>
      <c r="D44" s="501"/>
      <c r="E44" s="442">
        <f>(SUM(E35:E37)+E43)-SUM(E39:E41)</f>
        <v>0</v>
      </c>
      <c r="F44" s="499" t="str">
        <f>IF(E44&lt;&gt;0,"Ensure Operating Statement Change Equals Balance Sheet Change.","")</f>
        <v/>
      </c>
      <c r="G44" s="499"/>
      <c r="H44" s="400"/>
      <c r="I44" s="498"/>
      <c r="J44" s="391"/>
      <c r="L44" s="424"/>
      <c r="M44" s="424"/>
      <c r="N44" s="424"/>
      <c r="O44" s="491"/>
      <c r="P44" s="491"/>
      <c r="Q44" s="478"/>
      <c r="R44" s="478"/>
      <c r="S44" s="482"/>
      <c r="T44" s="482"/>
      <c r="U44" s="486"/>
      <c r="V44" s="407"/>
    </row>
    <row r="45" spans="1:22" ht="16.5" thickBot="1" x14ac:dyDescent="0.25">
      <c r="B45" s="464" t="s">
        <v>731</v>
      </c>
      <c r="C45" s="465"/>
      <c r="D45" s="466"/>
      <c r="E45" s="443">
        <f>IF((E33-E44=0),F49,ABS(E33-E44))</f>
        <v>0</v>
      </c>
      <c r="F45" s="467"/>
      <c r="G45" s="468"/>
      <c r="H45" s="469"/>
      <c r="I45" s="435"/>
      <c r="J45" s="393"/>
      <c r="O45" s="489"/>
      <c r="P45" s="489"/>
      <c r="Q45" s="477"/>
      <c r="R45" s="477"/>
      <c r="S45" s="481"/>
      <c r="T45" s="481"/>
      <c r="U45" s="486"/>
      <c r="V45" s="407"/>
    </row>
    <row r="46" spans="1:22" s="317" customFormat="1" ht="66" customHeight="1" thickBot="1" x14ac:dyDescent="0.25">
      <c r="A46" s="440" t="s">
        <v>738</v>
      </c>
      <c r="B46" s="439" t="str">
        <f>IF(C17=0,"OK",IF(P47=0,"OK","Choose or Remove 'select an account'"))</f>
        <v>OK</v>
      </c>
      <c r="C46" s="325"/>
      <c r="D46" s="436" t="str">
        <f>IF(C17=0,"OK",IF(SUM(D19:D22)&lt;&gt;0,IF(M47=1,"ERROR - Check the beginning balance of row B, C, D, E or F","OK")))</f>
        <v>OK</v>
      </c>
      <c r="E46" s="437" t="str">
        <f>IF(C17=0,"OK",IF(E48="OK","OK", "ERROR - Check sign or amount at row B, C, D, E or F for Balance Sheet Change or Operating Statement Change"))</f>
        <v>OK</v>
      </c>
      <c r="F46" s="325"/>
      <c r="G46" s="437" t="str">
        <f>IF(R47=0,"OK","Select a restatement category at an appropriate line, or Remove a restatement category at the incorrect line.")</f>
        <v>OK</v>
      </c>
      <c r="H46" s="437" t="str">
        <f>IF(T47=0,"OK","Select a restatement reason at an appropriate line, or Remove a restatement reason at the incorrect line.")</f>
        <v>OK</v>
      </c>
      <c r="I46" s="438" t="str">
        <f>IF(U46=0,"OK","Provide or Remove explanation at column I")</f>
        <v>OK</v>
      </c>
      <c r="L46" s="425">
        <f>COUNTIF(L19:L43,FALSE)</f>
        <v>0</v>
      </c>
      <c r="M46" s="425">
        <f>COUNTIF(M19:M43,FALSE)</f>
        <v>0</v>
      </c>
      <c r="N46" s="425"/>
      <c r="O46" s="492">
        <f>COUNTIF(O19:O43,TRUE)</f>
        <v>0</v>
      </c>
      <c r="P46" s="492">
        <f>COUNTIF(P19:P43,TRUE)</f>
        <v>0</v>
      </c>
      <c r="Q46" s="479">
        <f>COUNTIF(Q19:Q43,TRUE)</f>
        <v>0</v>
      </c>
      <c r="R46" s="479">
        <f>COUNTIF(R19:R43,TRUE)</f>
        <v>0</v>
      </c>
      <c r="S46" s="483">
        <f>COUNTIF(S19:S43,TRUE)</f>
        <v>0</v>
      </c>
      <c r="T46" s="483">
        <f>COUNTIF(T19:T43,TRUE)</f>
        <v>0</v>
      </c>
      <c r="U46" s="487">
        <f>COUNTIF(U19:U43,FALSE)</f>
        <v>0</v>
      </c>
      <c r="V46" s="407"/>
    </row>
    <row r="47" spans="1:22" ht="60" customHeight="1" thickBot="1" x14ac:dyDescent="0.25">
      <c r="A47" s="440" t="s">
        <v>738</v>
      </c>
      <c r="B47" s="441" t="s">
        <v>735</v>
      </c>
      <c r="E47" s="438" t="str">
        <f>IF(F49=C17,"OK","ERROR - check restatement amount. The difference is "&amp;TEXT(E49,"$0,000.00."))</f>
        <v>OK</v>
      </c>
      <c r="M47" s="294">
        <f>IF(M46-L46=0,0,1)</f>
        <v>0</v>
      </c>
      <c r="O47" s="489"/>
      <c r="P47" s="489">
        <f>IF(P46-O46=0,0,1)</f>
        <v>0</v>
      </c>
      <c r="Q47" s="477"/>
      <c r="R47" s="477">
        <f>IF(R46-Q46=0,0,1)</f>
        <v>0</v>
      </c>
      <c r="S47" s="481"/>
      <c r="T47" s="481">
        <f>IF(T46-S46=0,0,1)</f>
        <v>0</v>
      </c>
      <c r="U47" s="484"/>
      <c r="V47" s="407"/>
    </row>
    <row r="48" spans="1:22" ht="20.25" hidden="1" customHeight="1" x14ac:dyDescent="0.2">
      <c r="B48" s="324" t="s">
        <v>697</v>
      </c>
      <c r="C48" s="338"/>
      <c r="D48" s="338"/>
      <c r="E48" s="494" t="b">
        <f>IF(C17&lt;&gt;0,IF(C17=F49,"OK","ERROR"))</f>
        <v>0</v>
      </c>
      <c r="F48" s="493" t="s">
        <v>757</v>
      </c>
      <c r="G48" s="432"/>
      <c r="H48" s="338"/>
      <c r="U48" s="407"/>
      <c r="V48" s="407"/>
    </row>
    <row r="49" spans="2:22" ht="33" hidden="1" customHeight="1" x14ac:dyDescent="0.2">
      <c r="B49" s="426" t="s">
        <v>756</v>
      </c>
      <c r="C49" s="427"/>
      <c r="E49" s="427" t="str">
        <f>IF(C17&lt;&gt;0,E33-E44,"ERROR")</f>
        <v>ERROR</v>
      </c>
      <c r="F49" s="427">
        <f>IF(E49=0,E44,0)</f>
        <v>0</v>
      </c>
      <c r="G49" s="427"/>
      <c r="U49" s="407"/>
      <c r="V49" s="407"/>
    </row>
    <row r="50" spans="2:22" ht="12.75" x14ac:dyDescent="0.2">
      <c r="U50" s="407"/>
      <c r="V50" s="407"/>
    </row>
    <row r="51" spans="2:22" ht="12.75" x14ac:dyDescent="0.2">
      <c r="U51" s="407"/>
      <c r="V51" s="407"/>
    </row>
    <row r="52" spans="2:22" ht="12.75" x14ac:dyDescent="0.2">
      <c r="U52" s="407"/>
      <c r="V52" s="407"/>
    </row>
    <row r="53" spans="2:22" ht="12.75" x14ac:dyDescent="0.2">
      <c r="U53" s="407"/>
      <c r="V53" s="407"/>
    </row>
    <row r="54" spans="2:22" ht="12.75" x14ac:dyDescent="0.2">
      <c r="U54" s="407"/>
      <c r="V54" s="407"/>
    </row>
    <row r="55" spans="2:22" ht="12.75" x14ac:dyDescent="0.2">
      <c r="U55" s="407"/>
      <c r="V55" s="407"/>
    </row>
    <row r="56" spans="2:22" ht="12.75" x14ac:dyDescent="0.2">
      <c r="U56" s="407"/>
      <c r="V56" s="407"/>
    </row>
    <row r="57" spans="2:22" ht="12.75" x14ac:dyDescent="0.2">
      <c r="U57" s="407"/>
      <c r="V57" s="407"/>
    </row>
    <row r="58" spans="2:22" ht="12.75" x14ac:dyDescent="0.2">
      <c r="U58" s="407"/>
      <c r="V58" s="407"/>
    </row>
    <row r="59" spans="2:22" ht="12.75" x14ac:dyDescent="0.2">
      <c r="U59" s="407"/>
      <c r="V59" s="407"/>
    </row>
    <row r="60" spans="2:22" ht="12.75" x14ac:dyDescent="0.2">
      <c r="U60" s="407"/>
      <c r="V60" s="407"/>
    </row>
    <row r="61" spans="2:22" ht="12.75" x14ac:dyDescent="0.2">
      <c r="U61" s="407"/>
      <c r="V61" s="407"/>
    </row>
    <row r="62" spans="2:22" ht="12.75" x14ac:dyDescent="0.2">
      <c r="U62" s="407"/>
      <c r="V62" s="407"/>
    </row>
    <row r="63" spans="2:22" ht="12.75" x14ac:dyDescent="0.2">
      <c r="U63" s="407"/>
      <c r="V63" s="407"/>
    </row>
    <row r="64" spans="2:22" ht="12.75" x14ac:dyDescent="0.2">
      <c r="U64" s="407"/>
      <c r="V64" s="407"/>
    </row>
    <row r="65" spans="21:22" ht="12.75" x14ac:dyDescent="0.2">
      <c r="U65" s="407"/>
      <c r="V65" s="407"/>
    </row>
    <row r="66" spans="21:22" ht="12.75" x14ac:dyDescent="0.2">
      <c r="U66" s="407"/>
      <c r="V66" s="407"/>
    </row>
    <row r="67" spans="21:22" ht="12.75" x14ac:dyDescent="0.2">
      <c r="U67" s="407"/>
      <c r="V67" s="407"/>
    </row>
    <row r="68" spans="21:22" ht="12.75" x14ac:dyDescent="0.2">
      <c r="U68" s="407"/>
      <c r="V68" s="407"/>
    </row>
    <row r="69" spans="21:22" ht="12.75" x14ac:dyDescent="0.2">
      <c r="U69" s="407"/>
      <c r="V69" s="407"/>
    </row>
    <row r="70" spans="21:22" ht="12.75" x14ac:dyDescent="0.2">
      <c r="U70" s="407"/>
      <c r="V70" s="407"/>
    </row>
    <row r="71" spans="21:22" ht="12.75" x14ac:dyDescent="0.2">
      <c r="U71" s="407"/>
      <c r="V71" s="407"/>
    </row>
    <row r="72" spans="21:22" ht="12.75" x14ac:dyDescent="0.2">
      <c r="U72" s="407"/>
      <c r="V72" s="407"/>
    </row>
    <row r="73" spans="21:22" ht="12.75" x14ac:dyDescent="0.2">
      <c r="U73" s="407"/>
      <c r="V73" s="407"/>
    </row>
    <row r="74" spans="21:22" ht="12.75" x14ac:dyDescent="0.2">
      <c r="U74" s="407"/>
      <c r="V74" s="407"/>
    </row>
    <row r="75" spans="21:22" ht="12.75" x14ac:dyDescent="0.2">
      <c r="U75" s="407"/>
      <c r="V75" s="407"/>
    </row>
    <row r="76" spans="21:22" ht="12.75" x14ac:dyDescent="0.2">
      <c r="U76" s="407"/>
      <c r="V76" s="407"/>
    </row>
    <row r="77" spans="21:22" ht="12.75" x14ac:dyDescent="0.2">
      <c r="U77" s="407"/>
      <c r="V77" s="407"/>
    </row>
    <row r="78" spans="21:22" ht="12.75" x14ac:dyDescent="0.2">
      <c r="U78" s="407"/>
      <c r="V78" s="407"/>
    </row>
    <row r="79" spans="21:22" ht="12.75" x14ac:dyDescent="0.2">
      <c r="U79" s="407"/>
      <c r="V79" s="407"/>
    </row>
    <row r="80" spans="21:22" ht="12.75" x14ac:dyDescent="0.2">
      <c r="U80" s="407"/>
      <c r="V80" s="407"/>
    </row>
    <row r="81" spans="21:22" ht="12.75" x14ac:dyDescent="0.2">
      <c r="U81" s="407"/>
      <c r="V81" s="407"/>
    </row>
    <row r="82" spans="21:22" ht="12.75" x14ac:dyDescent="0.2">
      <c r="U82" s="407"/>
      <c r="V82" s="407"/>
    </row>
    <row r="83" spans="21:22" ht="12.75" x14ac:dyDescent="0.2">
      <c r="U83" s="407"/>
      <c r="V83" s="407"/>
    </row>
    <row r="84" spans="21:22" ht="12.75" x14ac:dyDescent="0.2">
      <c r="U84" s="407"/>
      <c r="V84" s="407"/>
    </row>
    <row r="85" spans="21:22" ht="12.75" x14ac:dyDescent="0.2">
      <c r="U85" s="407"/>
      <c r="V85" s="407"/>
    </row>
    <row r="86" spans="21:22" ht="12.75" x14ac:dyDescent="0.2">
      <c r="U86" s="407"/>
      <c r="V86" s="407"/>
    </row>
    <row r="87" spans="21:22" ht="12.75" x14ac:dyDescent="0.2">
      <c r="U87" s="407"/>
      <c r="V87" s="407"/>
    </row>
    <row r="88" spans="21:22" ht="12.75" x14ac:dyDescent="0.2">
      <c r="U88" s="407"/>
      <c r="V88" s="407"/>
    </row>
    <row r="89" spans="21:22" ht="12.75" x14ac:dyDescent="0.2">
      <c r="U89" s="407"/>
      <c r="V89" s="407"/>
    </row>
    <row r="90" spans="21:22" ht="12.75" x14ac:dyDescent="0.2">
      <c r="U90" s="407"/>
      <c r="V90" s="407"/>
    </row>
    <row r="91" spans="21:22" ht="12.75" x14ac:dyDescent="0.2">
      <c r="U91" s="407"/>
      <c r="V91" s="407"/>
    </row>
    <row r="92" spans="21:22" ht="12.75" x14ac:dyDescent="0.2">
      <c r="U92" s="407"/>
      <c r="V92" s="407"/>
    </row>
    <row r="93" spans="21:22" ht="12.75" x14ac:dyDescent="0.2">
      <c r="U93" s="407"/>
      <c r="V93" s="407"/>
    </row>
  </sheetData>
  <sheetProtection algorithmName="SHA-512" hashValue="JKlxQYaylHldiJUzcEXg1w2yS6QnEhfOEYim0ZawUT4fsDBqX7qTeWZDSosg3UcU/OXqyjICsjwu7CL9l23Org==" saltValue="tM/Grk4sBhXRBW2tu+uGVQ==" spinCount="100000" sheet="1" formatCells="0" formatColumns="0" formatRows="0" autoFilter="0"/>
  <mergeCells count="12">
    <mergeCell ref="A19:A22"/>
    <mergeCell ref="I24:I25"/>
    <mergeCell ref="B18:F18"/>
    <mergeCell ref="B45:D45"/>
    <mergeCell ref="F45:H45"/>
    <mergeCell ref="A39:A41"/>
    <mergeCell ref="A26:A28"/>
    <mergeCell ref="A30:A32"/>
    <mergeCell ref="A35:A37"/>
    <mergeCell ref="B33:D33"/>
    <mergeCell ref="B44:D44"/>
    <mergeCell ref="H24:H25"/>
  </mergeCells>
  <phoneticPr fontId="20" type="noConversion"/>
  <conditionalFormatting sqref="B26:B28 B30:B32 B35:B37 B39:B41">
    <cfRule type="containsText" dxfId="8" priority="20" operator="containsText" text="0">
      <formula>NOT(ISERROR(SEARCH("0",B26)))</formula>
    </cfRule>
    <cfRule type="containsText" dxfId="7" priority="26" operator="containsText" text="0">
      <formula>NOT(ISERROR(SEARCH("0",B26)))</formula>
    </cfRule>
  </conditionalFormatting>
  <conditionalFormatting sqref="D19:F22">
    <cfRule type="cellIs" dxfId="6" priority="8" operator="notEqual">
      <formula>0</formula>
    </cfRule>
  </conditionalFormatting>
  <conditionalFormatting sqref="D26:F28 D30:F32 D35:F37 D43:F43 H33:I33 E44 H44:I44 D39:F41 E33">
    <cfRule type="cellIs" dxfId="3" priority="23" operator="notEqual">
      <formula>0</formula>
    </cfRule>
    <cfRule type="cellIs" dxfId="2" priority="24" operator="notEqual">
      <formula>0</formula>
    </cfRule>
    <cfRule type="containsText" dxfId="1" priority="25" operator="containsText" text="&lt;&gt;&quot;&quot;">
      <formula>NOT(ISERROR(SEARCH("&lt;&gt;""""",D26)))</formula>
    </cfRule>
  </conditionalFormatting>
  <conditionalFormatting sqref="D26:F28 D30:F32 D35:F37 D43:F43 H33:I33 H44:I44 E44 D39:F41 E33">
    <cfRule type="cellIs" dxfId="0" priority="21" operator="notEqual">
      <formula>0</formula>
    </cfRule>
  </conditionalFormatting>
  <conditionalFormatting sqref="G19:G22 G39:G41 G43">
    <cfRule type="containsText" dxfId="5" priority="14" operator="containsText" text="I">
      <formula>NOT(ISERROR(SEARCH("I",G19)))</formula>
    </cfRule>
  </conditionalFormatting>
  <conditionalFormatting sqref="G26:G28 G30:G32 G35:G37">
    <cfRule type="containsText" dxfId="4" priority="13" operator="containsText" text="I">
      <formula>NOT(ISERROR(SEARCH("I",G26)))</formula>
    </cfRule>
  </conditionalFormatting>
  <dataValidations xWindow="873" yWindow="640" count="1">
    <dataValidation allowBlank="1" showInputMessage="1" showErrorMessage="1" prompt="Also complete Asset/Liabilties (row B/C) and Revenue/Expenses/Restatements (row D/E/F)." sqref="E19:E22" xr:uid="{5E355B24-E1AF-42A4-8265-9FE00A0F8840}"/>
  </dataValidations>
  <hyperlinks>
    <hyperlink ref="F13" r:id="rId1" xr:uid="{AA4BCAB0-25D4-4C0F-AC60-5DCE6DDAB25C}"/>
  </hyperlinks>
  <pageMargins left="0.75" right="0.75" top="1" bottom="1" header="0.5" footer="0.5"/>
  <pageSetup orientation="portrait" r:id="rId2"/>
  <headerFooter alignWithMargins="0">
    <oddFooter>&amp;L&amp;F  &amp;A&amp;C&amp;P of &amp;N&amp;R&amp;D</oddFooter>
  </headerFooter>
  <legacyDrawing r:id="rId3"/>
  <extLst>
    <ext xmlns:x14="http://schemas.microsoft.com/office/spreadsheetml/2009/9/main" uri="{CCE6A557-97BC-4b89-ADB6-D9C93CAAB3DF}">
      <x14:dataValidations xmlns:xm="http://schemas.microsoft.com/office/excel/2006/main" xWindow="873" yWindow="640" count="6">
        <x14:dataValidation type="list" allowBlank="1" showInputMessage="1" showErrorMessage="1" xr:uid="{BEA5FA2E-826E-4A70-BAAB-922C8A450D4D}">
          <x14:formula1>
            <xm:f>Notes!$E$58:$E$68</xm:f>
          </x14:formula1>
          <xm:sqref>B35:B37</xm:sqref>
        </x14:dataValidation>
        <x14:dataValidation type="list" allowBlank="1" showInputMessage="1" showErrorMessage="1" xr:uid="{7301F6FB-613E-44B1-B11D-6F78F0CC01B6}">
          <x14:formula1>
            <xm:f>Notes!$D$80:$D$82</xm:f>
          </x14:formula1>
          <xm:sqref>G35:G37 G19:G22 G30:G32 G26:G28 G39:G43</xm:sqref>
        </x14:dataValidation>
        <x14:dataValidation type="list" allowBlank="1" showInputMessage="1" showErrorMessage="1" xr:uid="{9D4CD5AC-A709-4188-98B2-7FC1AE8453B3}">
          <x14:formula1>
            <xm:f>Notes!$D$85:$D$97</xm:f>
          </x14:formula1>
          <xm:sqref>H35:H37 H43:H44 H30:H32 H26:H28 H39:H41 H19:H22</xm:sqref>
        </x14:dataValidation>
        <x14:dataValidation type="list" allowBlank="1" showInputMessage="1" showErrorMessage="1" xr:uid="{24813B90-2261-4BE8-97E9-4DECE675088D}">
          <x14:formula1>
            <xm:f>Notes!$E$28:$E$52</xm:f>
          </x14:formula1>
          <xm:sqref>B30:B32</xm:sqref>
        </x14:dataValidation>
        <x14:dataValidation type="list" allowBlank="1" showInputMessage="1" showErrorMessage="1" xr:uid="{64FFDDAC-402F-4060-8DBD-6C528D176CCF}">
          <x14:formula1>
            <xm:f>Notes!$E$3:$E$25</xm:f>
          </x14:formula1>
          <xm:sqref>B26:B28</xm:sqref>
        </x14:dataValidation>
        <x14:dataValidation type="list" allowBlank="1" showInputMessage="1" showErrorMessage="1" xr:uid="{8ACB12B0-87F1-4462-9F9B-1C1AA25982ED}">
          <x14:formula1>
            <xm:f>Notes!$E$73:$E$78</xm:f>
          </x14:formula1>
          <xm:sqref>B39:B41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2EDC20EC70D245A87A952C8DFB4018" ma:contentTypeVersion="10" ma:contentTypeDescription="Create a new document." ma:contentTypeScope="" ma:versionID="f54d6716b40f2fd4b87c407801679108">
  <xsd:schema xmlns:xsd="http://www.w3.org/2001/XMLSchema" xmlns:xs="http://www.w3.org/2001/XMLSchema" xmlns:p="http://schemas.microsoft.com/office/2006/metadata/properties" xmlns:ns2="68085a6d-e278-4216-b84f-15e1ffeaa6bf" targetNamespace="http://schemas.microsoft.com/office/2006/metadata/properties" ma:root="true" ma:fieldsID="ce6c9979ad3581c287745963c41cabd1" ns2:_="">
    <xsd:import namespace="68085a6d-e278-4216-b84f-15e1ffeaa6b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85a6d-e278-4216-b84f-15e1ffeaa6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866262-F2C8-4C9D-94CA-B39FEFC5DC6B}">
  <ds:schemaRefs>
    <ds:schemaRef ds:uri="http://schemas.microsoft.com/office/infopath/2007/PartnerControls"/>
    <ds:schemaRef ds:uri="http://schemas.microsoft.com/office/2006/metadata/properties"/>
    <ds:schemaRef ds:uri="http://purl.org/dc/terms/"/>
    <ds:schemaRef ds:uri="http://purl.org/dc/elements/1.1/"/>
    <ds:schemaRef ds:uri="68085a6d-e278-4216-b84f-15e1ffeaa6bf"/>
    <ds:schemaRef ds:uri="http://www.w3.org/XML/1998/namespace"/>
    <ds:schemaRef ds:uri="http://schemas.openxmlformats.org/package/2006/metadata/core-propertie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3F879ABC-46E5-4C67-A765-961074E5D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085a6d-e278-4216-b84f-15e1ffeaa6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075D97-D3B3-4DAB-BD5A-BAD3767C79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23</vt:i4>
      </vt:variant>
    </vt:vector>
  </HeadingPairs>
  <TitlesOfParts>
    <vt:vector size="40" baseType="lpstr">
      <vt:lpstr> Use Stmt</vt:lpstr>
      <vt:lpstr>Info</vt:lpstr>
      <vt:lpstr>Package Updates</vt:lpstr>
      <vt:lpstr>Exh A</vt:lpstr>
      <vt:lpstr>Exh B</vt:lpstr>
      <vt:lpstr>Adjustments</vt:lpstr>
      <vt:lpstr>Exh D</vt:lpstr>
      <vt:lpstr>Exh E</vt:lpstr>
      <vt:lpstr>Restatements</vt:lpstr>
      <vt:lpstr>Comment</vt:lpstr>
      <vt:lpstr>Net Assets</vt:lpstr>
      <vt:lpstr>PriorYrExhD</vt:lpstr>
      <vt:lpstr>PriorYrExhE</vt:lpstr>
      <vt:lpstr>PYExhD Data</vt:lpstr>
      <vt:lpstr>PYExhE Data</vt:lpstr>
      <vt:lpstr>Notes</vt:lpstr>
      <vt:lpstr>Unrest and Rest Assets</vt:lpstr>
      <vt:lpstr>EquityData</vt:lpstr>
      <vt:lpstr>EquityDataRow</vt:lpstr>
      <vt:lpstr>FASB_ADJ</vt:lpstr>
      <vt:lpstr>FASB_BS</vt:lpstr>
      <vt:lpstr>FASB_IS</vt:lpstr>
      <vt:lpstr>FCCSnum</vt:lpstr>
      <vt:lpstr>Number</vt:lpstr>
      <vt:lpstr>Restatements!OLE_LINK1</vt:lpstr>
      <vt:lpstr>Adjustments!Print_Area</vt:lpstr>
      <vt:lpstr>'Exh A'!Print_Area</vt:lpstr>
      <vt:lpstr>'Exh B'!Print_Area</vt:lpstr>
      <vt:lpstr>'Exh D'!Print_Area</vt:lpstr>
      <vt:lpstr>'Exh E'!Print_Area</vt:lpstr>
      <vt:lpstr>Info!Print_Area</vt:lpstr>
      <vt:lpstr>'Net Assets'!Print_Area</vt:lpstr>
      <vt:lpstr>'Package Updates'!Print_Area</vt:lpstr>
      <vt:lpstr>PriorYrExhD!Print_Area</vt:lpstr>
      <vt:lpstr>Adjustments!Print_Titles</vt:lpstr>
      <vt:lpstr>'Exh A'!Print_Titles</vt:lpstr>
      <vt:lpstr>PriorYrExhD!Print_Titles</vt:lpstr>
      <vt:lpstr>PriorYrExhE!Print_Titles</vt:lpstr>
      <vt:lpstr>'PYExhD Data'!Print_Titles</vt:lpstr>
      <vt:lpstr>'PYExhE Data'!Print_Titles</vt:lpstr>
    </vt:vector>
  </TitlesOfParts>
  <Manager/>
  <Company>State of North Carolina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cmurphy</dc:creator>
  <cp:keywords/>
  <dc:description/>
  <cp:lastModifiedBy>Patcha Kidking</cp:lastModifiedBy>
  <cp:revision/>
  <cp:lastPrinted>2024-02-21T13:59:25Z</cp:lastPrinted>
  <dcterms:created xsi:type="dcterms:W3CDTF">2003-04-21T14:28:15Z</dcterms:created>
  <dcterms:modified xsi:type="dcterms:W3CDTF">2024-06-26T15:53:31Z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0x010100072EDC20EC70D245A87A952C8DFB4018</vt:lpwstr>
  </property>
  <property fmtid="{D5CDD505-2E9C-101B-9397-08002B2CF9AE}" pid="5" name="_ExtendedDescription">
    <vt:lpwstr/>
  </property>
  <property fmtid="{D5CDD505-2E9C-101B-9397-08002B2CF9AE}" pid="6" name="MSIP_Label_defa4170-0d19-0005-0004-bc88714345d2_Enabled">
    <vt:lpwstr>true</vt:lpwstr>
  </property>
  <property fmtid="{D5CDD505-2E9C-101B-9397-08002B2CF9AE}" pid="7" name="MSIP_Label_defa4170-0d19-0005-0004-bc88714345d2_SetDate">
    <vt:lpwstr>2024-04-17T15:44:58Z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a1f43f48-54fe-433f-9378-968b45bc6665</vt:lpwstr>
  </property>
  <property fmtid="{D5CDD505-2E9C-101B-9397-08002B2CF9AE}" pid="11" name="MSIP_Label_defa4170-0d19-0005-0004-bc88714345d2_ActionId">
    <vt:lpwstr>22d69933-892e-475c-bd11-507699ed4454</vt:lpwstr>
  </property>
  <property fmtid="{D5CDD505-2E9C-101B-9397-08002B2CF9AE}" pid="12" name="MSIP_Label_defa4170-0d19-0005-0004-bc88714345d2_ContentBits">
    <vt:lpwstr>0</vt:lpwstr>
  </property>
</Properties>
</file>