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mc:AlternateContent xmlns:mc="http://schemas.openxmlformats.org/markup-compatibility/2006">
    <mc:Choice Requires="x15">
      <x15ac:absPath xmlns:x15ac="http://schemas.microsoft.com/office/spreadsheetml/2010/11/ac" url="K:\SASD\24CAFR\Packages\SIG\"/>
    </mc:Choice>
  </mc:AlternateContent>
  <xr:revisionPtr revIDLastSave="0" documentId="13_ncr:1_{E4B04D4D-38FB-45FC-954F-3EBC5FA36D7D}" xr6:coauthVersionLast="47" xr6:coauthVersionMax="47" xr10:uidLastSave="{00000000-0000-0000-0000-000000000000}"/>
  <bookViews>
    <workbookView xWindow="28680" yWindow="-120" windowWidth="29040" windowHeight="15720" xr2:uid="{00000000-000D-0000-FFFF-FFFF00000000}"/>
  </bookViews>
  <sheets>
    <sheet name="Info" sheetId="10" r:id="rId1"/>
    <sheet name="Workbook Updates" sheetId="13" r:id="rId2"/>
    <sheet name="Exh A" sheetId="1" r:id="rId3"/>
    <sheet name="Exh B" sheetId="2" r:id="rId4"/>
    <sheet name="Exh C" sheetId="3" r:id="rId5"/>
    <sheet name="Exh D" sheetId="5" r:id="rId6"/>
    <sheet name="Exh E" sheetId="8" r:id="rId7"/>
    <sheet name="Exh F" sheetId="9" r:id="rId8"/>
    <sheet name="Lottery" sheetId="12" state="hidden" r:id="rId9"/>
    <sheet name="Exh G" sheetId="4" r:id="rId10"/>
    <sheet name="Data" sheetId="11" state="hidden" r:id="rId11"/>
  </sheets>
  <definedNames>
    <definedName name="_xlnm._FilterDatabase" localSheetId="2" hidden="1">'Exh A'!$M$11:$O$31</definedName>
    <definedName name="A_10">'Exh A'!$M$63</definedName>
    <definedName name="A_11">'Exh A'!$M$64</definedName>
    <definedName name="A_12">'Exh A'!$M$65</definedName>
    <definedName name="A_13">'Exh A'!$M$83</definedName>
    <definedName name="A_14">'Exh A'!$M$24</definedName>
    <definedName name="A_15">'Exh A'!$M$72</definedName>
    <definedName name="A_16">'Exh A'!$M$16</definedName>
    <definedName name="A_17">'Exh A'!$M$23</definedName>
    <definedName name="A_17A">'Exh E'!$H$30</definedName>
    <definedName name="A_17D">'Exh E'!$H$31</definedName>
    <definedName name="A_17F">'Exh E'!$H$33</definedName>
    <definedName name="A_17G">'Exh E'!$H$32</definedName>
    <definedName name="A_18">'Exh A'!$M$21</definedName>
    <definedName name="A_18A">'Exh A'!$M$37</definedName>
    <definedName name="A_19">'Exh A'!$M$66</definedName>
    <definedName name="A_19A">'Exh E'!$H$60</definedName>
    <definedName name="A_19C">'Exh E'!$H$61</definedName>
    <definedName name="A_19E">'Exh E'!$H$62</definedName>
    <definedName name="A_19F">'Exh E'!$H$64</definedName>
    <definedName name="A_19G">'Exh E'!$H$63</definedName>
    <definedName name="A_2">'Exh A'!$M$28</definedName>
    <definedName name="A_20">'Exh A'!$M$73</definedName>
    <definedName name="A_20A">'Exh E'!$H$90</definedName>
    <definedName name="A_20B">'Exh E'!$H$91</definedName>
    <definedName name="A_21">'Exh A'!$M$103</definedName>
    <definedName name="A_22">'Exh A'!$M$57</definedName>
    <definedName name="A_23">'Exh A'!$M$51</definedName>
    <definedName name="A_24">'Exh A'!$M$102</definedName>
    <definedName name="A_25">'Exh A'!$M$67</definedName>
    <definedName name="A_26">'Exh A'!$M$25</definedName>
    <definedName name="A_26A">'Exh A'!$M$38</definedName>
    <definedName name="A_27">'Exh A'!$M$104</definedName>
    <definedName name="A_28">'Exh A'!$M$105</definedName>
    <definedName name="A_29A">'Exh A'!$M$26</definedName>
    <definedName name="A_29B">'Exh A'!$M$39</definedName>
    <definedName name="A_3">'Exh A'!$M$30</definedName>
    <definedName name="A_3_A">'Exh A'!$M$41</definedName>
    <definedName name="A_3B">'Exh E'!$F$78</definedName>
    <definedName name="A_3C">'Exh E'!$F$84</definedName>
    <definedName name="A_3D">'Exh E'!$D$78</definedName>
    <definedName name="A_3E">'Exh E'!$D$84</definedName>
    <definedName name="A_4">'Exh A'!$M$17</definedName>
    <definedName name="A_5">'Exh A'!$M$20</definedName>
    <definedName name="A_6">'Exh A'!$M$19</definedName>
    <definedName name="A_7">'Exh A'!$M$61</definedName>
    <definedName name="A_8">'Exh A'!$M$58</definedName>
    <definedName name="A_9">'Exh A'!$M$62</definedName>
    <definedName name="B_1">'Exh B'!$E$15</definedName>
    <definedName name="B_10">'Exh B'!$E$14</definedName>
    <definedName name="B_11">'Exh B'!$E$30</definedName>
    <definedName name="B_12">'Exh B'!$E$24</definedName>
    <definedName name="B_13">'Exh B'!$E$27</definedName>
    <definedName name="B_14">'Exh B'!$E$38</definedName>
    <definedName name="B_15">'Exh B'!$E$39</definedName>
    <definedName name="B_16">'Exh B'!$E$43</definedName>
    <definedName name="B_17">'Exh B'!$E$44</definedName>
    <definedName name="B_19">'Exh B'!$E$53</definedName>
    <definedName name="B_2">'Exh B'!$E$16</definedName>
    <definedName name="B_20">'Exh B'!$E$54</definedName>
    <definedName name="B_21">'Exh B'!$E$47</definedName>
    <definedName name="B_22">'Exh B'!$E$48</definedName>
    <definedName name="B_23">'Exh B'!$E$19</definedName>
    <definedName name="B_24">'Exh B'!$E$49</definedName>
    <definedName name="B_25">'Exh B'!$E$50</definedName>
    <definedName name="B_26">'Exh B'!$E$41</definedName>
    <definedName name="B_27">'Exh B'!$E$40</definedName>
    <definedName name="B_28">'Exh B'!$E$42</definedName>
    <definedName name="B_3">'Exh B'!$E$13</definedName>
    <definedName name="B_4">'Exh B'!$E$12</definedName>
    <definedName name="B_5">'Exh B'!$E$11</definedName>
    <definedName name="B_5A">'Exh B'!$E$18</definedName>
    <definedName name="B_6">'Exh B'!$E$17</definedName>
    <definedName name="B_7">'Exh B'!$E$25</definedName>
    <definedName name="B_7A">'Exh B'!$E$29</definedName>
    <definedName name="B_7B">'Exh B'!$E$23</definedName>
    <definedName name="B_8">'Exh B'!$E$26</definedName>
    <definedName name="B_9">'Exh B'!$E$28</definedName>
    <definedName name="B_9A">'Exh B'!$E$31</definedName>
    <definedName name="B_9B" localSheetId="6">'Exh E'!$D$96</definedName>
    <definedName name="B_9B">'Exh B'!$E$32</definedName>
    <definedName name="B_9C">'Exh B'!$E$33</definedName>
    <definedName name="B_9D">'Exh E'!$D$96</definedName>
    <definedName name="B_TO">'Exh B'!$E$56</definedName>
    <definedName name="C_1">'Exh C'!$F$62</definedName>
    <definedName name="C_10">'Exh C'!$F$83</definedName>
    <definedName name="C_11">'Exh C'!$F$89</definedName>
    <definedName name="C_12">'Exh C'!$F$64</definedName>
    <definedName name="C_13">'Exh C'!$F$65</definedName>
    <definedName name="C_14">'Exh C'!$F$66</definedName>
    <definedName name="C_2">'Exh C'!$F$63</definedName>
    <definedName name="C_3">'Exh C'!$F$67</definedName>
    <definedName name="C_4">'Exh C'!$F$68</definedName>
    <definedName name="C_5">'Exh C'!$F$69</definedName>
    <definedName name="C_6">'Exh C'!$F$76</definedName>
    <definedName name="C_7">'Exh C'!$F$94</definedName>
    <definedName name="D_1">'Exh D'!$F$26</definedName>
    <definedName name="D_10">'Exh D'!$H$12</definedName>
    <definedName name="D_11">'Exh D'!$J$12</definedName>
    <definedName name="D_2">'Exh D'!$J$8</definedName>
    <definedName name="D_2A">'Exh D'!$J$9</definedName>
    <definedName name="D_2B">'Exh D'!$J$10</definedName>
    <definedName name="D_3">'Exh D'!$H$11</definedName>
    <definedName name="D_4">'Exh D'!$J$11</definedName>
    <definedName name="D_5">'Exh D'!$P$20</definedName>
    <definedName name="D_6">'Exh D'!$P$22</definedName>
    <definedName name="D_7">'Exh D'!$P$21</definedName>
    <definedName name="D_8">'Exh D'!$P$19</definedName>
    <definedName name="D_9">'Exh D'!$P$17</definedName>
    <definedName name="E_1">'Exh E'!$H$7</definedName>
    <definedName name="E_10">'Exh E'!$H$24</definedName>
    <definedName name="E_11">'Exh E'!$H$25</definedName>
    <definedName name="E_12">'Exh E'!$D$199</definedName>
    <definedName name="E_13">'Exh E'!$D$221</definedName>
    <definedName name="E_14">'Exh E'!$D$222</definedName>
    <definedName name="E_15">'Exh E'!$D$227</definedName>
    <definedName name="E_16">'Exh E'!$D$228</definedName>
    <definedName name="E_2">'Exh E'!$H$23</definedName>
    <definedName name="E_21">'Exh E'!$H$38</definedName>
    <definedName name="E_22">'Exh E'!$H$40</definedName>
    <definedName name="E_22a">'Exh E'!$D$40</definedName>
    <definedName name="E_22b">'Exh E'!$D$64</definedName>
    <definedName name="E_23">'Exh E'!$H$39</definedName>
    <definedName name="E_25">'Exh E'!$H$47</definedName>
    <definedName name="E_26">'Exh E'!$H$46</definedName>
    <definedName name="E_27">'Exh E'!$H$53</definedName>
    <definedName name="E_28">'Exh E'!$H$54</definedName>
    <definedName name="E_29">'Exh E'!$H$55</definedName>
    <definedName name="E_3">'Exh E'!$H$15</definedName>
    <definedName name="E_30">'Exh E'!$H$69</definedName>
    <definedName name="E_31">'Exh E'!$H$70</definedName>
    <definedName name="E_32">'Exh E'!$H$71</definedName>
    <definedName name="E_33">'Exh E'!$H$72</definedName>
    <definedName name="E_34">'Exh E'!$H$73</definedName>
    <definedName name="E_37">'Exh E'!$D$108</definedName>
    <definedName name="E_38">'Exh E'!$D$116</definedName>
    <definedName name="E_39">'Exh E'!$D$109</definedName>
    <definedName name="E_4">'Exh E'!$H$8</definedName>
    <definedName name="E_40">'Exh E'!$D$111</definedName>
    <definedName name="E_41">'Exh E'!$D$125</definedName>
    <definedName name="E_42">'Exh E'!$D$118</definedName>
    <definedName name="E_43">'Exh E'!$D$137</definedName>
    <definedName name="E_44">'Exh E'!$D$143</definedName>
    <definedName name="E_45">'Exh E'!$D$144</definedName>
    <definedName name="E_46">'Exh E'!$D$119</definedName>
    <definedName name="E_5">'Exh E'!$D$211</definedName>
    <definedName name="E_50">'Exh E'!$D$135</definedName>
    <definedName name="E_51">'Exh E'!$D$170</definedName>
    <definedName name="E_52">'Exh E'!$D$171</definedName>
    <definedName name="E_53">'Exh E'!$D$149</definedName>
    <definedName name="E_54">'Exh E'!$D$150</definedName>
    <definedName name="E_56">'Exh E'!$D$117</definedName>
    <definedName name="E_6">'Exh E'!$H$14</definedName>
    <definedName name="E_63">'Exh E'!$D$176</definedName>
    <definedName name="E_64">'Exh E'!$D$102</definedName>
    <definedName name="E_65">'Exh E'!$D$168</definedName>
    <definedName name="E_66">'Exh E'!$D$169</definedName>
    <definedName name="E_67">'Exh E'!$D$104</definedName>
    <definedName name="E_68">'Exh E'!$D$103</definedName>
    <definedName name="E_69">'Exh E'!$H$9</definedName>
    <definedName name="E_7">'Exh E'!$H$16</definedName>
    <definedName name="E_70">'Exh E'!$H$48</definedName>
    <definedName name="E_71">'Exh E'!$H$41</definedName>
    <definedName name="E_72">'Exh E'!$D$181</definedName>
    <definedName name="E_73">'Exh E'!$D$138</definedName>
    <definedName name="E_74">'Exh E'!$D$130</definedName>
    <definedName name="E_75">'Exh E'!$D$134</definedName>
    <definedName name="E_76">'Exh E'!$D$136</definedName>
    <definedName name="E_77">'Exh E'!$D$216</definedName>
    <definedName name="E_78">'Exh E'!#REF!</definedName>
    <definedName name="E_79">'Exh E'!$D$163</definedName>
    <definedName name="E_8">'Exh E'!$H$17</definedName>
    <definedName name="E_80">'Exh E'!$D$186</definedName>
    <definedName name="E_81">'Exh E'!$D$155</definedName>
    <definedName name="E_82">'Exh E'!$D$156</definedName>
    <definedName name="E_83">'Exh E'!$D$187</definedName>
    <definedName name="E_84">'Exh E'!$D$162</definedName>
    <definedName name="E_85">'Exh E'!$D$205</definedName>
    <definedName name="E_86">'Exh E'!$D$206</definedName>
    <definedName name="E_87">'Exh E'!$D$192</definedName>
    <definedName name="E_88">'Exh E'!$D$193</definedName>
    <definedName name="E_9">'Exh E'!$H$22</definedName>
    <definedName name="I_1">Info!$F$28</definedName>
    <definedName name="I_2">Info!$F$29</definedName>
    <definedName name="I_3">Info!$F$30</definedName>
    <definedName name="I_4">Info!$F$33</definedName>
    <definedName name="I_5">Info!$F$34</definedName>
    <definedName name="I_6">Info!$F$35</definedName>
    <definedName name="I_7">Info!$F$36</definedName>
    <definedName name="L_1">Lottery!$D$7</definedName>
    <definedName name="L_2">Lottery!$D$8</definedName>
    <definedName name="L_3">Lottery!$D$14</definedName>
    <definedName name="L_4">Lottery!$D$18</definedName>
    <definedName name="L_5">Lottery!$D$19</definedName>
    <definedName name="L_6">Lottery!$D$26</definedName>
    <definedName name="L_7">Lottery!$D$31</definedName>
    <definedName name="_xlnm.Print_Area" localSheetId="2">'Exh A'!$A$1:$N$116</definedName>
    <definedName name="_xlnm.Print_Area" localSheetId="3">'Exh B'!$A$1:$F$67</definedName>
    <definedName name="_xlnm.Print_Area" localSheetId="4">'Exh C'!$A$1:$N$107</definedName>
    <definedName name="_xlnm.Print_Area" localSheetId="5">'Exh D'!$A$1:$Q$49</definedName>
    <definedName name="_xlnm.Print_Area" localSheetId="6">'Exh E'!$A$1:$I$230</definedName>
    <definedName name="_xlnm.Print_Area" localSheetId="7">'Exh F'!$A$1:$K$191</definedName>
    <definedName name="_xlnm.Print_Area" localSheetId="9">'Exh G'!$A$1:$G$157</definedName>
    <definedName name="_xlnm.Print_Area" localSheetId="0">Info!$A$1:$N$36</definedName>
    <definedName name="_xlnm.Print_Area" localSheetId="1">'Workbook Updates'!$A$1:$E$14</definedName>
    <definedName name="_xlnm.Print_Titles" localSheetId="2">'Exh A'!$1:$8</definedName>
    <definedName name="_xlnm.Print_Titles" localSheetId="6">'Exh E'!$1:$5</definedName>
    <definedName name="_xlnm.Print_Titles" localSheetId="7">'Exh F'!$1:$6</definedName>
    <definedName name="_xlnm.Print_Titles" localSheetId="9">'Exh G'!$1:$7</definedName>
    <definedName name="PropFundName">Data!$A$4:$A$51</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2" i="4" l="1"/>
  <c r="J134" i="4"/>
  <c r="J135" i="4"/>
  <c r="J136" i="4"/>
  <c r="J119" i="4"/>
  <c r="J77" i="4"/>
  <c r="J51" i="4"/>
  <c r="K105" i="1"/>
  <c r="K106" i="1" s="1"/>
  <c r="E136" i="4"/>
  <c r="E77" i="4"/>
  <c r="E51" i="4"/>
  <c r="E157" i="9"/>
  <c r="K157" i="9" s="1"/>
  <c r="G82" i="9"/>
  <c r="D195" i="8"/>
  <c r="E106" i="1"/>
  <c r="G106" i="1"/>
  <c r="I106" i="1"/>
  <c r="K39" i="1"/>
  <c r="M39" i="1" s="1"/>
  <c r="K26" i="1"/>
  <c r="M26" i="1" s="1"/>
  <c r="N46" i="3"/>
  <c r="E143" i="4"/>
  <c r="E142" i="4"/>
  <c r="G143" i="9"/>
  <c r="G121" i="9"/>
  <c r="J48" i="5"/>
  <c r="P12" i="5"/>
  <c r="N12" i="5"/>
  <c r="D12" i="5"/>
  <c r="L12" i="5" s="1"/>
  <c r="L47" i="3"/>
  <c r="J47" i="3"/>
  <c r="H47" i="3"/>
  <c r="F47" i="3"/>
  <c r="L29" i="3"/>
  <c r="J29" i="3"/>
  <c r="H29" i="3"/>
  <c r="F29" i="3"/>
  <c r="N28" i="3"/>
  <c r="K86" i="1"/>
  <c r="M86" i="1" s="1"/>
  <c r="K70" i="1"/>
  <c r="M70" i="1" s="1"/>
  <c r="E119" i="4"/>
  <c r="E83" i="9"/>
  <c r="D205" i="8"/>
  <c r="D207" i="8" s="1"/>
  <c r="D208" i="8" s="1"/>
  <c r="M105" i="1" l="1"/>
  <c r="G70" i="9"/>
  <c r="E70" i="9"/>
  <c r="J28" i="4"/>
  <c r="D211" i="8"/>
  <c r="E153" i="9"/>
  <c r="L40" i="3"/>
  <c r="L48" i="3" s="1"/>
  <c r="J40" i="3"/>
  <c r="H40" i="3"/>
  <c r="H48" i="3" s="1"/>
  <c r="F40" i="3"/>
  <c r="F48" i="3" s="1"/>
  <c r="N39" i="3"/>
  <c r="N22" i="3"/>
  <c r="L23" i="3"/>
  <c r="J23" i="3"/>
  <c r="H23" i="3"/>
  <c r="F23" i="3"/>
  <c r="H63" i="8"/>
  <c r="H32" i="8"/>
  <c r="G13" i="9"/>
  <c r="E155" i="9"/>
  <c r="G104" i="9"/>
  <c r="E103" i="9"/>
  <c r="E102" i="9"/>
  <c r="K102" i="9" s="1"/>
  <c r="E27" i="4" s="1"/>
  <c r="J27" i="4" s="1"/>
  <c r="D196" i="8" l="1"/>
  <c r="M106" i="1"/>
  <c r="K104" i="9"/>
  <c r="E29" i="4" s="1"/>
  <c r="J29" i="4" s="1"/>
  <c r="J48" i="3"/>
  <c r="F30" i="3"/>
  <c r="H30" i="3"/>
  <c r="J30" i="3"/>
  <c r="L30" i="3"/>
  <c r="E132" i="8"/>
  <c r="E127" i="8"/>
  <c r="E141" i="4"/>
  <c r="E135" i="4"/>
  <c r="E154" i="9"/>
  <c r="G99" i="9"/>
  <c r="E99" i="9"/>
  <c r="G128" i="9"/>
  <c r="G109" i="9"/>
  <c r="D157" i="8"/>
  <c r="D158" i="8" s="1"/>
  <c r="G107" i="9"/>
  <c r="E107" i="9"/>
  <c r="E76" i="4"/>
  <c r="J76" i="4" s="1"/>
  <c r="D189" i="8"/>
  <c r="K128" i="9" l="1"/>
  <c r="E43" i="4" s="1"/>
  <c r="J43" i="4" s="1"/>
  <c r="E78" i="4"/>
  <c r="K104" i="1"/>
  <c r="M104" i="1" s="1"/>
  <c r="D190" i="8" s="1"/>
  <c r="K38" i="1"/>
  <c r="M38" i="1" s="1"/>
  <c r="K25" i="1"/>
  <c r="D161" i="8" s="1"/>
  <c r="D164" i="8" s="1"/>
  <c r="D165" i="8" s="1"/>
  <c r="N45" i="3"/>
  <c r="N34" i="3"/>
  <c r="N44" i="3"/>
  <c r="N33" i="3"/>
  <c r="N43" i="3"/>
  <c r="N42" i="3"/>
  <c r="N27" i="3"/>
  <c r="N26" i="3"/>
  <c r="N25" i="3"/>
  <c r="N24" i="3"/>
  <c r="G120" i="9"/>
  <c r="N29" i="3" l="1"/>
  <c r="N47" i="3"/>
  <c r="M25" i="1"/>
  <c r="K155" i="9"/>
  <c r="E50" i="4" s="1"/>
  <c r="J50" i="4" s="1"/>
  <c r="G34" i="9"/>
  <c r="G33" i="9"/>
  <c r="J141" i="4" l="1"/>
  <c r="J98" i="4"/>
  <c r="J94" i="4"/>
  <c r="E115" i="4" l="1"/>
  <c r="J115" i="4" s="1"/>
  <c r="J78" i="4"/>
  <c r="D216" i="8"/>
  <c r="G90" i="9" s="1"/>
  <c r="D218" i="8" l="1"/>
  <c r="D219" i="8" s="1"/>
  <c r="D29" i="12" l="1"/>
  <c r="J143" i="4" l="1"/>
  <c r="E123" i="4"/>
  <c r="E122" i="4"/>
  <c r="E114" i="4"/>
  <c r="J114" i="4" s="1"/>
  <c r="E112" i="4"/>
  <c r="J112" i="4" s="1"/>
  <c r="E111" i="4"/>
  <c r="J111" i="4" s="1"/>
  <c r="E103" i="4"/>
  <c r="J103" i="4" s="1"/>
  <c r="E101" i="4"/>
  <c r="J101" i="4" s="1"/>
  <c r="E75" i="4"/>
  <c r="J75" i="4" s="1"/>
  <c r="A3" i="4"/>
  <c r="D31" i="12"/>
  <c r="E177" i="9" s="1"/>
  <c r="D30" i="12"/>
  <c r="D26" i="12"/>
  <c r="D21" i="12"/>
  <c r="D18" i="12"/>
  <c r="D13" i="12"/>
  <c r="D12" i="12"/>
  <c r="D14" i="12" s="1"/>
  <c r="D8" i="12"/>
  <c r="D9" i="12" s="1"/>
  <c r="D10" i="12" s="1"/>
  <c r="A1" i="12"/>
  <c r="E179" i="9"/>
  <c r="G178" i="9"/>
  <c r="E176" i="9"/>
  <c r="G171" i="9"/>
  <c r="E171" i="9"/>
  <c r="E170" i="9"/>
  <c r="G167" i="9"/>
  <c r="K167" i="9" s="1"/>
  <c r="E58" i="4" s="1"/>
  <c r="J58" i="4" s="1"/>
  <c r="G164" i="9"/>
  <c r="K164" i="9" s="1"/>
  <c r="E57" i="4" s="1"/>
  <c r="J57" i="4" s="1"/>
  <c r="G162" i="9"/>
  <c r="E162" i="9"/>
  <c r="E161" i="9"/>
  <c r="E151" i="9"/>
  <c r="K151" i="9" s="1"/>
  <c r="E52" i="4" s="1"/>
  <c r="J52" i="4" s="1"/>
  <c r="E149" i="9"/>
  <c r="K149" i="9" s="1"/>
  <c r="E49" i="4" s="1"/>
  <c r="J49" i="4" s="1"/>
  <c r="E148" i="9"/>
  <c r="K148" i="9" s="1"/>
  <c r="E48" i="4" s="1"/>
  <c r="G146" i="9"/>
  <c r="G145" i="9"/>
  <c r="G142" i="9"/>
  <c r="G141" i="9"/>
  <c r="G140" i="9"/>
  <c r="G139" i="9"/>
  <c r="G137" i="9"/>
  <c r="E134" i="9"/>
  <c r="E130" i="9"/>
  <c r="E127" i="9"/>
  <c r="K127" i="9" s="1"/>
  <c r="E42" i="4" s="1"/>
  <c r="J42" i="4" s="1"/>
  <c r="E126" i="9"/>
  <c r="K126" i="9" s="1"/>
  <c r="E41" i="4" s="1"/>
  <c r="J41" i="4" s="1"/>
  <c r="G119" i="9"/>
  <c r="E114" i="9"/>
  <c r="K114" i="9" s="1"/>
  <c r="E35" i="4" s="1"/>
  <c r="J35" i="4" s="1"/>
  <c r="E111" i="9"/>
  <c r="K109" i="9"/>
  <c r="E33" i="4" s="1"/>
  <c r="J33" i="4" s="1"/>
  <c r="E108" i="9"/>
  <c r="G98" i="9"/>
  <c r="E94" i="9"/>
  <c r="G88" i="9"/>
  <c r="G81" i="9"/>
  <c r="G80" i="9"/>
  <c r="G71" i="9"/>
  <c r="E71" i="9"/>
  <c r="G67" i="9"/>
  <c r="E67" i="9"/>
  <c r="G64" i="9"/>
  <c r="G60" i="9"/>
  <c r="G59" i="9"/>
  <c r="E58" i="9"/>
  <c r="E57" i="9"/>
  <c r="G56" i="9"/>
  <c r="G53" i="9"/>
  <c r="E53" i="9"/>
  <c r="E43" i="9"/>
  <c r="G42" i="9"/>
  <c r="E42" i="9"/>
  <c r="E41" i="9"/>
  <c r="E40" i="9"/>
  <c r="G38" i="9"/>
  <c r="G36" i="9"/>
  <c r="E31" i="9"/>
  <c r="K31" i="9" s="1"/>
  <c r="E13" i="4" s="1"/>
  <c r="J13" i="4" s="1"/>
  <c r="E30" i="9"/>
  <c r="K30" i="9" s="1"/>
  <c r="E14" i="4" s="1"/>
  <c r="J14" i="4" s="1"/>
  <c r="G29" i="9"/>
  <c r="K29" i="9" s="1"/>
  <c r="E19" i="4" s="1"/>
  <c r="J19" i="4" s="1"/>
  <c r="E27" i="9"/>
  <c r="E16" i="9"/>
  <c r="E15" i="9"/>
  <c r="E14" i="9"/>
  <c r="E12" i="9"/>
  <c r="E11" i="9"/>
  <c r="E9" i="9"/>
  <c r="A1" i="9"/>
  <c r="D227" i="8"/>
  <c r="G39" i="9" s="1"/>
  <c r="D221" i="8"/>
  <c r="E84" i="9"/>
  <c r="D199" i="8"/>
  <c r="E79" i="9" s="1"/>
  <c r="D183" i="8"/>
  <c r="D184" i="8" s="1"/>
  <c r="D178" i="8"/>
  <c r="D179" i="8" s="1"/>
  <c r="D172" i="8"/>
  <c r="D151" i="8"/>
  <c r="D152" i="8" s="1"/>
  <c r="D145" i="8"/>
  <c r="D146" i="8" s="1"/>
  <c r="D133" i="8"/>
  <c r="D128" i="8"/>
  <c r="D120" i="8"/>
  <c r="D105" i="8"/>
  <c r="D104" i="8"/>
  <c r="D96" i="8"/>
  <c r="D98" i="8" s="1"/>
  <c r="D99" i="8" s="1"/>
  <c r="H91" i="8"/>
  <c r="E51" i="9" s="1"/>
  <c r="D90" i="8"/>
  <c r="H85" i="8"/>
  <c r="D84" i="8"/>
  <c r="D86" i="8" s="1"/>
  <c r="D87" i="8" s="1"/>
  <c r="H79" i="8"/>
  <c r="D78" i="8"/>
  <c r="F74" i="8"/>
  <c r="D74" i="8"/>
  <c r="D75" i="8" s="1"/>
  <c r="H73" i="8"/>
  <c r="G136" i="9" s="1"/>
  <c r="H72" i="8"/>
  <c r="G113" i="9" s="1"/>
  <c r="H71" i="8"/>
  <c r="G131" i="9" s="1"/>
  <c r="H70" i="8"/>
  <c r="G96" i="9" s="1"/>
  <c r="H69" i="8"/>
  <c r="G25" i="9" s="1"/>
  <c r="F65" i="8"/>
  <c r="D65" i="8"/>
  <c r="H64" i="8"/>
  <c r="H62" i="8"/>
  <c r="G89" i="9" s="1"/>
  <c r="H61" i="8"/>
  <c r="E61" i="9" s="1"/>
  <c r="H60" i="8"/>
  <c r="E35" i="9" s="1"/>
  <c r="F56" i="8"/>
  <c r="D56" i="8"/>
  <c r="D57" i="8" s="1"/>
  <c r="H55" i="8"/>
  <c r="H54" i="8"/>
  <c r="H53" i="8"/>
  <c r="F49" i="8"/>
  <c r="D49" i="8"/>
  <c r="D50" i="8" s="1"/>
  <c r="H48" i="8"/>
  <c r="G73" i="9" s="1"/>
  <c r="H47" i="8"/>
  <c r="G101" i="9" s="1"/>
  <c r="H46" i="8"/>
  <c r="F42" i="8"/>
  <c r="D42" i="8"/>
  <c r="D43" i="8" s="1"/>
  <c r="H41" i="8"/>
  <c r="G17" i="9" s="1"/>
  <c r="H40" i="8"/>
  <c r="G124" i="9" s="1"/>
  <c r="H39" i="8"/>
  <c r="G69" i="9" s="1"/>
  <c r="H38" i="8"/>
  <c r="G46" i="9" s="1"/>
  <c r="F34" i="8"/>
  <c r="D34" i="8"/>
  <c r="H33" i="8"/>
  <c r="H31" i="8"/>
  <c r="E85" i="9" s="1"/>
  <c r="H30" i="8"/>
  <c r="G10" i="9" s="1"/>
  <c r="F26" i="8"/>
  <c r="D26" i="8"/>
  <c r="D27" i="8" s="1"/>
  <c r="H25" i="8"/>
  <c r="E135" i="9" s="1"/>
  <c r="H24" i="8"/>
  <c r="G112" i="9" s="1"/>
  <c r="H23" i="8"/>
  <c r="G77" i="9" s="1"/>
  <c r="H22" i="8"/>
  <c r="F18" i="8"/>
  <c r="D18" i="8"/>
  <c r="D19" i="8" s="1"/>
  <c r="H17" i="8"/>
  <c r="H16" i="8"/>
  <c r="E132" i="4" s="1"/>
  <c r="J132" i="4" s="1"/>
  <c r="H15" i="8"/>
  <c r="G19" i="9" s="1"/>
  <c r="H14" i="8"/>
  <c r="G28" i="9" s="1"/>
  <c r="F10" i="8"/>
  <c r="D10" i="8"/>
  <c r="D11" i="8" s="1"/>
  <c r="H9" i="8"/>
  <c r="G68" i="9" s="1"/>
  <c r="H8" i="8"/>
  <c r="E129" i="4" s="1"/>
  <c r="J129" i="4" s="1"/>
  <c r="H7" i="8"/>
  <c r="A1" i="8"/>
  <c r="J46" i="5"/>
  <c r="H28" i="5"/>
  <c r="H29" i="5" s="1"/>
  <c r="J23" i="5"/>
  <c r="H23" i="5"/>
  <c r="F23" i="5"/>
  <c r="P22" i="5"/>
  <c r="D22" i="5"/>
  <c r="L22" i="5" s="1"/>
  <c r="P21" i="5"/>
  <c r="E104" i="4" s="1"/>
  <c r="J104" i="4" s="1"/>
  <c r="N21" i="5"/>
  <c r="D21" i="5"/>
  <c r="L21" i="5" s="1"/>
  <c r="P20" i="5"/>
  <c r="E102" i="4" s="1"/>
  <c r="J102" i="4" s="1"/>
  <c r="N20" i="5"/>
  <c r="D20" i="5"/>
  <c r="L20" i="5" s="1"/>
  <c r="P19" i="5"/>
  <c r="E100" i="4" s="1"/>
  <c r="J100" i="4" s="1"/>
  <c r="N19" i="5"/>
  <c r="D19" i="5"/>
  <c r="L19" i="5" s="1"/>
  <c r="P18" i="5"/>
  <c r="N18" i="5"/>
  <c r="D18" i="5"/>
  <c r="L18" i="5" s="1"/>
  <c r="P17" i="5"/>
  <c r="E64" i="9" s="1"/>
  <c r="N17" i="5"/>
  <c r="D17" i="5"/>
  <c r="L17" i="5" s="1"/>
  <c r="P16" i="5"/>
  <c r="D16" i="5"/>
  <c r="L16" i="5" s="1"/>
  <c r="P15" i="5"/>
  <c r="D15" i="5"/>
  <c r="L15" i="5" s="1"/>
  <c r="P14" i="5"/>
  <c r="D14" i="5"/>
  <c r="L14" i="5" s="1"/>
  <c r="P13" i="5"/>
  <c r="N13" i="5"/>
  <c r="D13" i="5"/>
  <c r="L13" i="5" s="1"/>
  <c r="P11" i="5"/>
  <c r="N11" i="5"/>
  <c r="D11" i="5"/>
  <c r="L11" i="5" s="1"/>
  <c r="P10" i="5"/>
  <c r="L10" i="5"/>
  <c r="P9" i="5"/>
  <c r="N9" i="5"/>
  <c r="D9" i="5"/>
  <c r="P8" i="5"/>
  <c r="P23" i="5" s="1"/>
  <c r="L8" i="5"/>
  <c r="A1" i="5"/>
  <c r="F101" i="3"/>
  <c r="F100" i="3"/>
  <c r="F99" i="3"/>
  <c r="F98" i="3"/>
  <c r="F97" i="3"/>
  <c r="F90" i="3"/>
  <c r="F82" i="3"/>
  <c r="F84" i="3" s="1"/>
  <c r="F78" i="3"/>
  <c r="G77" i="3"/>
  <c r="F71" i="3"/>
  <c r="A57" i="3"/>
  <c r="N38" i="3"/>
  <c r="N37" i="3"/>
  <c r="N36" i="3"/>
  <c r="N35" i="3"/>
  <c r="N32" i="3"/>
  <c r="H49" i="3"/>
  <c r="N21" i="3"/>
  <c r="N20" i="3"/>
  <c r="N19" i="3"/>
  <c r="N18" i="3"/>
  <c r="N17" i="3"/>
  <c r="N16" i="3"/>
  <c r="N15" i="3"/>
  <c r="L12" i="3"/>
  <c r="J12" i="3"/>
  <c r="H12" i="3"/>
  <c r="F12" i="3"/>
  <c r="N11" i="3"/>
  <c r="N10" i="3"/>
  <c r="N9" i="3"/>
  <c r="A1" i="3"/>
  <c r="E51" i="2"/>
  <c r="E34" i="2"/>
  <c r="E20" i="2"/>
  <c r="E35" i="2" s="1"/>
  <c r="A3" i="2"/>
  <c r="K103" i="1"/>
  <c r="M103" i="1" s="1"/>
  <c r="E106" i="4" s="1"/>
  <c r="J106" i="4" s="1"/>
  <c r="K102" i="1"/>
  <c r="I98" i="1"/>
  <c r="G98" i="1"/>
  <c r="E98" i="1"/>
  <c r="K97" i="1"/>
  <c r="M97" i="1" s="1"/>
  <c r="K96" i="1"/>
  <c r="M96" i="1" s="1"/>
  <c r="K95" i="1"/>
  <c r="M95" i="1" s="1"/>
  <c r="K94" i="1"/>
  <c r="M94" i="1" s="1"/>
  <c r="K93" i="1"/>
  <c r="M93" i="1" s="1"/>
  <c r="K92" i="1"/>
  <c r="M92" i="1" s="1"/>
  <c r="K91" i="1"/>
  <c r="M91" i="1" s="1"/>
  <c r="K90" i="1"/>
  <c r="M90" i="1" s="1"/>
  <c r="K89" i="1"/>
  <c r="M89" i="1" s="1"/>
  <c r="K88" i="1"/>
  <c r="M88" i="1" s="1"/>
  <c r="K87" i="1"/>
  <c r="M87" i="1" s="1"/>
  <c r="K85" i="1"/>
  <c r="M85" i="1" s="1"/>
  <c r="K84" i="1"/>
  <c r="M84" i="1" s="1"/>
  <c r="K83" i="1"/>
  <c r="M83" i="1" s="1"/>
  <c r="I80" i="1"/>
  <c r="G80" i="1"/>
  <c r="E80" i="1"/>
  <c r="K79" i="1"/>
  <c r="M79" i="1" s="1"/>
  <c r="K78" i="1"/>
  <c r="M78" i="1" s="1"/>
  <c r="K77" i="1"/>
  <c r="M77" i="1" s="1"/>
  <c r="K76" i="1"/>
  <c r="M76" i="1" s="1"/>
  <c r="K75" i="1"/>
  <c r="M75" i="1" s="1"/>
  <c r="K74" i="1"/>
  <c r="M74" i="1" s="1"/>
  <c r="K73" i="1"/>
  <c r="F90" i="8" s="1"/>
  <c r="F92" i="8" s="1"/>
  <c r="F93" i="8" s="1"/>
  <c r="K72" i="1"/>
  <c r="M72" i="1" s="1"/>
  <c r="K71" i="1"/>
  <c r="M71" i="1" s="1"/>
  <c r="K69" i="1"/>
  <c r="M69" i="1" s="1"/>
  <c r="K68" i="1"/>
  <c r="M68" i="1" s="1"/>
  <c r="K67" i="1"/>
  <c r="M67" i="1" s="1"/>
  <c r="K66" i="1"/>
  <c r="M66" i="1" s="1"/>
  <c r="K65" i="1"/>
  <c r="M65" i="1" s="1"/>
  <c r="G52" i="9" s="1"/>
  <c r="K64" i="1"/>
  <c r="M64" i="1" s="1"/>
  <c r="E76" i="9" s="1"/>
  <c r="K63" i="1"/>
  <c r="M63" i="1" s="1"/>
  <c r="K62" i="1"/>
  <c r="M62" i="1" s="1"/>
  <c r="K61" i="1"/>
  <c r="M61" i="1" s="1"/>
  <c r="G54" i="9" s="1"/>
  <c r="K60" i="1"/>
  <c r="M60" i="1" s="1"/>
  <c r="K59" i="1"/>
  <c r="M59" i="1" s="1"/>
  <c r="K58" i="1"/>
  <c r="M58" i="1" s="1"/>
  <c r="K57" i="1"/>
  <c r="M57" i="1" s="1"/>
  <c r="I53" i="1"/>
  <c r="G53" i="1"/>
  <c r="E53" i="1"/>
  <c r="K52" i="1"/>
  <c r="M52" i="1" s="1"/>
  <c r="E88" i="4" s="1"/>
  <c r="J88" i="4" s="1"/>
  <c r="K51" i="1"/>
  <c r="M51" i="1" s="1"/>
  <c r="E90" i="4" s="1"/>
  <c r="J90" i="4" s="1"/>
  <c r="K50" i="1"/>
  <c r="K49" i="1"/>
  <c r="M49" i="1" s="1"/>
  <c r="I45" i="1"/>
  <c r="G45" i="1"/>
  <c r="E45" i="1"/>
  <c r="K44" i="1"/>
  <c r="M44" i="1" s="1"/>
  <c r="K43" i="1"/>
  <c r="M43" i="1" s="1"/>
  <c r="K42" i="1"/>
  <c r="M42" i="1" s="1"/>
  <c r="K41" i="1"/>
  <c r="K40" i="1"/>
  <c r="M40" i="1" s="1"/>
  <c r="K37" i="1"/>
  <c r="M37" i="1" s="1"/>
  <c r="K36" i="1"/>
  <c r="M36" i="1" s="1"/>
  <c r="K35" i="1"/>
  <c r="M35" i="1" s="1"/>
  <c r="K34" i="1"/>
  <c r="M34" i="1" s="1"/>
  <c r="I31" i="1"/>
  <c r="G31" i="1"/>
  <c r="E31" i="1"/>
  <c r="K30" i="1"/>
  <c r="F78" i="8" s="1"/>
  <c r="F80" i="8" s="1"/>
  <c r="F81" i="8" s="1"/>
  <c r="K29" i="1"/>
  <c r="M29" i="1" s="1"/>
  <c r="K28" i="1"/>
  <c r="M28" i="1" s="1"/>
  <c r="K27" i="1"/>
  <c r="M27" i="1" s="1"/>
  <c r="K24" i="1"/>
  <c r="M24" i="1" s="1"/>
  <c r="G24" i="9" s="1"/>
  <c r="K23" i="1"/>
  <c r="M23" i="1" s="1"/>
  <c r="K22" i="1"/>
  <c r="M22" i="1" s="1"/>
  <c r="K21" i="1"/>
  <c r="M21" i="1" s="1"/>
  <c r="K20" i="1"/>
  <c r="M20" i="1" s="1"/>
  <c r="E20" i="9" s="1"/>
  <c r="K19" i="1"/>
  <c r="M19" i="1" s="1"/>
  <c r="E137" i="4" s="1"/>
  <c r="J137" i="4" s="1"/>
  <c r="K18" i="1"/>
  <c r="M18" i="1" s="1"/>
  <c r="K17" i="1"/>
  <c r="M17" i="1" s="1"/>
  <c r="K16" i="1"/>
  <c r="M16" i="1" s="1"/>
  <c r="E117" i="4" s="1"/>
  <c r="J117" i="4" s="1"/>
  <c r="K15" i="1"/>
  <c r="M15" i="1" s="1"/>
  <c r="K14" i="1"/>
  <c r="M14" i="1" s="1"/>
  <c r="K13" i="1"/>
  <c r="K12" i="1"/>
  <c r="M12" i="1" s="1"/>
  <c r="K11" i="1"/>
  <c r="M11" i="1" s="1"/>
  <c r="A2" i="1"/>
  <c r="C11" i="10"/>
  <c r="C10" i="10"/>
  <c r="C9" i="10"/>
  <c r="P2" i="4" s="1"/>
  <c r="C8" i="10"/>
  <c r="K143" i="9" l="1"/>
  <c r="E46" i="4" s="1"/>
  <c r="F84" i="8"/>
  <c r="F86" i="8" s="1"/>
  <c r="F87" i="8" s="1"/>
  <c r="M41" i="1"/>
  <c r="E65" i="9"/>
  <c r="G65" i="9"/>
  <c r="N40" i="3"/>
  <c r="N48" i="3" s="1"/>
  <c r="E133" i="4"/>
  <c r="J133" i="4" s="1"/>
  <c r="G123" i="9"/>
  <c r="E93" i="4"/>
  <c r="J93" i="4" s="1"/>
  <c r="G122" i="9"/>
  <c r="E83" i="4"/>
  <c r="J83" i="4" s="1"/>
  <c r="E134" i="4"/>
  <c r="N23" i="3"/>
  <c r="N30" i="3" s="1"/>
  <c r="F13" i="3"/>
  <c r="K108" i="9"/>
  <c r="E32" i="4" s="1"/>
  <c r="J32" i="4" s="1"/>
  <c r="E99" i="1"/>
  <c r="I46" i="1"/>
  <c r="M102" i="1"/>
  <c r="E87" i="4"/>
  <c r="J87" i="4" s="1"/>
  <c r="G46" i="1"/>
  <c r="I99" i="1"/>
  <c r="F49" i="3"/>
  <c r="F50" i="3" s="1"/>
  <c r="F91" i="3"/>
  <c r="M30" i="1"/>
  <c r="K31" i="1"/>
  <c r="E46" i="1"/>
  <c r="E82" i="4"/>
  <c r="J82" i="4" s="1"/>
  <c r="M73" i="1"/>
  <c r="G63" i="9" s="1"/>
  <c r="D23" i="5"/>
  <c r="J40" i="5" s="1"/>
  <c r="D110" i="8"/>
  <c r="D112" i="8" s="1"/>
  <c r="D113" i="8" s="1"/>
  <c r="N23" i="5"/>
  <c r="J44" i="5" s="1"/>
  <c r="K53" i="1"/>
  <c r="G99" i="1"/>
  <c r="E67" i="4"/>
  <c r="J67" i="4" s="1"/>
  <c r="G147" i="9"/>
  <c r="E147" i="9"/>
  <c r="G74" i="9"/>
  <c r="E74" i="9"/>
  <c r="G75" i="9"/>
  <c r="E75" i="9"/>
  <c r="E85" i="4"/>
  <c r="J85" i="4" s="1"/>
  <c r="E44" i="9"/>
  <c r="G44" i="9"/>
  <c r="E62" i="9"/>
  <c r="G62" i="9"/>
  <c r="G21" i="9"/>
  <c r="E21" i="9"/>
  <c r="G106" i="9"/>
  <c r="K106" i="9" s="1"/>
  <c r="E31" i="4" s="1"/>
  <c r="J31" i="4" s="1"/>
  <c r="E105" i="9"/>
  <c r="K105" i="9" s="1"/>
  <c r="E30" i="4" s="1"/>
  <c r="J30" i="4" s="1"/>
  <c r="M98" i="1"/>
  <c r="G20" i="9"/>
  <c r="K45" i="1"/>
  <c r="K80" i="1"/>
  <c r="F11" i="8"/>
  <c r="E54" i="9"/>
  <c r="G76" i="9"/>
  <c r="E180" i="9"/>
  <c r="E96" i="4"/>
  <c r="J96" i="4" s="1"/>
  <c r="K98" i="1"/>
  <c r="L9" i="5"/>
  <c r="L23" i="5" s="1"/>
  <c r="J42" i="5" s="1"/>
  <c r="F57" i="8"/>
  <c r="G180" i="9"/>
  <c r="E84" i="4"/>
  <c r="J84" i="4" s="1"/>
  <c r="D173" i="8"/>
  <c r="M13" i="1"/>
  <c r="M31" i="1" s="1"/>
  <c r="F27" i="8"/>
  <c r="F50" i="8"/>
  <c r="D121" i="8"/>
  <c r="E52" i="9"/>
  <c r="H90" i="8"/>
  <c r="H92" i="8" s="1"/>
  <c r="E24" i="9"/>
  <c r="F19" i="8"/>
  <c r="F75" i="8"/>
  <c r="M45" i="1"/>
  <c r="M50" i="1"/>
  <c r="E89" i="4" s="1"/>
  <c r="J89" i="4" s="1"/>
  <c r="F43" i="8"/>
  <c r="N12" i="3"/>
  <c r="N13" i="3" s="1"/>
  <c r="F72" i="3"/>
  <c r="J49" i="3"/>
  <c r="J51" i="3" s="1"/>
  <c r="L49" i="3"/>
  <c r="L51" i="3" s="1"/>
  <c r="H51" i="3"/>
  <c r="F79" i="3"/>
  <c r="F102" i="3"/>
  <c r="F95" i="3" s="1"/>
  <c r="F85" i="3"/>
  <c r="E157" i="4"/>
  <c r="J46" i="4"/>
  <c r="E72" i="4"/>
  <c r="E52" i="2"/>
  <c r="E57" i="2" s="1"/>
  <c r="E60" i="2" s="1"/>
  <c r="C66" i="8"/>
  <c r="P1" i="4"/>
  <c r="F66" i="8"/>
  <c r="F35" i="8"/>
  <c r="C35" i="8"/>
  <c r="D66" i="8"/>
  <c r="D35" i="8"/>
  <c r="K171" i="9"/>
  <c r="E59" i="4" s="1"/>
  <c r="J59" i="4" s="1"/>
  <c r="D229" i="8"/>
  <c r="D230" i="8" s="1"/>
  <c r="H49" i="8"/>
  <c r="E124" i="4"/>
  <c r="D80" i="8"/>
  <c r="D81" i="8" s="1"/>
  <c r="H78" i="8"/>
  <c r="H80" i="8" s="1"/>
  <c r="D139" i="8"/>
  <c r="D140" i="8" s="1"/>
  <c r="G85" i="9"/>
  <c r="G135" i="9"/>
  <c r="E81" i="4"/>
  <c r="J81" i="4" s="1"/>
  <c r="D213" i="8"/>
  <c r="D214" i="8" s="1"/>
  <c r="E17" i="9"/>
  <c r="H26" i="8"/>
  <c r="D201" i="8"/>
  <c r="D202" i="8" s="1"/>
  <c r="G61" i="9"/>
  <c r="H42" i="8"/>
  <c r="G35" i="9"/>
  <c r="E95" i="4"/>
  <c r="J95" i="4" s="1"/>
  <c r="E49" i="9"/>
  <c r="E28" i="9"/>
  <c r="K28" i="9" s="1"/>
  <c r="E11" i="4" s="1"/>
  <c r="J11" i="4" s="1"/>
  <c r="G49" i="9"/>
  <c r="E68" i="9"/>
  <c r="E73" i="9"/>
  <c r="E77" i="9"/>
  <c r="E86" i="9"/>
  <c r="G95" i="9"/>
  <c r="E136" i="9"/>
  <c r="E97" i="4"/>
  <c r="J97" i="4" s="1"/>
  <c r="G100" i="9"/>
  <c r="E100" i="9"/>
  <c r="H74" i="8"/>
  <c r="E18" i="9"/>
  <c r="E22" i="9"/>
  <c r="G37" i="9"/>
  <c r="E50" i="9"/>
  <c r="G86" i="9"/>
  <c r="E96" i="9"/>
  <c r="E122" i="9"/>
  <c r="E144" i="4"/>
  <c r="H10" i="8"/>
  <c r="E72" i="9"/>
  <c r="G72" i="9"/>
  <c r="G18" i="9"/>
  <c r="G22" i="9"/>
  <c r="G50" i="9"/>
  <c r="E69" i="9"/>
  <c r="E131" i="9"/>
  <c r="H18" i="8"/>
  <c r="H84" i="8"/>
  <c r="E19" i="9"/>
  <c r="G51" i="9"/>
  <c r="E89" i="9"/>
  <c r="K90" i="9" s="1"/>
  <c r="E21" i="4" s="1"/>
  <c r="J21" i="4" s="1"/>
  <c r="E112" i="9"/>
  <c r="E123" i="9"/>
  <c r="E132" i="9"/>
  <c r="E130" i="4"/>
  <c r="J130" i="4" s="1"/>
  <c r="E101" i="9"/>
  <c r="G132" i="9"/>
  <c r="E131" i="4"/>
  <c r="J131" i="4" s="1"/>
  <c r="E95" i="9"/>
  <c r="H56" i="8"/>
  <c r="E25" i="9"/>
  <c r="E46" i="9"/>
  <c r="E113" i="9"/>
  <c r="E124" i="9"/>
  <c r="E92" i="4"/>
  <c r="J92" i="4" s="1"/>
  <c r="H65" i="8"/>
  <c r="K162" i="9"/>
  <c r="E56" i="4" s="1"/>
  <c r="J56" i="4" s="1"/>
  <c r="D223" i="8"/>
  <c r="D224" i="8" s="1"/>
  <c r="D92" i="8"/>
  <c r="D93" i="8" s="1"/>
  <c r="E10" i="9"/>
  <c r="H34" i="8"/>
  <c r="G45" i="9" l="1"/>
  <c r="E45" i="9"/>
  <c r="G23" i="9"/>
  <c r="G109" i="1"/>
  <c r="G116" i="1" s="1"/>
  <c r="G47" i="9"/>
  <c r="K180" i="9"/>
  <c r="E63" i="4" s="1"/>
  <c r="J63" i="4" s="1"/>
  <c r="E47" i="9"/>
  <c r="E23" i="9"/>
  <c r="E63" i="9"/>
  <c r="K65" i="9" s="1"/>
  <c r="E16" i="4" s="1"/>
  <c r="J16" i="4" s="1"/>
  <c r="K46" i="1"/>
  <c r="K147" i="9"/>
  <c r="E47" i="4" s="1"/>
  <c r="J47" i="4" s="1"/>
  <c r="H81" i="8"/>
  <c r="E109" i="1"/>
  <c r="E116" i="1" s="1"/>
  <c r="H93" i="8"/>
  <c r="E99" i="4"/>
  <c r="J99" i="4" s="1"/>
  <c r="E105" i="4"/>
  <c r="J105" i="4" s="1"/>
  <c r="I109" i="1"/>
  <c r="E67" i="2" s="1"/>
  <c r="E151" i="4"/>
  <c r="F51" i="3"/>
  <c r="M46" i="1"/>
  <c r="M80" i="1"/>
  <c r="M99" i="1" s="1"/>
  <c r="M53" i="1"/>
  <c r="K99" i="1"/>
  <c r="N49" i="3"/>
  <c r="K137" i="9"/>
  <c r="E45" i="4" s="1"/>
  <c r="J45" i="4" s="1"/>
  <c r="J72" i="4"/>
  <c r="E156" i="4"/>
  <c r="E118" i="4"/>
  <c r="J118" i="4" s="1"/>
  <c r="J144" i="4"/>
  <c r="K96" i="9"/>
  <c r="E25" i="4" s="1"/>
  <c r="J25" i="4" s="1"/>
  <c r="K124" i="9"/>
  <c r="E40" i="4" s="1"/>
  <c r="J40" i="4" s="1"/>
  <c r="E138" i="4"/>
  <c r="K101" i="9"/>
  <c r="E26" i="4" s="1"/>
  <c r="J26" i="4" s="1"/>
  <c r="K132" i="9"/>
  <c r="E44" i="4" s="1"/>
  <c r="K77" i="9"/>
  <c r="E191" i="9" s="1"/>
  <c r="E17" i="4" s="1"/>
  <c r="J17" i="4" s="1"/>
  <c r="K113" i="9"/>
  <c r="E34" i="4" s="1"/>
  <c r="J34" i="4" s="1"/>
  <c r="K86" i="9"/>
  <c r="E20" i="4" s="1"/>
  <c r="J20" i="4" s="1"/>
  <c r="E86" i="4"/>
  <c r="H86" i="8"/>
  <c r="H87" i="8" s="1"/>
  <c r="G182" i="9" l="1"/>
  <c r="K25" i="9"/>
  <c r="E189" i="9" s="1"/>
  <c r="E64" i="4"/>
  <c r="J64" i="4" s="1"/>
  <c r="K54" i="9"/>
  <c r="E190" i="9" s="1"/>
  <c r="E182" i="9"/>
  <c r="K109" i="1"/>
  <c r="E66" i="2" s="1"/>
  <c r="E65" i="2"/>
  <c r="M109" i="1"/>
  <c r="N50" i="3"/>
  <c r="N51" i="3"/>
  <c r="E107" i="4"/>
  <c r="J107" i="4" s="1"/>
  <c r="J86" i="4"/>
  <c r="E116" i="4"/>
  <c r="J116" i="4" s="1"/>
  <c r="J138" i="4"/>
  <c r="E53" i="4"/>
  <c r="J53" i="4" s="1"/>
  <c r="J44" i="4"/>
  <c r="E36" i="4"/>
  <c r="J36" i="4" s="1"/>
  <c r="E10" i="4" l="1"/>
  <c r="J10" i="4" s="1"/>
  <c r="K182" i="9"/>
  <c r="E186" i="9" s="1"/>
  <c r="K186" i="9" s="1"/>
  <c r="E18" i="4"/>
  <c r="J18" i="4" s="1"/>
  <c r="E12" i="4"/>
  <c r="J12" i="4" s="1"/>
  <c r="E15" i="4"/>
  <c r="J15" i="4" s="1"/>
  <c r="E108" i="4"/>
  <c r="J108" i="4" s="1"/>
  <c r="G186" i="9" l="1"/>
  <c r="E22" i="4"/>
  <c r="E155" i="4" s="1"/>
  <c r="J22" i="4" l="1"/>
  <c r="E66" i="4"/>
  <c r="J66" i="4" s="1"/>
  <c r="E149" i="4" l="1"/>
  <c r="E68" i="4"/>
  <c r="E153" i="4" s="1"/>
  <c r="J6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6" authorId="0" shapeId="0" xr:uid="{00000000-0006-0000-0600-000001000000}">
      <text>
        <r>
          <rPr>
            <sz val="9"/>
            <color indexed="81"/>
            <rFont val="Tahoma"/>
            <family val="2"/>
          </rPr>
          <t>When determining noncapital activities remember: This category includes borrowing money (and the proceeds from those borrowings) for purposes OTHER than to acquire, construct, or improve capital assets as well as repaying those amounts borrowed, including interest.  Examples include:
-proceeds from bonds, notes,
-cash receipts from grants, subsidies, taxes collected,
-repayments of amounts borrowed,
-interest paid on borrowings,
-cash paid as grants/subsidies to other govts.</t>
        </r>
      </text>
    </comment>
    <comment ref="D17" authorId="0" shapeId="0" xr:uid="{00000000-0006-0000-0600-000002000000}">
      <text>
        <r>
          <rPr>
            <sz val="9"/>
            <color indexed="81"/>
            <rFont val="Tahoma"/>
            <family val="2"/>
          </rPr>
          <t>When determining capital activities remember: This category includes:
(a) acquiring/disposing of capital assets used in providing services/producing goods (cash inflows via grants, contributions from other funds/govts/organizations, taxes, proceeds from sale of/insurance recoveries on capital assets),
(b) borrowing money for acquiring, constructing, or improving capital assets and repaying the amounts borrowed, including interest,
(c) paying for capital assets obtained from vendors on credit.</t>
        </r>
      </text>
    </comment>
  </commentList>
</comments>
</file>

<file path=xl/sharedStrings.xml><?xml version="1.0" encoding="utf-8"?>
<sst xmlns="http://schemas.openxmlformats.org/spreadsheetml/2006/main" count="1707" uniqueCount="1024">
  <si>
    <t>Office of the State Controller</t>
  </si>
  <si>
    <t>2024 Cash Flow Template for Proprietary Funds</t>
  </si>
  <si>
    <t>Select Proprietary Fund:</t>
  </si>
  <si>
    <t>Select Proprietary Fund (Click Here)</t>
  </si>
  <si>
    <t>Enter preparer name, email address, and phone number below:</t>
  </si>
  <si>
    <t>Fund Name:</t>
  </si>
  <si>
    <t>Agency No.:</t>
  </si>
  <si>
    <t>Agency Name:</t>
  </si>
  <si>
    <t>GASB No.:</t>
  </si>
  <si>
    <t>Preparer Name:</t>
  </si>
  <si>
    <t>Email Address:</t>
  </si>
  <si>
    <t>Phone Number:</t>
  </si>
  <si>
    <t>Fiscal Year 2024</t>
  </si>
  <si>
    <t>Internal/External Receipts/Payments:</t>
  </si>
  <si>
    <t>% Internal</t>
  </si>
  <si>
    <t>% External</t>
  </si>
  <si>
    <t>Internal plus External must equal 100%</t>
  </si>
  <si>
    <t>Operating Receipts</t>
  </si>
  <si>
    <t>Receipts from customers</t>
  </si>
  <si>
    <t>Maintain documentation for the auditors on your calculation of internal/external percentages</t>
  </si>
  <si>
    <t xml:space="preserve"> </t>
  </si>
  <si>
    <t>Operating Payments</t>
  </si>
  <si>
    <t>Payments to suppliers</t>
  </si>
  <si>
    <t>Payments for prizes, benefits, and claims</t>
  </si>
  <si>
    <t>TSERS allocations (13th period expense/income amounts):</t>
  </si>
  <si>
    <t>NCFS A/C</t>
  </si>
  <si>
    <t>Amount</t>
  </si>
  <si>
    <t>TSERS allocation – pension expense</t>
  </si>
  <si>
    <t>I_1</t>
  </si>
  <si>
    <t>Debit positive, credit negative</t>
  </si>
  <si>
    <t>See PDF file of pension allocations, 13th period entry (per OSC email)</t>
  </si>
  <si>
    <t>TSERS allocation – miscellaneous expense</t>
  </si>
  <si>
    <t>I_2</t>
  </si>
  <si>
    <t>TSERS allocation – miscellaneous income</t>
  </si>
  <si>
    <t>I_3</t>
  </si>
  <si>
    <t>Credit positive, debit negative</t>
  </si>
  <si>
    <t>OPEB allocations (13th period expense/income amounts):</t>
  </si>
  <si>
    <t>OPEB expense</t>
  </si>
  <si>
    <t>I_4</t>
  </si>
  <si>
    <t>See PDF file of OPEB allocations, 13th period entry (per OSC email)</t>
  </si>
  <si>
    <t>OPEB allocation – miscellaneous expense</t>
  </si>
  <si>
    <t>I_5</t>
  </si>
  <si>
    <t>OPEB allocation – miscellaneous income</t>
  </si>
  <si>
    <t>I_6</t>
  </si>
  <si>
    <t>OPEB allocation - noncapital contributions</t>
  </si>
  <si>
    <t>I_7</t>
  </si>
  <si>
    <t>Hide Columns G-J before publishing to the web.</t>
  </si>
  <si>
    <t>OSC Only</t>
  </si>
  <si>
    <t>Date of Change</t>
  </si>
  <si>
    <t>Worksheet / Narrative #</t>
  </si>
  <si>
    <t>Description of Change</t>
  </si>
  <si>
    <t>Analyst</t>
  </si>
  <si>
    <t>Web Team Notified to Update SIG</t>
  </si>
  <si>
    <t>Revision Date for SIG</t>
  </si>
  <si>
    <t>Date Agencies Notified</t>
  </si>
  <si>
    <t>Exhibit A</t>
  </si>
  <si>
    <t>Statement of Net Position</t>
  </si>
  <si>
    <t>June 30, 2024 and 2023</t>
  </si>
  <si>
    <t>Comp 11P</t>
  </si>
  <si>
    <t>Restatement</t>
  </si>
  <si>
    <t>(Wkst 431BTA)</t>
  </si>
  <si>
    <t>2023, Restated</t>
  </si>
  <si>
    <t>Change</t>
  </si>
  <si>
    <t>ASSETS</t>
  </si>
  <si>
    <t>Current assets:</t>
  </si>
  <si>
    <t>Cash and cash equivalents</t>
  </si>
  <si>
    <t>CCE</t>
  </si>
  <si>
    <t>Pooled cash</t>
  </si>
  <si>
    <t>Restricted pooled cash</t>
  </si>
  <si>
    <t>Investments</t>
  </si>
  <si>
    <t>ExhE</t>
  </si>
  <si>
    <t>Pooled investments</t>
  </si>
  <si>
    <t>Security lending collateral</t>
  </si>
  <si>
    <t>A-16</t>
  </si>
  <si>
    <t>Accounts receivable, net</t>
  </si>
  <si>
    <t>Intergovernmental receivables</t>
  </si>
  <si>
    <t>Interest receivable</t>
  </si>
  <si>
    <t>A-6</t>
  </si>
  <si>
    <t>Premiums receivable</t>
  </si>
  <si>
    <t>A-5</t>
  </si>
  <si>
    <t>Contributions receivable</t>
  </si>
  <si>
    <t>A-18</t>
  </si>
  <si>
    <t>Other receivables</t>
  </si>
  <si>
    <t>Due from other funds</t>
  </si>
  <si>
    <t>A-17</t>
  </si>
  <si>
    <t>Due from component units</t>
  </si>
  <si>
    <t>A-14</t>
  </si>
  <si>
    <t xml:space="preserve">Lease receivable    </t>
  </si>
  <si>
    <t>A-26</t>
  </si>
  <si>
    <r>
      <t xml:space="preserve">PPP Asset receivable   </t>
    </r>
    <r>
      <rPr>
        <b/>
        <sz val="10"/>
        <color rgb="FFFF0000"/>
        <rFont val="Arial"/>
        <family val="2"/>
      </rPr>
      <t xml:space="preserve"> </t>
    </r>
  </si>
  <si>
    <t>A-29A</t>
  </si>
  <si>
    <t>Notes receivable, net</t>
  </si>
  <si>
    <t>Inventories</t>
  </si>
  <si>
    <t>A-2</t>
  </si>
  <si>
    <t>Net OPEB asset</t>
  </si>
  <si>
    <t>Exh G</t>
  </si>
  <si>
    <t>Prepaid items</t>
  </si>
  <si>
    <t>A-3</t>
  </si>
  <si>
    <t>Total current assets</t>
  </si>
  <si>
    <t>Noncurrent assets:</t>
  </si>
  <si>
    <t>Restricted/designated pooled cash</t>
  </si>
  <si>
    <t>Restricted investments</t>
  </si>
  <si>
    <t>A-18A</t>
  </si>
  <si>
    <t>A-26A</t>
  </si>
  <si>
    <t>A-29B</t>
  </si>
  <si>
    <t>A-3-A</t>
  </si>
  <si>
    <t>Capital assets – nondepreciable</t>
  </si>
  <si>
    <t>ExhC</t>
  </si>
  <si>
    <t>Capital assets – depreciable, net</t>
  </si>
  <si>
    <t>Total noncurrent assets</t>
  </si>
  <si>
    <t>Total assets</t>
  </si>
  <si>
    <t>DEFERRED OUTFLOWS OF RESOURCES</t>
  </si>
  <si>
    <t>Deferred loss on refunding</t>
  </si>
  <si>
    <t>Deferred outflows for Asset Retirement Obligation</t>
  </si>
  <si>
    <t>Deferred outflows for OPEB</t>
  </si>
  <si>
    <t>A-23</t>
  </si>
  <si>
    <t>Deferred outflows for pensions</t>
  </si>
  <si>
    <t>Total deferred outflows of resources</t>
  </si>
  <si>
    <t>LIABILITIES</t>
  </si>
  <si>
    <t>Current liabilities:</t>
  </si>
  <si>
    <t>Accounts payable</t>
  </si>
  <si>
    <t>A-22</t>
  </si>
  <si>
    <t>Accrued payroll</t>
  </si>
  <si>
    <t>A-8</t>
  </si>
  <si>
    <t>Notes from direct borrowings</t>
  </si>
  <si>
    <t>Intergovernmental payables</t>
  </si>
  <si>
    <t>Due to primary government</t>
  </si>
  <si>
    <t>A-7</t>
  </si>
  <si>
    <r>
      <t xml:space="preserve">Medical claims payable </t>
    </r>
    <r>
      <rPr>
        <sz val="10"/>
        <rFont val="Arial Narrow"/>
        <family val="2"/>
      </rPr>
      <t>(State Health Plan only)</t>
    </r>
  </si>
  <si>
    <t>A-9</t>
  </si>
  <si>
    <t>Claims payable</t>
  </si>
  <si>
    <t>A-10</t>
  </si>
  <si>
    <t>Unemployment benefits payable</t>
  </si>
  <si>
    <t>A-11</t>
  </si>
  <si>
    <t>Due to fiduciary funds</t>
  </si>
  <si>
    <t>A-12</t>
  </si>
  <si>
    <t>Due to other funds</t>
  </si>
  <si>
    <t>A-19</t>
  </si>
  <si>
    <t>Due to component units</t>
  </si>
  <si>
    <t>A-25</t>
  </si>
  <si>
    <t>Obligations under securities lending</t>
  </si>
  <si>
    <t>Lease liability</t>
  </si>
  <si>
    <t>ExhD</t>
  </si>
  <si>
    <t xml:space="preserve">Subscription (SBITA) liability  </t>
  </si>
  <si>
    <t>Revenue bonds payable</t>
  </si>
  <si>
    <t>Accrued interest payable</t>
  </si>
  <si>
    <t>A-15</t>
  </si>
  <si>
    <t>Funds held for others</t>
  </si>
  <si>
    <t>A-20</t>
  </si>
  <si>
    <t>Obligation for workers' compensation</t>
  </si>
  <si>
    <t>Annuity and life income payable</t>
  </si>
  <si>
    <t>Asset Retirement Obligation</t>
  </si>
  <si>
    <t>Accrued vacation leave</t>
  </si>
  <si>
    <t>Net OPEB liability</t>
  </si>
  <si>
    <t>Unearned revenue</t>
  </si>
  <si>
    <t>Total current liabilities</t>
  </si>
  <si>
    <t>Noncurrent liabilities:</t>
  </si>
  <si>
    <t>Advances from other funds</t>
  </si>
  <si>
    <t>A-13</t>
  </si>
  <si>
    <r>
      <t xml:space="preserve">Subscription (SBITA) liability </t>
    </r>
    <r>
      <rPr>
        <b/>
        <sz val="10"/>
        <color rgb="FFFF0000"/>
        <rFont val="Arial"/>
        <family val="2"/>
      </rPr>
      <t xml:space="preserve"> </t>
    </r>
  </si>
  <si>
    <t>Grant anticipation revenue bonds payable</t>
  </si>
  <si>
    <t>Unamortized discount on bonds payable</t>
  </si>
  <si>
    <t>Unamortized premium on bonds payable</t>
  </si>
  <si>
    <t>Net pension liability</t>
  </si>
  <si>
    <t>Total noncurrent liabilities</t>
  </si>
  <si>
    <t>Total liabilities</t>
  </si>
  <si>
    <t>DEFERRED INFLOWS OF RESOURCES</t>
  </si>
  <si>
    <t>Deferred inflows for OPEB</t>
  </si>
  <si>
    <t>A-24</t>
  </si>
  <si>
    <t>Deferred inflows for pensions</t>
  </si>
  <si>
    <t>A-21</t>
  </si>
  <si>
    <t xml:space="preserve">Deferred inflows for leases    </t>
  </si>
  <si>
    <t>A-27</t>
  </si>
  <si>
    <t xml:space="preserve">Deferred inflows for PPP arrangements </t>
  </si>
  <si>
    <t>A-28</t>
  </si>
  <si>
    <t>Total deferred inflows of resources</t>
  </si>
  <si>
    <t>NET POSITION</t>
  </si>
  <si>
    <t>Total net position</t>
  </si>
  <si>
    <t>Error Check</t>
  </si>
  <si>
    <t>-</t>
  </si>
  <si>
    <t>Assets plus deferred outflows minus liabilities</t>
  </si>
  <si>
    <t>minus deferred inflows equals net position</t>
  </si>
  <si>
    <t>Exhibit B</t>
  </si>
  <si>
    <t>Statement of Revenues, Expenses, and Changes in Net Position</t>
  </si>
  <si>
    <t>For the Fiscal Year Ended June 30, 2024</t>
  </si>
  <si>
    <t>NC ACFR 53P</t>
  </si>
  <si>
    <t>OPERATING REVENUES</t>
  </si>
  <si>
    <t>Sales and services, net</t>
  </si>
  <si>
    <t>B-5</t>
  </si>
  <si>
    <t>Employer contributions</t>
  </si>
  <si>
    <t>B-4</t>
  </si>
  <si>
    <t>Federal grants and contracts</t>
  </si>
  <si>
    <t>B-3</t>
  </si>
  <si>
    <t>Interest earnings on loans</t>
  </si>
  <si>
    <t>B-10</t>
  </si>
  <si>
    <t>Rental and lease earnings</t>
  </si>
  <si>
    <t>B-1</t>
  </si>
  <si>
    <t>Fees, licenses, and fines</t>
  </si>
  <si>
    <t>B-2</t>
  </si>
  <si>
    <t>Toll revenue</t>
  </si>
  <si>
    <t>B-6</t>
  </si>
  <si>
    <t>Insurance premiums</t>
  </si>
  <si>
    <t>B-5A</t>
  </si>
  <si>
    <t>Miscellaneous</t>
  </si>
  <si>
    <t>B-23</t>
  </si>
  <si>
    <t>Total operating revenues</t>
  </si>
  <si>
    <t>OPERATING EXPENSES</t>
  </si>
  <si>
    <t>Personal services</t>
  </si>
  <si>
    <t>B-7B</t>
  </si>
  <si>
    <t>Unemployment benefits</t>
  </si>
  <si>
    <t>B-12</t>
  </si>
  <si>
    <t>Supplies and materials</t>
  </si>
  <si>
    <t>B-7</t>
  </si>
  <si>
    <t>Services</t>
  </si>
  <si>
    <t>B-8</t>
  </si>
  <si>
    <t>Prizes</t>
  </si>
  <si>
    <t>B-13</t>
  </si>
  <si>
    <t>Claims</t>
  </si>
  <si>
    <t>B-9</t>
  </si>
  <si>
    <t>Cost of goods sold</t>
  </si>
  <si>
    <t>B-7A</t>
  </si>
  <si>
    <t>Depreciation</t>
  </si>
  <si>
    <t>B-11</t>
  </si>
  <si>
    <t>Insurance and bonding</t>
  </si>
  <si>
    <t>B-9A</t>
  </si>
  <si>
    <t>Other fixed charges</t>
  </si>
  <si>
    <t>B_9B</t>
  </si>
  <si>
    <t>Other expenses</t>
  </si>
  <si>
    <t>B_9C</t>
  </si>
  <si>
    <t>Total operating expenses</t>
  </si>
  <si>
    <t>Operating income (loss)</t>
  </si>
  <si>
    <t>NONOPERATING REVENUES (EXPENSES)</t>
  </si>
  <si>
    <t>Noncapital grants</t>
  </si>
  <si>
    <t>B-14</t>
  </si>
  <si>
    <t>Noncapital gifts, net</t>
  </si>
  <si>
    <t>B-15</t>
  </si>
  <si>
    <t xml:space="preserve">State aid - coronavirus    </t>
  </si>
  <si>
    <t>B-27</t>
  </si>
  <si>
    <t>Noncapital contributions</t>
  </si>
  <si>
    <t>B-26</t>
  </si>
  <si>
    <t xml:space="preserve">Lease interest revenue     </t>
  </si>
  <si>
    <t>B-28</t>
  </si>
  <si>
    <t xml:space="preserve">Interest and fees </t>
  </si>
  <si>
    <t>B-16</t>
  </si>
  <si>
    <t>Gain (loss) on sale of property and equipment</t>
  </si>
  <si>
    <t>B-17</t>
  </si>
  <si>
    <t>Investment earnings, net</t>
  </si>
  <si>
    <t>Insurance recoveries</t>
  </si>
  <si>
    <t>Grants, aid and subsidies</t>
  </si>
  <si>
    <t>B-21</t>
  </si>
  <si>
    <t>Federal interest subsidy on debt</t>
  </si>
  <si>
    <t>B-22</t>
  </si>
  <si>
    <t>Miscellaneous non-operating revenue</t>
  </si>
  <si>
    <t>B-24</t>
  </si>
  <si>
    <t>Miscellaneous non-operating expense</t>
  </si>
  <si>
    <t>B-25</t>
  </si>
  <si>
    <t>Total Nonoperating revenues (expenses)</t>
  </si>
  <si>
    <t>Income (loss) before other revenues, expenses, and transfers</t>
  </si>
  <si>
    <t>Capital grants</t>
  </si>
  <si>
    <t>B-19</t>
  </si>
  <si>
    <t>Capital gifts, net</t>
  </si>
  <si>
    <t>B-20</t>
  </si>
  <si>
    <t>Transfers in</t>
  </si>
  <si>
    <t>Transfers out</t>
  </si>
  <si>
    <t>B-TO</t>
  </si>
  <si>
    <t>Increase (decrease) in net position</t>
  </si>
  <si>
    <t>Net position, July 1</t>
  </si>
  <si>
    <t>Net position, June 30</t>
  </si>
  <si>
    <t>Error Checks</t>
  </si>
  <si>
    <t>Ending net position agrees with balance sheet</t>
  </si>
  <si>
    <t>Beginning net position agrees with balance sheet</t>
  </si>
  <si>
    <t>Restatement agrees with restatement column on balance sheet</t>
  </si>
  <si>
    <t>Exhibit C</t>
  </si>
  <si>
    <t>Changes in Capital Assets</t>
  </si>
  <si>
    <t>Beginning</t>
  </si>
  <si>
    <t>Adjustments to</t>
  </si>
  <si>
    <t>Additions and</t>
  </si>
  <si>
    <t>Retirements and</t>
  </si>
  <si>
    <t>Ending</t>
  </si>
  <si>
    <r>
      <t xml:space="preserve">Balances </t>
    </r>
    <r>
      <rPr>
        <b/>
        <i/>
        <sz val="9"/>
        <color rgb="FFFF0000"/>
        <rFont val="Arial"/>
        <family val="2"/>
      </rPr>
      <t>(1)</t>
    </r>
  </si>
  <si>
    <t>July 1 Balance</t>
  </si>
  <si>
    <r>
      <t xml:space="preserve">Transfers in </t>
    </r>
    <r>
      <rPr>
        <b/>
        <i/>
        <sz val="9"/>
        <color rgb="FFFF0000"/>
        <rFont val="Arial"/>
        <family val="2"/>
      </rPr>
      <t>(1)</t>
    </r>
  </si>
  <si>
    <r>
      <t xml:space="preserve">Transfers out </t>
    </r>
    <r>
      <rPr>
        <b/>
        <i/>
        <sz val="9"/>
        <color rgb="FFFF0000"/>
        <rFont val="Arial"/>
        <family val="2"/>
      </rPr>
      <t>(1)</t>
    </r>
  </si>
  <si>
    <t>Balances</t>
  </si>
  <si>
    <t>Capital assets, non-depreciable:</t>
  </si>
  <si>
    <t>Land and permanent easements</t>
  </si>
  <si>
    <t>Art, literature, and other artifacts</t>
  </si>
  <si>
    <t>Construction in progress</t>
  </si>
  <si>
    <t>TOTAL CAPITAL ASSETS, NON-DEPRECIABLE</t>
  </si>
  <si>
    <t>(Note: should equal total on Exhibit A)</t>
  </si>
  <si>
    <t>Capital assets, depreciable:</t>
  </si>
  <si>
    <t>Buildings</t>
  </si>
  <si>
    <t>Machinery and equipment</t>
  </si>
  <si>
    <t>General Infrastructure</t>
  </si>
  <si>
    <t>NC DOT highway network</t>
  </si>
  <si>
    <t>NC toll road system</t>
  </si>
  <si>
    <t>Computer software</t>
  </si>
  <si>
    <t>Patents</t>
  </si>
  <si>
    <t>Other intangible assets</t>
  </si>
  <si>
    <t>Subtotal</t>
  </si>
  <si>
    <t>Right to use lease asset - land</t>
  </si>
  <si>
    <t>Right to use lease asset - buildings</t>
  </si>
  <si>
    <t>Right to use lease asset - machinery and equipment</t>
  </si>
  <si>
    <t>Right to use lease asset - general infrastructure</t>
  </si>
  <si>
    <t xml:space="preserve">Subscription (SBITA) asset  </t>
  </si>
  <si>
    <t xml:space="preserve">Subtotal     </t>
  </si>
  <si>
    <t>Total capital assets, depreciable</t>
  </si>
  <si>
    <t>Less accumulated depreciation for:</t>
  </si>
  <si>
    <t>NC DOT Highway Network</t>
  </si>
  <si>
    <t>NC Toll Road System</t>
  </si>
  <si>
    <t>Computer Software</t>
  </si>
  <si>
    <t>Total accumulated depreciation/amortization</t>
  </si>
  <si>
    <t>TOTAL CAPITAL ASSETS, DEPRECIABLE, NET</t>
  </si>
  <si>
    <t>TOTAL CAPITAL ASSETS, NET</t>
  </si>
  <si>
    <t>Note:</t>
  </si>
  <si>
    <t>(1)</t>
  </si>
  <si>
    <t xml:space="preserve"> Enter all amounts as positive numbers except for prior year adjustments.  Prior year adjustments that decrease beginning balances should be</t>
  </si>
  <si>
    <t xml:space="preserve"> entered as negative amounts.</t>
  </si>
  <si>
    <t>Exhibit C, cont.</t>
  </si>
  <si>
    <t>Capital assets - increases:</t>
  </si>
  <si>
    <t>Purchased, constructed, and/or developed</t>
  </si>
  <si>
    <t>C-1</t>
  </si>
  <si>
    <t>Right to use lease assets (noncash portion)</t>
  </si>
  <si>
    <t>C-2</t>
  </si>
  <si>
    <t xml:space="preserve">Noncash portion will equal lease liability additions D-3   </t>
  </si>
  <si>
    <r>
      <t xml:space="preserve">Right to use lease assets (cash portion) </t>
    </r>
    <r>
      <rPr>
        <b/>
        <sz val="9"/>
        <color rgb="FFFF0000"/>
        <rFont val="Arial"/>
        <family val="2"/>
      </rPr>
      <t xml:space="preserve"> </t>
    </r>
  </si>
  <si>
    <t>C-12</t>
  </si>
  <si>
    <t>Upfront payments and ancillary charges included in Right to Use Asset Value represents cash outlay</t>
  </si>
  <si>
    <t xml:space="preserve">Subscription (SBITA) assets (noncash portion)  </t>
  </si>
  <si>
    <t>C-13</t>
  </si>
  <si>
    <t>Noncash portion will equal subscription (SBITA) liability additions D10</t>
  </si>
  <si>
    <t xml:space="preserve">Subscription (SBITA) assets (cash portion)  </t>
  </si>
  <si>
    <t>C-14</t>
  </si>
  <si>
    <t>Upfront payments and ancillary charges included in Right to Use SBITA Asset Value represents cash outlay</t>
  </si>
  <si>
    <t>Donated / transferred in (noncash)</t>
  </si>
  <si>
    <t>C-3</t>
  </si>
  <si>
    <t>Interest expense capitalized</t>
  </si>
  <si>
    <t>C-4</t>
  </si>
  <si>
    <t>Less: interest income capitalized (enter as negative)</t>
  </si>
  <si>
    <t>C-5</t>
  </si>
  <si>
    <t>Reclassifications - construction in progress</t>
  </si>
  <si>
    <t>Total</t>
  </si>
  <si>
    <t>Capital assets - decreases:</t>
  </si>
  <si>
    <t>Cost of capital assets sold</t>
  </si>
  <si>
    <r>
      <t xml:space="preserve">Cost of capital assets written off/ transferred out </t>
    </r>
    <r>
      <rPr>
        <sz val="8"/>
        <rFont val="Arial Narrow"/>
        <family val="2"/>
      </rPr>
      <t>(noncash)</t>
    </r>
  </si>
  <si>
    <t>C-6</t>
  </si>
  <si>
    <t>Accumulated depreciation - increases:</t>
  </si>
  <si>
    <t>Depreciation/amortization expense</t>
  </si>
  <si>
    <t>Acc. deprec. on capital assets transferred in</t>
  </si>
  <si>
    <t>C-10</t>
  </si>
  <si>
    <t>Accumulated depreciation - decreases:</t>
  </si>
  <si>
    <t>Acc. deprec. on capital assets sold</t>
  </si>
  <si>
    <t>Acc. deprec. on capital assets written off / transferred out</t>
  </si>
  <si>
    <t>C-11</t>
  </si>
  <si>
    <t>Other Information</t>
  </si>
  <si>
    <t>Proceeds from sale of capital assets (cash)</t>
  </si>
  <si>
    <t>C-7</t>
  </si>
  <si>
    <t>(Must complete Exhibit E to eliminate "ERROR' message)</t>
  </si>
  <si>
    <t>Automatic Calculation (must equal above)</t>
  </si>
  <si>
    <t>Cost of capital assets written off/ transferred out</t>
  </si>
  <si>
    <t>C_6</t>
  </si>
  <si>
    <t>Less: Acc. deprec. on capital assets sold</t>
  </si>
  <si>
    <t>Less: Acc. deprec. on capital assets written off / transferred out</t>
  </si>
  <si>
    <t>C_11</t>
  </si>
  <si>
    <r>
      <t xml:space="preserve">Plus: Gain (loss) on sale of property and equipment </t>
    </r>
    <r>
      <rPr>
        <i/>
        <sz val="10"/>
        <color rgb="FFFF0000"/>
        <rFont val="Arial Narrow"/>
        <family val="2"/>
      </rPr>
      <t>(2)</t>
    </r>
  </si>
  <si>
    <t>Proceeds from sale of capital assets</t>
  </si>
  <si>
    <t>Note</t>
  </si>
  <si>
    <t>(2)</t>
  </si>
  <si>
    <t>This template assumes the "Gain (loss) on sale of property and equipment" account also includes any losses on capital asset write-offs and transfers out.  If losses on capital asset write-offs and transfers out are charged to another account (e.g., other nonoperating expenses), then this template will need to be adjusted. Contact your OSC analyst.</t>
  </si>
  <si>
    <t>Exhibit D</t>
  </si>
  <si>
    <t>Changes in Long-term Liabilities</t>
  </si>
  <si>
    <t>Due Within</t>
  </si>
  <si>
    <r>
      <t xml:space="preserve">July 1 Balances </t>
    </r>
    <r>
      <rPr>
        <b/>
        <i/>
        <sz val="9"/>
        <color rgb="FFFF0000"/>
        <rFont val="Arial"/>
        <family val="2"/>
      </rPr>
      <t>(2)</t>
    </r>
  </si>
  <si>
    <r>
      <t xml:space="preserve">Additions </t>
    </r>
    <r>
      <rPr>
        <b/>
        <i/>
        <sz val="9"/>
        <color rgb="FFFF0000"/>
        <rFont val="Arial"/>
        <family val="2"/>
      </rPr>
      <t>(2)</t>
    </r>
  </si>
  <si>
    <r>
      <t xml:space="preserve">Reductions </t>
    </r>
    <r>
      <rPr>
        <b/>
        <i/>
        <sz val="9"/>
        <color rgb="FFFF0000"/>
        <rFont val="Arial"/>
        <family val="2"/>
      </rPr>
      <t>(2)</t>
    </r>
  </si>
  <si>
    <t>One Year</t>
  </si>
  <si>
    <t>Notes payable</t>
  </si>
  <si>
    <t>D-2</t>
  </si>
  <si>
    <t>NCTA only</t>
  </si>
  <si>
    <t>To Hide</t>
  </si>
  <si>
    <t>D-2A</t>
  </si>
  <si>
    <t>Direct placements</t>
  </si>
  <si>
    <t>D-2B</t>
  </si>
  <si>
    <t xml:space="preserve">Lease liability </t>
  </si>
  <si>
    <t>D-3</t>
  </si>
  <si>
    <t>D-4</t>
  </si>
  <si>
    <t xml:space="preserve">Subscription (SBITA) liability </t>
  </si>
  <si>
    <t>D-10</t>
  </si>
  <si>
    <t>D-11</t>
  </si>
  <si>
    <t>GARVEE bonds payable</t>
  </si>
  <si>
    <t>Issuance discounts</t>
  </si>
  <si>
    <t>Issuance premiums</t>
  </si>
  <si>
    <t>Workers' compensation</t>
  </si>
  <si>
    <t>D-9</t>
  </si>
  <si>
    <t>Lottery only</t>
  </si>
  <si>
    <t>D-8</t>
  </si>
  <si>
    <t>Compensated absences</t>
  </si>
  <si>
    <t>D-5</t>
  </si>
  <si>
    <t>D-7</t>
  </si>
  <si>
    <t>D-6</t>
  </si>
  <si>
    <t>Total long-term liabilities</t>
  </si>
  <si>
    <t>Bonds and notes payable- increases</t>
  </si>
  <si>
    <t>Cash proceeds from capital debt</t>
  </si>
  <si>
    <t>D-1</t>
  </si>
  <si>
    <t>Other - Specify</t>
  </si>
  <si>
    <t>(Note: should equal column H, row 8)</t>
  </si>
  <si>
    <t>was hidden (probably only Turnpike has capital debt)</t>
  </si>
  <si>
    <t>Notes</t>
  </si>
  <si>
    <t>The "Beginning Balances" and "Ending Balances" include current and noncurrent portions.</t>
  </si>
  <si>
    <t>Total beginning balances equal current and noncurrent portions per balance sheet</t>
  </si>
  <si>
    <t>Total ending balances equal current and noncurrent per balance sheet</t>
  </si>
  <si>
    <t>Due within one year equals current long-term debt per balance sheet</t>
  </si>
  <si>
    <t>Lease liability additions equal "Right to use lease assets (noncash portion)" on Exh C (C-2).</t>
  </si>
  <si>
    <t>Subscription (SBITA) liability additions equal Subscription (SBITA) assets (noncash portion)" on Exh C (C-13).</t>
  </si>
  <si>
    <t>Exhibit E</t>
  </si>
  <si>
    <t>Additional Analysis of Exhibit A and B Captions – FY Ended June 30, 2024</t>
  </si>
  <si>
    <t>Accounts receivable</t>
  </si>
  <si>
    <t>Accounts receivable - related to operating activities (sales and services)</t>
  </si>
  <si>
    <t>E-1</t>
  </si>
  <si>
    <t>Accounts receivable - for transactions in miscellaneous nonoperating revenues</t>
  </si>
  <si>
    <t>E-4</t>
  </si>
  <si>
    <t>Accounts Receivable - unemployment</t>
  </si>
  <si>
    <t>E-69</t>
  </si>
  <si>
    <r>
      <t xml:space="preserve">Intergovernmental receivable - related to operating activities </t>
    </r>
    <r>
      <rPr>
        <sz val="8"/>
        <rFont val="Arial Narrow"/>
        <family val="2"/>
      </rPr>
      <t>(Commerce-ESC only)</t>
    </r>
  </si>
  <si>
    <t>E-6</t>
  </si>
  <si>
    <r>
      <t xml:space="preserve">Intergovernmental receivable - exchange only </t>
    </r>
    <r>
      <rPr>
        <sz val="8"/>
        <rFont val="Arial Narrow"/>
        <family val="2"/>
      </rPr>
      <t>(ABC Commission only)</t>
    </r>
  </si>
  <si>
    <t>E-3</t>
  </si>
  <si>
    <r>
      <t xml:space="preserve">Intergovernmental receivable - related to noncapital activities </t>
    </r>
    <r>
      <rPr>
        <b/>
        <sz val="8"/>
        <color rgb="FFFF0000"/>
        <rFont val="Arial Narrow"/>
        <family val="2"/>
      </rPr>
      <t>(see comment in cell ---&gt;)</t>
    </r>
  </si>
  <si>
    <t>E-7</t>
  </si>
  <si>
    <r>
      <t xml:space="preserve">Intergovernmental receivable - related to capital activities </t>
    </r>
    <r>
      <rPr>
        <b/>
        <sz val="8"/>
        <color rgb="FFFF0000"/>
        <rFont val="Arial Narrow"/>
        <family val="2"/>
      </rPr>
      <t>(see comment in cell ---&gt;)</t>
    </r>
  </si>
  <si>
    <t>E-8</t>
  </si>
  <si>
    <t>Other receivables - related to operating activities (e.g.,cash received from customers)</t>
  </si>
  <si>
    <t>E-9</t>
  </si>
  <si>
    <r>
      <t xml:space="preserve">Accounts receivable - claims </t>
    </r>
    <r>
      <rPr>
        <sz val="8"/>
        <rFont val="Arial Narrow"/>
        <family val="2"/>
      </rPr>
      <t>(State Health Plan and DOI only)</t>
    </r>
  </si>
  <si>
    <t>E-2</t>
  </si>
  <si>
    <t>Other receivables - gifts related to noncapital activities</t>
  </si>
  <si>
    <t>E-10</t>
  </si>
  <si>
    <t>Other receivables - gifts related to capital activities</t>
  </si>
  <si>
    <t>E-11</t>
  </si>
  <si>
    <t>Due from other funds (For use by Enterprise Funds 25XX Only)</t>
  </si>
  <si>
    <t>Due from other funds - considered receipts from customers</t>
  </si>
  <si>
    <t>A-17A</t>
  </si>
  <si>
    <t>Due from other funds - considered other receipts</t>
  </si>
  <si>
    <t>A-17D</t>
  </si>
  <si>
    <t xml:space="preserve">Due from other funds - considered transfers in  </t>
  </si>
  <si>
    <t>A-17G</t>
  </si>
  <si>
    <t>Due from other funds - considered capital activities (CIP capitalized using due from other funds)</t>
  </si>
  <si>
    <t>A-17F</t>
  </si>
  <si>
    <t>Accounts payable - related to operating activities (goods and services)</t>
  </si>
  <si>
    <t>E-21</t>
  </si>
  <si>
    <r>
      <t xml:space="preserve">Prize liability </t>
    </r>
    <r>
      <rPr>
        <sz val="8"/>
        <rFont val="Arial"/>
        <family val="2"/>
      </rPr>
      <t>(Lottery only)</t>
    </r>
  </si>
  <si>
    <t>E-23</t>
  </si>
  <si>
    <t>Accounts payable - related to capital activities (e.g., assets capitalized through AP)</t>
  </si>
  <si>
    <t>E-22a</t>
  </si>
  <si>
    <t>E-22</t>
  </si>
  <si>
    <r>
      <t xml:space="preserve">Accounts payable - Unemployment Fund </t>
    </r>
    <r>
      <rPr>
        <sz val="8"/>
        <rFont val="Arial Narrow"/>
        <family val="2"/>
      </rPr>
      <t>(Commerce-Employ. Security only)</t>
    </r>
  </si>
  <si>
    <t>E-71</t>
  </si>
  <si>
    <t>(Note: should equal amount on Exhibit A)</t>
  </si>
  <si>
    <t>Intergovernmental payable</t>
  </si>
  <si>
    <r>
      <t xml:space="preserve">Intergov't payable - related to operating activities </t>
    </r>
    <r>
      <rPr>
        <sz val="10"/>
        <rFont val="Arial Narrow"/>
        <family val="2"/>
      </rPr>
      <t>(gov't is considered a vendor/supplier)</t>
    </r>
  </si>
  <si>
    <t>E-26</t>
  </si>
  <si>
    <t>Intergovernmental payable - related to noncapital activities</t>
  </si>
  <si>
    <t>E-25</t>
  </si>
  <si>
    <r>
      <t>Intergovernmental payable - claims (unemployment &amp; other insurance funds</t>
    </r>
    <r>
      <rPr>
        <sz val="8"/>
        <rFont val="Arial Narrow"/>
        <family val="2"/>
      </rPr>
      <t>)</t>
    </r>
  </si>
  <si>
    <t>E-70</t>
  </si>
  <si>
    <t xml:space="preserve">Due to component units - related to operating activities </t>
  </si>
  <si>
    <t>E-27</t>
  </si>
  <si>
    <t>Due to component units - related to noncapital activities</t>
  </si>
  <si>
    <t>E-28</t>
  </si>
  <si>
    <r>
      <t>Due to component units - claims (unemployment &amp; other insurance funds</t>
    </r>
    <r>
      <rPr>
        <sz val="8"/>
        <rFont val="Arial Narrow"/>
        <family val="2"/>
      </rPr>
      <t>)</t>
    </r>
  </si>
  <si>
    <t>E-29</t>
  </si>
  <si>
    <t>Due to other funds (For use by Enterprise Funds 25XX Only)</t>
  </si>
  <si>
    <t>Due to other funds - considered payment to suppliers</t>
  </si>
  <si>
    <t>A-19A</t>
  </si>
  <si>
    <t>Due to other funds - considered payment to employees</t>
  </si>
  <si>
    <t>A-19C</t>
  </si>
  <si>
    <t>Due to other funds - considered other payments</t>
  </si>
  <si>
    <t>A-19E</t>
  </si>
  <si>
    <t xml:space="preserve">Due to other funds - considered noncapital activity (e.g. grants, aid and subsidies) </t>
  </si>
  <si>
    <t>A-19G</t>
  </si>
  <si>
    <t>Due to other funds - considered capital activities (CIP capitalized using due from other funds)</t>
  </si>
  <si>
    <t>E-22b</t>
  </si>
  <si>
    <t>A-19F</t>
  </si>
  <si>
    <t>Unearned revenue - related to operating activities (sales and services)</t>
  </si>
  <si>
    <t>E-30</t>
  </si>
  <si>
    <t>Unearned revenue - contributions/grants related to noncapital activities</t>
  </si>
  <si>
    <t>E-31</t>
  </si>
  <si>
    <t>Unearned revenue - contributions/grants related to capital activities</t>
  </si>
  <si>
    <t>E-32</t>
  </si>
  <si>
    <t>Unearned revenue - gifts related to noncapital activities</t>
  </si>
  <si>
    <t>E-33</t>
  </si>
  <si>
    <t>Unearned revenue - gifts related to capital activities</t>
  </si>
  <si>
    <t>E-34</t>
  </si>
  <si>
    <t>Current portion prepaid items</t>
  </si>
  <si>
    <t>Noncash portion prepaid items</t>
  </si>
  <si>
    <t>A-3D</t>
  </si>
  <si>
    <t>A-3B</t>
  </si>
  <si>
    <t>Cash portion prepaid items</t>
  </si>
  <si>
    <t>Non current portion prepaid items</t>
  </si>
  <si>
    <t>A-3E</t>
  </si>
  <si>
    <t>A-3C</t>
  </si>
  <si>
    <t>Other portion - related to operating activities (considered payments to employees)</t>
  </si>
  <si>
    <t>A-20A</t>
  </si>
  <si>
    <t>Supplier portion - related to operating activities (considered payments to suppliers)</t>
  </si>
  <si>
    <t>A-20B</t>
  </si>
  <si>
    <t>Cash portion insurance and bonding</t>
  </si>
  <si>
    <t>B-9D</t>
  </si>
  <si>
    <t>Noncash portion insurance and bonding</t>
  </si>
  <si>
    <t>(Note: should equal amount on Exhibit B)</t>
  </si>
  <si>
    <t>Loan Repayments - interest (EPA Rev Loan only)</t>
  </si>
  <si>
    <t>Loan Repayments - interest - cash portion</t>
  </si>
  <si>
    <t>E-64</t>
  </si>
  <si>
    <t>Loan  repayments - interest - noncash portion/accrual</t>
  </si>
  <si>
    <t>E-68</t>
  </si>
  <si>
    <t>E-67</t>
  </si>
  <si>
    <t>Investments outside the State Treasurer (current, noncurrent, and restricted)</t>
  </si>
  <si>
    <t>E-37</t>
  </si>
  <si>
    <t>Sales and maturities of investments - at cost - cash portion</t>
  </si>
  <si>
    <t>E-39</t>
  </si>
  <si>
    <t>Increase (decrease) in Annuity/Life Income Contracts (Lottery Only)</t>
  </si>
  <si>
    <t>E-40</t>
  </si>
  <si>
    <t>If FV increased, enter change as positive, if decrease enter as negative.</t>
  </si>
  <si>
    <t>(Note: must equal change on Exhibit A)</t>
  </si>
  <si>
    <t>Pooled investments (Bond Index Fund (BIF) &amp; Equity Index Fund (EIF) - exclude STIF)</t>
  </si>
  <si>
    <t>E-38</t>
  </si>
  <si>
    <t>Investment increases (decreases) due to portfolio activity - noncash activity</t>
  </si>
  <si>
    <t>E-56</t>
  </si>
  <si>
    <t>Redemption/sale of pooled investments - at cost - cash portion</t>
  </si>
  <si>
    <t>E-42</t>
  </si>
  <si>
    <t>E-46</t>
  </si>
  <si>
    <t>Investments outside the Statement Treasurer portion:</t>
  </si>
  <si>
    <t>E-41</t>
  </si>
  <si>
    <t>Should agree to Change in Allowance E-40</t>
  </si>
  <si>
    <t>Net increase (decrease) in fair value of investments</t>
  </si>
  <si>
    <t>Pooled investments with the State Treasurer portion:</t>
  </si>
  <si>
    <t>E-74</t>
  </si>
  <si>
    <t>Should agree to Change in Allowance E-46</t>
  </si>
  <si>
    <t>E-75</t>
  </si>
  <si>
    <t>E-50</t>
  </si>
  <si>
    <t>E-76</t>
  </si>
  <si>
    <t>E-43</t>
  </si>
  <si>
    <t>E-73</t>
  </si>
  <si>
    <t xml:space="preserve">Total </t>
  </si>
  <si>
    <t>(Must equal amount on Exhibit B)</t>
  </si>
  <si>
    <t>Insurance recoveries - related to noncapital activities</t>
  </si>
  <si>
    <t>E-44</t>
  </si>
  <si>
    <t>Insurance recoveries - related to capital activities</t>
  </si>
  <si>
    <t>E-45</t>
  </si>
  <si>
    <t>Transfers in - related to noncapital activities</t>
  </si>
  <si>
    <t>E-53</t>
  </si>
  <si>
    <t>Transfers in - related to capital activities</t>
  </si>
  <si>
    <t>E-54</t>
  </si>
  <si>
    <t xml:space="preserve">Transfers out   </t>
  </si>
  <si>
    <t>Transfers out - related to noncapital activities</t>
  </si>
  <si>
    <t>E-81</t>
  </si>
  <si>
    <t>Transfers out - related to capital activities</t>
  </si>
  <si>
    <t>E-82</t>
  </si>
  <si>
    <t xml:space="preserve">Leases receivable (current and noncurrent)  </t>
  </si>
  <si>
    <t>Beginning (restated) combined balance lease receivable</t>
  </si>
  <si>
    <t>Calculated formula from Exhibit A</t>
  </si>
  <si>
    <t xml:space="preserve">     Current year additions (enter as a positive)</t>
  </si>
  <si>
    <t>E-84</t>
  </si>
  <si>
    <t>Keyed by agency: noncash (mapped to Noncash disclosure for increase in nonoperating receivables)</t>
  </si>
  <si>
    <t xml:space="preserve">     Current year principal payments received (enter as a negative)</t>
  </si>
  <si>
    <t>E-79</t>
  </si>
  <si>
    <t>Keyed by agency: Cash inflow for Capital: Proceeds from lease arrangements</t>
  </si>
  <si>
    <t>Ending combined balance lease receivable</t>
  </si>
  <si>
    <t>Notes receivable (net):</t>
  </si>
  <si>
    <t>Loans issued</t>
  </si>
  <si>
    <t>E-65</t>
  </si>
  <si>
    <t>Collection of loans</t>
  </si>
  <si>
    <t>E-66</t>
  </si>
  <si>
    <t>Increase (decrease) in allowance for doubtful accounts</t>
  </si>
  <si>
    <t>E-51</t>
  </si>
  <si>
    <t xml:space="preserve">Loans written off </t>
  </si>
  <si>
    <t>E-52</t>
  </si>
  <si>
    <t>(Note: should equal change on Exhibit A, which is net of allowance)</t>
  </si>
  <si>
    <t>Deferred outflows for pensions:</t>
  </si>
  <si>
    <t>Deferred outflows - contributions after the measurement date</t>
  </si>
  <si>
    <t>E-63</t>
  </si>
  <si>
    <t>See PDF file of pension allocations, page 2 (per OSC email)</t>
  </si>
  <si>
    <t>Other deferred outflows for pensions</t>
  </si>
  <si>
    <t>(Must equal amount on Exhibit A)</t>
  </si>
  <si>
    <t>Deferred outflows for OPEB:</t>
  </si>
  <si>
    <t>See PDF file of OPEB allocations, page 2 (per OSC email)</t>
  </si>
  <si>
    <t>E-72</t>
  </si>
  <si>
    <t>Other deferred outflows for OPEB</t>
  </si>
  <si>
    <t xml:space="preserve">Change in deferred inflows for leases:   </t>
  </si>
  <si>
    <t>Deferred inflows for leases amortized in current period (recognized as lease revenue-noncash)</t>
  </si>
  <si>
    <t>E-80</t>
  </si>
  <si>
    <t>Enter as negative</t>
  </si>
  <si>
    <t>Increase in lease deferred inflows due to upfront payments received in current year (cash)</t>
  </si>
  <si>
    <t>E-83</t>
  </si>
  <si>
    <t>Enter as positive</t>
  </si>
  <si>
    <t>Increase in lease deferred inflows related to current year increase in lease receivable (noncash)</t>
  </si>
  <si>
    <t>Net change in deferred inflows for leases</t>
  </si>
  <si>
    <t xml:space="preserve">Change in deferred inflows for PPP arrangements:   </t>
  </si>
  <si>
    <t>Deferred inflows for PPPs amortized in current period (recognized as revenue-noncash)</t>
  </si>
  <si>
    <t>E-87</t>
  </si>
  <si>
    <t>Increase in PPP deferred inflows due to upfront payments received in current year (cash)</t>
  </si>
  <si>
    <t>E-88</t>
  </si>
  <si>
    <t>Increase in PPP deferred inflows for current year increase in PPP asset/receivable (noncash)</t>
  </si>
  <si>
    <t>Miscellaneous operating revenue:</t>
  </si>
  <si>
    <t>Miscellaneous operating revenue - cash portion</t>
  </si>
  <si>
    <t>E-12</t>
  </si>
  <si>
    <t>Default- Agency to reclassify to non cash category below if necessary.</t>
  </si>
  <si>
    <t>Miscellaneous operating revenue - non cash portion</t>
  </si>
  <si>
    <r>
      <t xml:space="preserve">Claims expense, net:    </t>
    </r>
    <r>
      <rPr>
        <b/>
        <i/>
        <sz val="10"/>
        <color rgb="FFC00000"/>
        <rFont val="Arial"/>
        <family val="2"/>
      </rPr>
      <t xml:space="preserve"> </t>
    </r>
  </si>
  <si>
    <t>Gross claims expense</t>
  </si>
  <si>
    <t>E-85</t>
  </si>
  <si>
    <t>Default-Agency to reclassify for reinsurance receipts - Calculated</t>
  </si>
  <si>
    <t>Reinsurance receipts - claims offset</t>
  </si>
  <si>
    <t>E-86</t>
  </si>
  <si>
    <t>Manual adjustment by agency, enter as a negative</t>
  </si>
  <si>
    <t>Total claims expense, net</t>
  </si>
  <si>
    <t>Miscellaneous nonoperating revenue:</t>
  </si>
  <si>
    <t>Miscellaneous nonoperating revenue - cash portion</t>
  </si>
  <si>
    <t>E-5</t>
  </si>
  <si>
    <t>Default- Agency to reclassify to non cash and lease interest below if necessary.</t>
  </si>
  <si>
    <t>Miscellaneous nonoperating revenue - non cash portion</t>
  </si>
  <si>
    <t>Miscellaneous nonoperating expense:</t>
  </si>
  <si>
    <t>Miscellaneous nonoperating expense - cash portion</t>
  </si>
  <si>
    <t>E-77</t>
  </si>
  <si>
    <t>Miscellaneous nonoperating expense - non cash portion</t>
  </si>
  <si>
    <t>Supplies &amp; materials:</t>
  </si>
  <si>
    <t>Supplies &amp; materials - related to operating activities - Total</t>
  </si>
  <si>
    <t>E-13</t>
  </si>
  <si>
    <t>Default - will change automatically if non-capital entered.</t>
  </si>
  <si>
    <t>Supplies &amp; materials - related to operating activities - capital outlay amt (caption 53P)</t>
  </si>
  <si>
    <t>E-14</t>
  </si>
  <si>
    <t>Other expenses (caption on 53P):</t>
  </si>
  <si>
    <t>Other expenses - related to operating activities - (considered payments to suppliers)</t>
  </si>
  <si>
    <t>E-15</t>
  </si>
  <si>
    <t>Other expenses - related to operating activities - (considered other payments)</t>
  </si>
  <si>
    <t>E-16</t>
  </si>
  <si>
    <t>Exhibit F</t>
  </si>
  <si>
    <t>Cash Flow Worksheet – FY Ended June 30, 2024</t>
  </si>
  <si>
    <t>Inflows</t>
  </si>
  <si>
    <t>Outflows</t>
  </si>
  <si>
    <t>Ref.</t>
  </si>
  <si>
    <t>Caption Totals</t>
  </si>
  <si>
    <t>CASH FLOWS FROM OPERATING ACTIVITIES</t>
  </si>
  <si>
    <t>25xx Adjustment due from other funds</t>
  </si>
  <si>
    <t>Amortized lease revenue (decrease in deferred inflows for leases)</t>
  </si>
  <si>
    <t>Fees, licenses and fines</t>
  </si>
  <si>
    <t>Change in accounts payable - unemployment</t>
  </si>
  <si>
    <t>Change in accounts receivable - operating</t>
  </si>
  <si>
    <t>Change in intergovernmental receivable - exchange (ABC Commission)</t>
  </si>
  <si>
    <t>Change in premiums receivable</t>
  </si>
  <si>
    <t>Change in contributions receivable - unemployment</t>
  </si>
  <si>
    <t>A-18, A-18A</t>
  </si>
  <si>
    <t>Change in other receivables - operating</t>
  </si>
  <si>
    <t>Change in due from other funds</t>
  </si>
  <si>
    <t>Change in due from component units</t>
  </si>
  <si>
    <t xml:space="preserve">Change in unearned revenue - operating </t>
  </si>
  <si>
    <t>Receipts from federal agencies</t>
  </si>
  <si>
    <t>Change in intergovernmental receivable - operating (ESC)</t>
  </si>
  <si>
    <t>Loan Issuances</t>
  </si>
  <si>
    <t>Loan repayments - interest</t>
  </si>
  <si>
    <t>Loan repayments - principal</t>
  </si>
  <si>
    <t>25xx Adjustment due to other funds</t>
  </si>
  <si>
    <t>B-9B</t>
  </si>
  <si>
    <t>Other operating expenses</t>
  </si>
  <si>
    <t>E-14, E-15</t>
  </si>
  <si>
    <t>I-2</t>
  </si>
  <si>
    <t>I-5</t>
  </si>
  <si>
    <t>Notes receivable: increase (decrease) in allowance for doubtful accounts</t>
  </si>
  <si>
    <t>Notes receivable: loans written off</t>
  </si>
  <si>
    <t>Change in inventories</t>
  </si>
  <si>
    <t>Change in prepaid items</t>
  </si>
  <si>
    <t>A-3,A-3A</t>
  </si>
  <si>
    <t>Change in accounts payable - operating goods and services</t>
  </si>
  <si>
    <t>Change in due to other funds</t>
  </si>
  <si>
    <t>Change in due to component units</t>
  </si>
  <si>
    <t>Change in intergovernmental payable - operating</t>
  </si>
  <si>
    <t>Change in due to component units - operating</t>
  </si>
  <si>
    <t>Change in funds held for others - suppliers</t>
  </si>
  <si>
    <t>Change in due to fiduciary</t>
  </si>
  <si>
    <t>Due to other funds - non insurance portion</t>
  </si>
  <si>
    <t>L-4</t>
  </si>
  <si>
    <t>Payments to employees</t>
  </si>
  <si>
    <t>Pension expense - proportionate share for TSERS</t>
  </si>
  <si>
    <t>I-1</t>
  </si>
  <si>
    <t>OPEB expense - proportionate share</t>
  </si>
  <si>
    <t>I-4</t>
  </si>
  <si>
    <t>Deferred outflows - contributions after the measurement date-GASB 68</t>
  </si>
  <si>
    <t>Deferred outflows - contributions after the measurement date-OPEB</t>
  </si>
  <si>
    <t>Change in accrued payroll</t>
  </si>
  <si>
    <t>Change in funds held for others - other</t>
  </si>
  <si>
    <t>Change in accrued vacation leave</t>
  </si>
  <si>
    <t>Payments for prizes, benefits &amp; claims</t>
  </si>
  <si>
    <t>Lottery prizes</t>
  </si>
  <si>
    <t>Change In accounts receivable - unemployment</t>
  </si>
  <si>
    <t>Change in Lottery prize liability payable</t>
  </si>
  <si>
    <t xml:space="preserve">Change in due to component units - claims </t>
  </si>
  <si>
    <t>Change in intergovernmental payable - claims</t>
  </si>
  <si>
    <t>Change in medical claims payable</t>
  </si>
  <si>
    <t>Change in claims payable</t>
  </si>
  <si>
    <t>Change in unemployment benefits payable</t>
  </si>
  <si>
    <t>Change in accounts receivable - claims</t>
  </si>
  <si>
    <t>Other receipts</t>
  </si>
  <si>
    <t>Miscellaneous operating revenues</t>
  </si>
  <si>
    <t>TSERS allocation – miscellaneous operating revenue</t>
  </si>
  <si>
    <t>I-3</t>
  </si>
  <si>
    <t>OPEB allocation – miscellaneous operating revenue</t>
  </si>
  <si>
    <t>I-6</t>
  </si>
  <si>
    <t>Amortized revenue (PPP deferred inflows - noncash)</t>
  </si>
  <si>
    <t xml:space="preserve">Reinsurance receipts (claims offset)     </t>
  </si>
  <si>
    <t>Miscellaneous nonoperating revenues</t>
  </si>
  <si>
    <t>Change in accounts receivable - miscellaneous nonoperating revenues</t>
  </si>
  <si>
    <t>Other payments</t>
  </si>
  <si>
    <t>Other expenses - excluding capital outlay &amp; other fixed charges</t>
  </si>
  <si>
    <t>Miscellaneous nonoperating expenses</t>
  </si>
  <si>
    <t>CASH FLOWS FROM NONCAPITAL FINANCING ACTIVITIES</t>
  </si>
  <si>
    <t>Grants receipts</t>
  </si>
  <si>
    <t>Change in intergovernmental receivable - noncapital</t>
  </si>
  <si>
    <t>Change in unearned revenues - noncapital grants</t>
  </si>
  <si>
    <t>Grants, aid, and subsidies</t>
  </si>
  <si>
    <t>Change in due to other funds - noncapital</t>
  </si>
  <si>
    <t>Change in due to component units - noncapital</t>
  </si>
  <si>
    <t>Change in intergovernmental payable - noncapital</t>
  </si>
  <si>
    <t xml:space="preserve">State aid - coronavirus  </t>
  </si>
  <si>
    <t>I-7</t>
  </si>
  <si>
    <t>Repayment of advances to other funds</t>
  </si>
  <si>
    <t>Change in due from other funds - transfers in</t>
  </si>
  <si>
    <t>Transfers from other funds</t>
  </si>
  <si>
    <t>Transfers to other funds</t>
  </si>
  <si>
    <t>Gifts</t>
  </si>
  <si>
    <t>Change in other receivable - noncapital gifts</t>
  </si>
  <si>
    <t>Change in unearned revenues - noncapital gifts</t>
  </si>
  <si>
    <t>Insurance recoveries - noncapital</t>
  </si>
  <si>
    <t>CASH FLOWS FROM CAPITAL AND RELATED FINANCING</t>
  </si>
  <si>
    <t>ACTIVITIES</t>
  </si>
  <si>
    <t>Acquisition and construction of capital assets</t>
  </si>
  <si>
    <t>Capital assets - increases: acquisitions purchased/constructed</t>
  </si>
  <si>
    <t xml:space="preserve">Upfront payments - Right to Use Leased Assets   </t>
  </si>
  <si>
    <t xml:space="preserve">Upfront payments - Right to Use SBITA Assets   </t>
  </si>
  <si>
    <t xml:space="preserve">Change in accounts payable - capital assets </t>
  </si>
  <si>
    <t>Capital grants/contributions</t>
  </si>
  <si>
    <t>Change in unearned revenues - capital grants</t>
  </si>
  <si>
    <t>Change in intergovernmental receivable - capital</t>
  </si>
  <si>
    <t>Capital gifts received</t>
  </si>
  <si>
    <t>Change in other receivables - capital gifts</t>
  </si>
  <si>
    <t>Change in unearned revenues - capital gifts</t>
  </si>
  <si>
    <t>Capital assets - increases: donations and/or transferred in</t>
  </si>
  <si>
    <t>Principal paid on capital debt</t>
  </si>
  <si>
    <t>Notes payable - reductions</t>
  </si>
  <si>
    <t>Notes from Direct Borrowings-Reductions</t>
  </si>
  <si>
    <t>Notes from Direct Placement</t>
  </si>
  <si>
    <t>Lease liability - reductions</t>
  </si>
  <si>
    <t xml:space="preserve">Subscription (SBITA) liability - reductions  </t>
  </si>
  <si>
    <t>Interest paid on capital debt</t>
  </si>
  <si>
    <t>Interest and fees on debt</t>
  </si>
  <si>
    <t>Capital assets - increases: interest expense capitalized</t>
  </si>
  <si>
    <t>Change in interest payable</t>
  </si>
  <si>
    <t>Federal subsidy for interest on debt</t>
  </si>
  <si>
    <t>Insurance recoveries - capital</t>
  </si>
  <si>
    <t>Proceeds from capital debt</t>
  </si>
  <si>
    <t>was hidden</t>
  </si>
  <si>
    <t xml:space="preserve">Proceeds from lease arrangements   </t>
  </si>
  <si>
    <t>Lease interest revenue</t>
  </si>
  <si>
    <t>Increase in lease deferred inflows due to upfront payments received</t>
  </si>
  <si>
    <t>Current year lease principal received</t>
  </si>
  <si>
    <t xml:space="preserve">Proceeds from PPP arrangements  </t>
  </si>
  <si>
    <t>Increase in PPP deferred inflows due to upfront payments received</t>
  </si>
  <si>
    <t>CASH FLOWS FROM INVESTING ACTIVITIES</t>
  </si>
  <si>
    <t>Proceeds from sales and maturities of non-State Treasurer investments</t>
  </si>
  <si>
    <t>Sales and maturities of investments (at cost)</t>
  </si>
  <si>
    <t>Realized gain (loss) on sale</t>
  </si>
  <si>
    <t xml:space="preserve">Purchase of non-State Treasurer investments </t>
  </si>
  <si>
    <t>Purchase of investments (at cost)</t>
  </si>
  <si>
    <t>Investment expenses (Note: assume no related payables)</t>
  </si>
  <si>
    <t>Delete row at future time - move formula</t>
  </si>
  <si>
    <t>Purchase into State Treasurer investment pool</t>
  </si>
  <si>
    <t>Investment Expenses</t>
  </si>
  <si>
    <t>Redemptions from State Treasurer investment pool</t>
  </si>
  <si>
    <t>Investment earnings</t>
  </si>
  <si>
    <t>B-10, E-64</t>
  </si>
  <si>
    <t>Investment income</t>
  </si>
  <si>
    <t>E-50(L_7), E-75</t>
  </si>
  <si>
    <t>Capital assets - increases: interest income capitalized</t>
  </si>
  <si>
    <t>Change in interest receivable - investments</t>
  </si>
  <si>
    <t xml:space="preserve">Total inflows less total outflows equals change in cash and </t>
  </si>
  <si>
    <t>cash equivalents on balance sheet</t>
  </si>
  <si>
    <t>Internal Receipts/Payments</t>
  </si>
  <si>
    <t>Receipts from customers - internal</t>
  </si>
  <si>
    <t>Payments to suppliers - internal</t>
  </si>
  <si>
    <t>Payments for prizes, benefits, and claims- internal</t>
  </si>
  <si>
    <t>Additional Analysis of Exhibit A and B Captions – FY Ended June 30, 2019</t>
  </si>
  <si>
    <t>Adjustment to receipts from customer</t>
  </si>
  <si>
    <t>Agent/retailer commission - Acct. No. 532170016</t>
  </si>
  <si>
    <t>L-1</t>
  </si>
  <si>
    <t>Calculated amount to Exhibit F</t>
  </si>
  <si>
    <t>L-2</t>
  </si>
  <si>
    <t>Adjustment to payments to suppliers services</t>
  </si>
  <si>
    <t>Payments to supplier services per Exhibit B</t>
  </si>
  <si>
    <t>L-3</t>
  </si>
  <si>
    <t>Transfer to other funds</t>
  </si>
  <si>
    <t>Due to other funds beginning balance</t>
  </si>
  <si>
    <t>Increase/Decrease non-insurance portion</t>
  </si>
  <si>
    <t>Transferred to other funds</t>
  </si>
  <si>
    <t>L-5</t>
  </si>
  <si>
    <t>Total Ending Balance</t>
  </si>
  <si>
    <t>Adjustment to Miscellaneous Operating Cash</t>
  </si>
  <si>
    <t>Miscellaneous Operating Expense Per Exhibit B</t>
  </si>
  <si>
    <t>Securities Lending Portion</t>
  </si>
  <si>
    <t>Adjusted Total To Exhibit F</t>
  </si>
  <si>
    <t>L-6</t>
  </si>
  <si>
    <t>Investment Income</t>
  </si>
  <si>
    <t>L-7</t>
  </si>
  <si>
    <t>Exhibit G</t>
  </si>
  <si>
    <t>FCCS Entity</t>
  </si>
  <si>
    <t>FCCS Agency</t>
  </si>
  <si>
    <t>Statement of Cash Flows</t>
  </si>
  <si>
    <t>Adjustments</t>
  </si>
  <si>
    <t>OSC Use Only</t>
  </si>
  <si>
    <t>Receipts from other funds</t>
  </si>
  <si>
    <t>Receipts from program loan repayments - principal</t>
  </si>
  <si>
    <t>Receipts from program loan repayments - interest</t>
  </si>
  <si>
    <t>Payments to other funds</t>
  </si>
  <si>
    <t>Payments for program loans issued</t>
  </si>
  <si>
    <t>Net cash provided by (used in) operating activities</t>
  </si>
  <si>
    <t>Grant receipts</t>
  </si>
  <si>
    <t xml:space="preserve">State aid - coronavirus     </t>
  </si>
  <si>
    <t>State aid - coronavirus</t>
  </si>
  <si>
    <t>Federal COVID-19 funds</t>
  </si>
  <si>
    <t>Federal aid - covid-19</t>
  </si>
  <si>
    <t>Repayment of advances from other funds</t>
  </si>
  <si>
    <t>Transfers from other funds non capital</t>
  </si>
  <si>
    <t>Insurance recoveries non capital</t>
  </si>
  <si>
    <t>Net cash provided by noncapital financing activities</t>
  </si>
  <si>
    <t>Proceeds from the sale of capital assets capital</t>
  </si>
  <si>
    <t>Transfers from other funds capital</t>
  </si>
  <si>
    <t>Transfers from to funds capital</t>
  </si>
  <si>
    <t>Capital contributions</t>
  </si>
  <si>
    <t>Capital gifts</t>
  </si>
  <si>
    <t>Insurance recoveries capital</t>
  </si>
  <si>
    <t xml:space="preserve">Proceeds from lease arrangements     </t>
  </si>
  <si>
    <t>Proceeds from lease arrangements</t>
  </si>
  <si>
    <t>Proceeds from PPP arrangements</t>
  </si>
  <si>
    <t>Net cash provided (used) by capital and related financing activities</t>
  </si>
  <si>
    <t>Proceeds from sales/maturities of non-State Treasurer investments</t>
  </si>
  <si>
    <t>Purchase of non-State Treasurer investments</t>
  </si>
  <si>
    <t>Purchase into State Treasurer Investment Pool</t>
  </si>
  <si>
    <t>Redemptions from State Treasurer Investment Pool</t>
  </si>
  <si>
    <t>Loan issuances</t>
  </si>
  <si>
    <t>Need to hide</t>
  </si>
  <si>
    <t>Net cash provided (used) by investing activities</t>
  </si>
  <si>
    <t>Net increase (decrease) in cash and cash equivalents</t>
  </si>
  <si>
    <t>Cash and cash equivalents, July 1</t>
  </si>
  <si>
    <t>Cash and cash equivalents, June 30</t>
  </si>
  <si>
    <t xml:space="preserve">Reconciliation of operating income or loss to net cash used </t>
  </si>
  <si>
    <t xml:space="preserve">  by operating activities:</t>
  </si>
  <si>
    <t>Adjustments to reconcile operating income (loss) to net cash</t>
  </si>
  <si>
    <t xml:space="preserve">  provided by operating activities: </t>
  </si>
  <si>
    <t>Depreciation expense</t>
  </si>
  <si>
    <r>
      <t xml:space="preserve">Lease revenue (amortized deferred inflow for leases) </t>
    </r>
    <r>
      <rPr>
        <sz val="10"/>
        <color rgb="FFC00000"/>
        <rFont val="Arial"/>
        <family val="2"/>
      </rPr>
      <t xml:space="preserve"> </t>
    </r>
  </si>
  <si>
    <t>Lease revenue (amortized deferred inflow for leases)</t>
  </si>
  <si>
    <t xml:space="preserve">Miscellaneous revenue (amortized deferred inflows for PPPs-noncash) </t>
  </si>
  <si>
    <t>Miscellaneous revenue (amortized deferred inflows for PPPs-noncash)</t>
  </si>
  <si>
    <t>Nonoperating miscellaneous and other income (expense)</t>
  </si>
  <si>
    <t>E-5, B-25</t>
  </si>
  <si>
    <t>Nonoperating miscellaneous income (expense)</t>
  </si>
  <si>
    <t>Hide - no longer DEQ reconciling item</t>
  </si>
  <si>
    <t>Change in assets and deferred outflows:</t>
  </si>
  <si>
    <t>Receivables</t>
  </si>
  <si>
    <t>Various</t>
  </si>
  <si>
    <t>Notes receivable</t>
  </si>
  <si>
    <t>ExhA</t>
  </si>
  <si>
    <t>Change in liabilities and deferred inflows:</t>
  </si>
  <si>
    <t>Accounts payable and accrued liabilities</t>
  </si>
  <si>
    <t>NCTA</t>
  </si>
  <si>
    <t>E-27,E-29</t>
  </si>
  <si>
    <t>Deposits payable</t>
  </si>
  <si>
    <t>NCTA and State Fair</t>
  </si>
  <si>
    <t>D-7, I-7</t>
  </si>
  <si>
    <t xml:space="preserve">  Total adjustments</t>
  </si>
  <si>
    <t>Noncash investing, capital, and financing activities:</t>
  </si>
  <si>
    <t>Noncash distributions from the State Treasurer Investment Pool and/or other agencies</t>
  </si>
  <si>
    <t>Noncash dist. from State Treas Invest Pool and/or other agencies</t>
  </si>
  <si>
    <t>Donated or transferred assets</t>
  </si>
  <si>
    <t>C-3, C-10</t>
  </si>
  <si>
    <t>Construction in progress accrual</t>
  </si>
  <si>
    <t>Research how to determine</t>
  </si>
  <si>
    <t>Capital asset writeoff</t>
  </si>
  <si>
    <t>C-6, C11</t>
  </si>
  <si>
    <t>Change in fair value of investments</t>
  </si>
  <si>
    <t>E-40, E-46</t>
  </si>
  <si>
    <t>Increase in receivables related to nonoperating income</t>
  </si>
  <si>
    <t>Note 1</t>
  </si>
  <si>
    <t>Change in securities lending collateral</t>
  </si>
  <si>
    <t>Assets acquired through assumption of a liability</t>
  </si>
  <si>
    <t>Note 2</t>
  </si>
  <si>
    <t>Decrease in net OPEB liability related to noncapital contributions</t>
  </si>
  <si>
    <t>Provision for uncollectible loans and write-offs</t>
  </si>
  <si>
    <t>Notes receivable, net - change in allowance for doubtful accounts</t>
  </si>
  <si>
    <t xml:space="preserve">Notes receivable, net - loans written off </t>
  </si>
  <si>
    <t xml:space="preserve">     Total</t>
  </si>
  <si>
    <t>Notes - Noncash Section</t>
  </si>
  <si>
    <t>Noncash section - increase in receivables related to nonoperating income</t>
  </si>
  <si>
    <t>Increase in accounts receivable - related to nonoperating revenues</t>
  </si>
  <si>
    <t>Increase in other receivables - noncapital gifts</t>
  </si>
  <si>
    <t>Increase in other receivables - capital gifts</t>
  </si>
  <si>
    <t>Increase in intergovernmental receivable - noncapital (excluding claims)</t>
  </si>
  <si>
    <t>Increase in intergovernmental receivable - capital</t>
  </si>
  <si>
    <t xml:space="preserve">Increase in due from other funds - capital   </t>
  </si>
  <si>
    <t xml:space="preserve">Increase in lease receivable - capital   </t>
  </si>
  <si>
    <r>
      <t xml:space="preserve">Increase in PPP asset receivable </t>
    </r>
    <r>
      <rPr>
        <sz val="10"/>
        <color rgb="FFC00000"/>
        <rFont val="Arial"/>
        <family val="2"/>
      </rPr>
      <t xml:space="preserve"> </t>
    </r>
  </si>
  <si>
    <t>A-29A, A-29B</t>
  </si>
  <si>
    <t>Increase in interest receivable</t>
  </si>
  <si>
    <t>Noncash section - assets acquired through the assumption of a liability</t>
  </si>
  <si>
    <t>Payables at 6/30 - capital assets (capitalized on Exhibit A)</t>
  </si>
  <si>
    <t>E-22a, E-22b</t>
  </si>
  <si>
    <t>Increase in lease liability</t>
  </si>
  <si>
    <t xml:space="preserve">Increase in subscription (SBITA) liability  </t>
  </si>
  <si>
    <t xml:space="preserve"> Error Checks</t>
  </si>
  <si>
    <t>Net increase in cash and cash equivalents agrees with change on</t>
  </si>
  <si>
    <t>balance sheet</t>
  </si>
  <si>
    <t xml:space="preserve">Beginning cash and cash equivalents per cash flow statement agrees </t>
  </si>
  <si>
    <t>with the balance sheet</t>
  </si>
  <si>
    <t>Ending cash and cash equivalents per cash flow statement agrees</t>
  </si>
  <si>
    <t>Net cash provided by (used in) operating activities equals corresponding</t>
  </si>
  <si>
    <t>amount on reconciliation section</t>
  </si>
  <si>
    <t>Operating income (loss) on reconciliation agrees with Exhibit B</t>
  </si>
  <si>
    <t>Depreciation expense on reconciliation agrees with Exhibit B</t>
  </si>
  <si>
    <t xml:space="preserve">GASB </t>
  </si>
  <si>
    <t>Agency</t>
  </si>
  <si>
    <t>Proprietary Fund Name</t>
  </si>
  <si>
    <t>Number</t>
  </si>
  <si>
    <t>Fund Name</t>
  </si>
  <si>
    <t>Agency Name</t>
  </si>
  <si>
    <t>07 State Health Plan</t>
  </si>
  <si>
    <t>2629</t>
  </si>
  <si>
    <t>State Health Plan</t>
  </si>
  <si>
    <t>07</t>
  </si>
  <si>
    <t>Department of State Treasurer</t>
  </si>
  <si>
    <t>10 Other Funds (2500)</t>
  </si>
  <si>
    <t>Other Funds</t>
  </si>
  <si>
    <t>10</t>
  </si>
  <si>
    <t>Department of Agriculture</t>
  </si>
  <si>
    <t>10 Farmers Market (2501)</t>
  </si>
  <si>
    <t>Farmers Market</t>
  </si>
  <si>
    <t>10 State Fair (2515)</t>
  </si>
  <si>
    <t>State Fair</t>
  </si>
  <si>
    <t>12 Volunteer Safety Workers Comp (2520)</t>
  </si>
  <si>
    <t>2520</t>
  </si>
  <si>
    <t>Volunteer Safety Workers Comp</t>
  </si>
  <si>
    <t>12</t>
  </si>
  <si>
    <t>Department of Insurance</t>
  </si>
  <si>
    <t>12 State Public Education Property Insurance (2531)</t>
  </si>
  <si>
    <t>State Public Education Property Insurance</t>
  </si>
  <si>
    <t>12 State Property Fire Insurance (2717)</t>
  </si>
  <si>
    <t>State Property Fire Insurance</t>
  </si>
  <si>
    <t>13 Federal Surplus Property (2702)</t>
  </si>
  <si>
    <t>Federal Surplus Property</t>
  </si>
  <si>
    <t>13</t>
  </si>
  <si>
    <t>Department of Administration</t>
  </si>
  <si>
    <t>13 Mail Service Center (2723)</t>
  </si>
  <si>
    <t>Mail Service Center</t>
  </si>
  <si>
    <t>13 Motor Fleet Management (2714)</t>
  </si>
  <si>
    <t>Motor Fleet Management</t>
  </si>
  <si>
    <t>13 State Surplus Property (2706)</t>
  </si>
  <si>
    <t>State Surplus Property</t>
  </si>
  <si>
    <t>13 Temporary Solutions (2728)</t>
  </si>
  <si>
    <t>Temporary Solutions</t>
  </si>
  <si>
    <t>15 NC Turnpike Authority (2543)</t>
  </si>
  <si>
    <t>NC Turnpike Authority</t>
  </si>
  <si>
    <t>15</t>
  </si>
  <si>
    <t>Department of Transportation</t>
  </si>
  <si>
    <t>16 Revolving Loan Fund (2536-37)</t>
  </si>
  <si>
    <t>2536</t>
  </si>
  <si>
    <t>Revolving Loan Fund</t>
  </si>
  <si>
    <t>16</t>
  </si>
  <si>
    <t>Department of Environmental Quality</t>
  </si>
  <si>
    <t>19 ABC Commission (2540)</t>
  </si>
  <si>
    <t>ABC Commission</t>
  </si>
  <si>
    <t>19</t>
  </si>
  <si>
    <t>Department of Public Safety</t>
  </si>
  <si>
    <t>19 Occupational Licensing Board (2544)</t>
  </si>
  <si>
    <t>Occupational Licensing Board</t>
  </si>
  <si>
    <t>2X DHHS Other Enterprise Funds 2500</t>
  </si>
  <si>
    <t>2500</t>
  </si>
  <si>
    <t>Other Enterprise Funds</t>
  </si>
  <si>
    <t>2X</t>
  </si>
  <si>
    <t>Department of Health &amp; Human Svces</t>
  </si>
  <si>
    <t>41 State Computer Center (2730)</t>
  </si>
  <si>
    <t>State Computer Center</t>
  </si>
  <si>
    <t>41</t>
  </si>
  <si>
    <t>Department of Information Technology</t>
  </si>
  <si>
    <t>41 State Telecommunication Services (2731)</t>
  </si>
  <si>
    <t>State Telecommunication Services</t>
  </si>
  <si>
    <t>43 Other Funds (2500)</t>
  </si>
  <si>
    <t>43</t>
  </si>
  <si>
    <t>Department of Commerce</t>
  </si>
  <si>
    <t>43 State Banking Commission (2539)</t>
  </si>
  <si>
    <t>State Banking Commission</t>
  </si>
  <si>
    <t>43 Unemployment Compensation Fund (2535)</t>
  </si>
  <si>
    <t>2535</t>
  </si>
  <si>
    <t>Unemployment Compensation Fund</t>
  </si>
  <si>
    <t>43 Utilities Commission (2541)</t>
  </si>
  <si>
    <t>Utilities Commission</t>
  </si>
  <si>
    <t>46 Other Funds (2500)</t>
  </si>
  <si>
    <t>46</t>
  </si>
  <si>
    <t>Department of Cultural Resources</t>
  </si>
  <si>
    <t>61 North Carolina State Lottery (2542)</t>
  </si>
  <si>
    <t>North Carolina State Lottery</t>
  </si>
  <si>
    <t>61</t>
  </si>
  <si>
    <t>NC Education Lottery</t>
  </si>
  <si>
    <t>2536-37</t>
  </si>
  <si>
    <t>46 USS NC Battleship Commission (2517)</t>
  </si>
  <si>
    <t>USS NC Battleship Commission</t>
  </si>
  <si>
    <t>Cash Flow Updates made after May 10, 2024</t>
  </si>
  <si>
    <t>Purchase of Investments - at cost [NCFS 1121XXXX, 1221XXXX] - cash portion</t>
  </si>
  <si>
    <t>Change in Allowance – FV of Investments [NCFS 11215XXX, 12215XXX]</t>
  </si>
  <si>
    <t>Purchase of pooled investments - at cost [NCFS 11221500, 11221600] - cash portion</t>
  </si>
  <si>
    <t>Change in Allowance - FV of Investments [NCFS 11228800, 11228900]</t>
  </si>
  <si>
    <t>Realized gain (loss) on sale [NCFS 47402000, 55914000] - Cash Activity</t>
  </si>
  <si>
    <t>Realized gain (loss) on sale [NCFS 47402000, 55914000] - Non-Cash Activity</t>
  </si>
  <si>
    <t>Unrealized gain (loss) [NCFS 47412000, 55916000]</t>
  </si>
  <si>
    <t>Investment income - Interest/dividend on investments [NCFS 43111000]</t>
  </si>
  <si>
    <t>Investment income - STIF interest income [NCFS 43121000]</t>
  </si>
  <si>
    <t>Investment income - BIF/EIF interest income [NCFS 43136000, 43126000] - noncash activity</t>
  </si>
  <si>
    <t xml:space="preserve">Investment expenses - non-State Treasurer portion [NCFS 55918000] </t>
  </si>
  <si>
    <t>Investment expenses - Pooled investments portion [NCFS 55918000] - noncash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</si>
</sst>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 ;* \(#,###\);* \-\ \ \ \ \ \ "/>
    <numFmt numFmtId="165" formatCode="#,###\ ;\(#,###\)"/>
    <numFmt numFmtId="166" formatCode="&quot;$&quot;* #,###\ ;&quot;$&quot;* \(#,###\);&quot;$&quot;* \-\ \ \ \ \ \ "/>
    <numFmt numFmtId="167" formatCode="#,##0.00_);\(#,##0.00\);\—\ \ \ \ \ \ "/>
    <numFmt numFmtId="168" formatCode="#,##0.00_);\(#,##0.00\);* \ \-\ \ \ \ \ "/>
    <numFmt numFmtId="169" formatCode="&quot;$&quot;* #,##0.00_);&quot;$&quot;* \(#,##0.00\);&quot;$&quot;* \—\ \ \ \ \ \ "/>
    <numFmt numFmtId="170" formatCode="&quot;$&quot;#,##0\ ;\(&quot;$&quot;#,##0\);@*."/>
    <numFmt numFmtId="171" formatCode="#,##0.00_);\(#,##0.00\);;"/>
    <numFmt numFmtId="172" formatCode="#,##0_);\(#,##0\);&quot;-       &quot;"/>
    <numFmt numFmtId="173" formatCode="mm/dd/yy;@"/>
  </numFmts>
  <fonts count="102">
    <font>
      <sz val="10"/>
      <name val="Arial"/>
    </font>
    <font>
      <sz val="11"/>
      <color theme="1"/>
      <name val="Calibri"/>
      <family val="2"/>
      <scheme val="minor"/>
    </font>
    <font>
      <sz val="11"/>
      <color theme="1"/>
      <name val="Calibri"/>
      <family val="2"/>
      <scheme val="minor"/>
    </font>
    <font>
      <sz val="10"/>
      <name val="Arial"/>
      <family val="2"/>
    </font>
    <font>
      <sz val="9"/>
      <name val="Arial"/>
      <family val="2"/>
    </font>
    <font>
      <sz val="12"/>
      <name val="Arial"/>
      <family val="2"/>
    </font>
    <font>
      <sz val="10"/>
      <name val="Times New Roman"/>
      <family val="1"/>
    </font>
    <font>
      <sz val="14"/>
      <name val="Times New Roman"/>
      <family val="1"/>
    </font>
    <font>
      <b/>
      <i/>
      <sz val="14"/>
      <name val="Times New Roman"/>
      <family val="1"/>
    </font>
    <font>
      <b/>
      <i/>
      <sz val="16"/>
      <name val="Times New Roman"/>
      <family val="1"/>
    </font>
    <font>
      <b/>
      <sz val="10"/>
      <name val="Times New Roman"/>
      <family val="1"/>
    </font>
    <font>
      <b/>
      <i/>
      <sz val="10"/>
      <name val="Arial"/>
      <family val="2"/>
    </font>
    <font>
      <u/>
      <sz val="10"/>
      <name val="Arial"/>
      <family val="2"/>
    </font>
    <font>
      <b/>
      <i/>
      <u/>
      <sz val="10"/>
      <name val="Arial"/>
      <family val="2"/>
    </font>
    <font>
      <i/>
      <sz val="10"/>
      <name val="Arial"/>
      <family val="2"/>
    </font>
    <font>
      <b/>
      <sz val="10"/>
      <name val="Arial"/>
      <family val="2"/>
    </font>
    <font>
      <sz val="8"/>
      <name val="Arial"/>
      <family val="2"/>
    </font>
    <font>
      <b/>
      <sz val="10"/>
      <color indexed="12"/>
      <name val="Arial"/>
      <family val="2"/>
    </font>
    <font>
      <b/>
      <sz val="10"/>
      <color indexed="10"/>
      <name val="Arial"/>
      <family val="2"/>
    </font>
    <font>
      <b/>
      <u/>
      <sz val="10"/>
      <name val="Arial"/>
      <family val="2"/>
    </font>
    <font>
      <b/>
      <i/>
      <sz val="9"/>
      <name val="Arial"/>
      <family val="2"/>
    </font>
    <font>
      <b/>
      <i/>
      <u/>
      <sz val="9"/>
      <name val="Arial"/>
      <family val="2"/>
    </font>
    <font>
      <u/>
      <sz val="9"/>
      <name val="Arial"/>
      <family val="2"/>
    </font>
    <font>
      <b/>
      <sz val="9"/>
      <color indexed="12"/>
      <name val="Arial"/>
      <family val="2"/>
    </font>
    <font>
      <i/>
      <sz val="9"/>
      <name val="Arial"/>
      <family val="2"/>
    </font>
    <font>
      <i/>
      <u/>
      <sz val="9"/>
      <name val="Arial"/>
      <family val="2"/>
    </font>
    <font>
      <b/>
      <sz val="9"/>
      <name val="Arial"/>
      <family val="2"/>
    </font>
    <font>
      <sz val="7"/>
      <name val="Arial"/>
      <family val="2"/>
    </font>
    <font>
      <sz val="8"/>
      <name val="Arial Narrow"/>
      <family val="2"/>
    </font>
    <font>
      <sz val="7"/>
      <name val="Arial Narrow"/>
      <family val="2"/>
    </font>
    <font>
      <sz val="10"/>
      <name val="Arial Narrow"/>
      <family val="2"/>
    </font>
    <font>
      <sz val="9"/>
      <name val="Arial Narrow"/>
      <family val="2"/>
    </font>
    <font>
      <b/>
      <sz val="11"/>
      <name val="Times New Roman"/>
      <family val="1"/>
    </font>
    <font>
      <sz val="6"/>
      <name val="Arial Narrow"/>
      <family val="2"/>
    </font>
    <font>
      <sz val="11"/>
      <name val="Calibri"/>
      <family val="2"/>
    </font>
    <font>
      <sz val="11"/>
      <color indexed="8"/>
      <name val="Calibri"/>
      <family val="2"/>
    </font>
    <font>
      <u/>
      <sz val="10"/>
      <color indexed="12"/>
      <name val="Arial"/>
      <family val="2"/>
    </font>
    <font>
      <sz val="10"/>
      <name val="MS Sans Serif"/>
      <family val="2"/>
    </font>
    <font>
      <b/>
      <sz val="12"/>
      <name val="Times New Roman"/>
      <family val="1"/>
    </font>
    <font>
      <sz val="12"/>
      <name val="Times New Roman"/>
      <family val="1"/>
    </font>
    <font>
      <b/>
      <sz val="12"/>
      <name val="Book Antiqua"/>
      <family val="1"/>
    </font>
    <font>
      <sz val="12"/>
      <name val="Book Antiqua"/>
      <family val="1"/>
    </font>
    <font>
      <sz val="10"/>
      <name val="Helv"/>
    </font>
    <font>
      <b/>
      <sz val="14"/>
      <name val="Times New Roman"/>
      <family val="1"/>
    </font>
    <font>
      <u/>
      <sz val="12"/>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theme="1"/>
      <name val="Calibri"/>
      <family val="2"/>
      <scheme val="minor"/>
    </font>
    <font>
      <sz val="11"/>
      <color rgb="FFFF0000"/>
      <name val="Calibri"/>
      <family val="2"/>
      <scheme val="minor"/>
    </font>
    <font>
      <sz val="10"/>
      <color rgb="FF000000"/>
      <name val="Arial"/>
      <family val="2"/>
    </font>
    <font>
      <b/>
      <sz val="12"/>
      <color rgb="FF0070C0"/>
      <name val="Times New Roman"/>
      <family val="1"/>
    </font>
    <font>
      <i/>
      <sz val="10"/>
      <name val="Arial Narrow"/>
      <family val="2"/>
    </font>
    <font>
      <sz val="9"/>
      <color rgb="FFFF0000"/>
      <name val="Arial"/>
      <family val="2"/>
    </font>
    <font>
      <sz val="10"/>
      <color rgb="FFFF0000"/>
      <name val="Arial"/>
      <family val="2"/>
    </font>
    <font>
      <b/>
      <i/>
      <sz val="9"/>
      <color rgb="FFFF0000"/>
      <name val="Arial"/>
      <family val="2"/>
    </font>
    <font>
      <i/>
      <sz val="10"/>
      <color rgb="FFFF0000"/>
      <name val="Arial Narrow"/>
      <family val="2"/>
    </font>
    <font>
      <b/>
      <sz val="9"/>
      <color rgb="FFFF0000"/>
      <name val="Arial"/>
      <family val="2"/>
    </font>
    <font>
      <b/>
      <sz val="10"/>
      <color rgb="FFFF0000"/>
      <name val="Arial"/>
      <family val="2"/>
    </font>
    <font>
      <b/>
      <u/>
      <sz val="9"/>
      <color rgb="FFFF0000"/>
      <name val="Arial"/>
      <family val="2"/>
    </font>
    <font>
      <b/>
      <u/>
      <sz val="10"/>
      <color rgb="FFFF0000"/>
      <name val="Arial"/>
      <family val="2"/>
    </font>
    <font>
      <b/>
      <sz val="9"/>
      <color indexed="12"/>
      <name val="Arial Narrow"/>
      <family val="2"/>
    </font>
    <font>
      <b/>
      <sz val="7"/>
      <color indexed="12"/>
      <name val="Arial Narrow"/>
      <family val="2"/>
    </font>
    <font>
      <b/>
      <sz val="7"/>
      <color rgb="FFFF0000"/>
      <name val="Arial Narrow"/>
      <family val="2"/>
    </font>
    <font>
      <sz val="6"/>
      <name val="Arial"/>
      <family val="2"/>
    </font>
    <font>
      <u/>
      <sz val="10"/>
      <color theme="10"/>
      <name val="Arial"/>
      <family val="2"/>
    </font>
    <font>
      <sz val="10"/>
      <name val="Arial"/>
      <family val="2"/>
    </font>
    <font>
      <sz val="10"/>
      <color theme="1"/>
      <name val="Arial"/>
      <family val="2"/>
    </font>
    <font>
      <sz val="10"/>
      <name val="Arial"/>
      <family val="2"/>
    </font>
    <font>
      <u/>
      <sz val="10"/>
      <color theme="10"/>
      <name val="Arial"/>
      <family val="2"/>
    </font>
    <font>
      <b/>
      <sz val="12"/>
      <color indexed="12"/>
      <name val="Arial"/>
      <family val="2"/>
    </font>
    <font>
      <sz val="11"/>
      <name val="Arial"/>
      <family val="2"/>
    </font>
    <font>
      <b/>
      <sz val="11"/>
      <name val="Arial"/>
      <family val="2"/>
    </font>
    <font>
      <sz val="9"/>
      <color indexed="81"/>
      <name val="Tahoma"/>
      <family val="2"/>
    </font>
    <font>
      <b/>
      <i/>
      <strike/>
      <sz val="10"/>
      <name val="Arial"/>
      <family val="2"/>
    </font>
    <font>
      <strike/>
      <sz val="10"/>
      <name val="Arial"/>
      <family val="2"/>
    </font>
    <font>
      <i/>
      <strike/>
      <sz val="10"/>
      <name val="Arial"/>
      <family val="2"/>
    </font>
    <font>
      <b/>
      <strike/>
      <sz val="10"/>
      <name val="Arial"/>
      <family val="2"/>
    </font>
    <font>
      <b/>
      <sz val="8"/>
      <color rgb="FFFF0000"/>
      <name val="Arial Narrow"/>
      <family val="2"/>
    </font>
    <font>
      <b/>
      <sz val="8"/>
      <color indexed="12"/>
      <name val="Arial Narrow"/>
      <family val="2"/>
    </font>
    <font>
      <strike/>
      <sz val="8"/>
      <name val="Arial Narrow"/>
      <family val="2"/>
    </font>
    <font>
      <sz val="8"/>
      <color rgb="FFFF0000"/>
      <name val="Arial"/>
      <family val="2"/>
    </font>
    <font>
      <sz val="10"/>
      <color rgb="FF0070C0"/>
      <name val="Arial"/>
      <family val="2"/>
    </font>
    <font>
      <sz val="8"/>
      <color rgb="FFFF0000"/>
      <name val="Arial Narrow"/>
      <family val="2"/>
    </font>
    <font>
      <sz val="10"/>
      <color indexed="12"/>
      <name val="Arial"/>
      <family val="2"/>
    </font>
    <font>
      <sz val="10"/>
      <color rgb="FFC00000"/>
      <name val="Arial"/>
      <family val="2"/>
    </font>
    <font>
      <b/>
      <i/>
      <sz val="10"/>
      <color rgb="FFC00000"/>
      <name val="Arial"/>
      <family val="2"/>
    </font>
    <font>
      <i/>
      <sz val="8"/>
      <name val="Arial"/>
      <family val="2"/>
    </font>
    <font>
      <i/>
      <sz val="8"/>
      <name val="Arial Narrow"/>
      <family val="2"/>
    </font>
  </fonts>
  <fills count="41">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0" tint="-0.14996795556505021"/>
        <bgColor indexed="64"/>
      </patternFill>
    </fill>
    <fill>
      <patternFill patternType="solid">
        <fgColor theme="9" tint="0.39997558519241921"/>
        <bgColor indexed="64"/>
      </patternFill>
    </fill>
    <fill>
      <patternFill patternType="solid">
        <fgColor theme="3" tint="0.79998168889431442"/>
        <bgColor indexed="64"/>
      </patternFill>
    </fill>
  </fills>
  <borders count="21">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indexed="64"/>
      </top>
      <bottom/>
      <diagonal/>
    </border>
    <border>
      <left/>
      <right/>
      <top style="thin">
        <color indexed="64"/>
      </top>
      <bottom/>
      <diagonal/>
    </border>
  </borders>
  <cellStyleXfs count="127">
    <xf numFmtId="0" fontId="0" fillId="0" borderId="0"/>
    <xf numFmtId="0" fontId="45" fillId="3" borderId="0" applyNumberFormat="0" applyBorder="0" applyAlignment="0" applyProtection="0"/>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7" fillId="27" borderId="0" applyNumberFormat="0" applyBorder="0" applyAlignment="0" applyProtection="0"/>
    <xf numFmtId="0" fontId="48" fillId="28" borderId="8" applyNumberFormat="0" applyAlignment="0" applyProtection="0"/>
    <xf numFmtId="170" fontId="4" fillId="0" borderId="0"/>
    <xf numFmtId="0" fontId="49" fillId="29" borderId="9"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4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8" fontId="42" fillId="0" borderId="0" applyFont="0" applyFill="0" applyBorder="0" applyAlignment="0" applyProtection="0"/>
    <xf numFmtId="44" fontId="3" fillId="0" borderId="0" applyFont="0" applyFill="0" applyBorder="0" applyAlignment="0" applyProtection="0"/>
    <xf numFmtId="0" fontId="14" fillId="0" borderId="1">
      <alignment horizontal="right"/>
      <protection locked="0"/>
    </xf>
    <xf numFmtId="0" fontId="14" fillId="0" borderId="1">
      <alignment horizontal="right"/>
      <protection locked="0"/>
    </xf>
    <xf numFmtId="0" fontId="14" fillId="0" borderId="1">
      <alignment horizontal="right"/>
      <protection locked="0"/>
    </xf>
    <xf numFmtId="0" fontId="50" fillId="0" borderId="0" applyNumberFormat="0" applyFill="0" applyBorder="0" applyAlignment="0" applyProtection="0"/>
    <xf numFmtId="0" fontId="51" fillId="30" borderId="0" applyNumberFormat="0" applyBorder="0" applyAlignment="0" applyProtection="0"/>
    <xf numFmtId="0" fontId="52" fillId="0" borderId="10" applyNumberFormat="0" applyFill="0" applyAlignment="0" applyProtection="0"/>
    <xf numFmtId="0" fontId="53" fillId="0" borderId="11" applyNumberFormat="0" applyFill="0" applyAlignment="0" applyProtection="0"/>
    <xf numFmtId="0" fontId="54" fillId="0" borderId="12" applyNumberFormat="0" applyFill="0" applyAlignment="0" applyProtection="0"/>
    <xf numFmtId="0" fontId="54" fillId="0" borderId="0" applyNumberFormat="0" applyFill="0" applyBorder="0" applyAlignment="0" applyProtection="0"/>
    <xf numFmtId="0" fontId="39" fillId="0" borderId="2">
      <protection locked="0"/>
    </xf>
    <xf numFmtId="0" fontId="41" fillId="0" borderId="2" applyBorder="0">
      <protection locked="0"/>
    </xf>
    <xf numFmtId="0" fontId="38" fillId="0" borderId="0">
      <protection locked="0"/>
    </xf>
    <xf numFmtId="0" fontId="40" fillId="0" borderId="0">
      <protection locked="0"/>
    </xf>
    <xf numFmtId="15" fontId="4" fillId="0" borderId="1" applyNumberFormat="0">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56" fillId="31" borderId="8" applyNumberFormat="0" applyAlignment="0" applyProtection="0"/>
    <xf numFmtId="0" fontId="57" fillId="0" borderId="13" applyNumberFormat="0" applyFill="0" applyAlignment="0" applyProtection="0"/>
    <xf numFmtId="0" fontId="58" fillId="32" borderId="0" applyNumberFormat="0" applyBorder="0" applyAlignment="0" applyProtection="0"/>
    <xf numFmtId="165" fontId="16" fillId="0" borderId="0">
      <protection locked="0"/>
    </xf>
    <xf numFmtId="165" fontId="16" fillId="0" borderId="0">
      <protection locked="0"/>
    </xf>
    <xf numFmtId="0" fontId="37" fillId="0" borderId="0"/>
    <xf numFmtId="165" fontId="16" fillId="0" borderId="0">
      <protection locked="0"/>
    </xf>
    <xf numFmtId="0" fontId="45" fillId="0" borderId="0"/>
    <xf numFmtId="0" fontId="45" fillId="0" borderId="0"/>
    <xf numFmtId="0" fontId="37" fillId="0" borderId="0"/>
    <xf numFmtId="0" fontId="3" fillId="0" borderId="0"/>
    <xf numFmtId="0" fontId="3" fillId="0" borderId="0"/>
    <xf numFmtId="0" fontId="3" fillId="0" borderId="0"/>
    <xf numFmtId="0" fontId="3" fillId="0" borderId="0"/>
    <xf numFmtId="0" fontId="3" fillId="0" borderId="0"/>
    <xf numFmtId="164" fontId="16" fillId="0" borderId="0">
      <protection locked="0"/>
    </xf>
    <xf numFmtId="164" fontId="16" fillId="0" borderId="0">
      <protection locked="0"/>
    </xf>
    <xf numFmtId="164" fontId="16" fillId="0" borderId="0">
      <protection locked="0"/>
    </xf>
    <xf numFmtId="0" fontId="35" fillId="33" borderId="14" applyNumberFormat="0" applyFont="0" applyAlignment="0" applyProtection="0"/>
    <xf numFmtId="166" fontId="16" fillId="0" borderId="0">
      <protection locked="0"/>
    </xf>
    <xf numFmtId="164" fontId="16" fillId="0" borderId="0">
      <protection locked="0"/>
    </xf>
    <xf numFmtId="166" fontId="16" fillId="0" borderId="3">
      <protection locked="0"/>
    </xf>
    <xf numFmtId="164" fontId="16" fillId="0" borderId="4">
      <protection locked="0"/>
    </xf>
    <xf numFmtId="168" fontId="16" fillId="0" borderId="0"/>
    <xf numFmtId="168" fontId="16" fillId="0" borderId="3"/>
    <xf numFmtId="168" fontId="16" fillId="0" borderId="4"/>
    <xf numFmtId="0" fontId="59" fillId="28" borderId="15"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60" fillId="0" borderId="0" applyNumberFormat="0" applyFill="0" applyBorder="0" applyAlignment="0" applyProtection="0"/>
    <xf numFmtId="0" fontId="61" fillId="0" borderId="16" applyNumberFormat="0" applyFill="0" applyAlignment="0" applyProtection="0"/>
    <xf numFmtId="0" fontId="62" fillId="0" borderId="0" applyNumberFormat="0" applyFill="0" applyBorder="0" applyAlignment="0" applyProtection="0"/>
    <xf numFmtId="0" fontId="78" fillId="0" borderId="0" applyNumberFormat="0" applyFill="0" applyBorder="0" applyAlignment="0" applyProtection="0"/>
    <xf numFmtId="43" fontId="79"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39" fillId="0" borderId="0"/>
    <xf numFmtId="164" fontId="16" fillId="0" borderId="0">
      <protection locked="0"/>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82" fillId="0" borderId="0" applyNumberFormat="0" applyFill="0" applyBorder="0" applyAlignment="0" applyProtection="0"/>
    <xf numFmtId="43" fontId="81" fillId="0" borderId="0" applyFont="0" applyFill="0" applyBorder="0" applyAlignment="0" applyProtection="0"/>
    <xf numFmtId="0" fontId="3" fillId="0" borderId="0"/>
  </cellStyleXfs>
  <cellXfs count="297">
    <xf numFmtId="0" fontId="0" fillId="0" borderId="0" xfId="0"/>
    <xf numFmtId="0" fontId="3" fillId="0" borderId="0" xfId="0" applyFont="1"/>
    <xf numFmtId="0" fontId="3" fillId="0" borderId="0" xfId="0" applyFont="1" applyAlignment="1">
      <alignment horizontal="center"/>
    </xf>
    <xf numFmtId="4" fontId="3"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10" fillId="0" borderId="2" xfId="0" applyFont="1" applyBorder="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10" fillId="0" borderId="0" xfId="0" applyFont="1" applyAlignment="1">
      <alignment horizontal="center"/>
    </xf>
    <xf numFmtId="0" fontId="11" fillId="0" borderId="0" xfId="0" applyFont="1"/>
    <xf numFmtId="0" fontId="12" fillId="0" borderId="0" xfId="0" applyFont="1" applyAlignment="1">
      <alignment horizontal="center"/>
    </xf>
    <xf numFmtId="0" fontId="14" fillId="0" borderId="0" xfId="0" applyFont="1"/>
    <xf numFmtId="0" fontId="0" fillId="0" borderId="0" xfId="0" applyAlignment="1">
      <alignment horizontal="center"/>
    </xf>
    <xf numFmtId="0" fontId="0" fillId="0" borderId="2" xfId="0" applyBorder="1"/>
    <xf numFmtId="43" fontId="0" fillId="0" borderId="0" xfId="0" applyNumberFormat="1"/>
    <xf numFmtId="44" fontId="0" fillId="0" borderId="0" xfId="0" applyNumberFormat="1"/>
    <xf numFmtId="43" fontId="3" fillId="0" borderId="0" xfId="0" applyNumberFormat="1" applyFont="1"/>
    <xf numFmtId="44" fontId="3" fillId="0" borderId="0" xfId="0" applyNumberFormat="1" applyFont="1"/>
    <xf numFmtId="43" fontId="0" fillId="0" borderId="1" xfId="0" applyNumberFormat="1" applyBorder="1"/>
    <xf numFmtId="0" fontId="11" fillId="0" borderId="0" xfId="0" applyFont="1" applyAlignment="1">
      <alignment horizontal="left"/>
    </xf>
    <xf numFmtId="0" fontId="11" fillId="0" borderId="2" xfId="0" applyFont="1" applyBorder="1"/>
    <xf numFmtId="43" fontId="17" fillId="0" borderId="0" xfId="0" applyNumberFormat="1" applyFont="1" applyAlignment="1">
      <alignment horizontal="center"/>
    </xf>
    <xf numFmtId="0" fontId="13" fillId="0" borderId="0" xfId="0" applyFont="1"/>
    <xf numFmtId="0" fontId="16" fillId="0" borderId="0" xfId="0" applyFont="1"/>
    <xf numFmtId="0" fontId="16" fillId="0" borderId="0" xfId="0" applyFont="1" applyAlignment="1">
      <alignment horizontal="left"/>
    </xf>
    <xf numFmtId="0" fontId="11" fillId="0" borderId="0" xfId="0" applyFont="1" applyAlignment="1">
      <alignment horizontal="right"/>
    </xf>
    <xf numFmtId="43" fontId="0" fillId="0" borderId="2" xfId="0" applyNumberFormat="1" applyBorder="1"/>
    <xf numFmtId="0" fontId="3" fillId="0" borderId="0" xfId="0" quotePrefix="1" applyFont="1"/>
    <xf numFmtId="43" fontId="0" fillId="0" borderId="4" xfId="0" applyNumberFormat="1" applyBorder="1"/>
    <xf numFmtId="44" fontId="17" fillId="0" borderId="0" xfId="0" applyNumberFormat="1" applyFont="1" applyAlignment="1">
      <alignment horizontal="center"/>
    </xf>
    <xf numFmtId="0" fontId="4" fillId="0" borderId="0" xfId="0" applyFont="1" applyAlignment="1">
      <alignment horizontal="left"/>
    </xf>
    <xf numFmtId="0" fontId="20" fillId="0" borderId="0" xfId="0" applyFont="1" applyAlignment="1">
      <alignment horizontal="center"/>
    </xf>
    <xf numFmtId="0" fontId="20" fillId="0" borderId="1" xfId="0" applyFont="1" applyBorder="1" applyAlignment="1">
      <alignment horizontal="center"/>
    </xf>
    <xf numFmtId="0" fontId="21" fillId="0" borderId="0" xfId="0" applyFont="1" applyAlignment="1">
      <alignment horizontal="center"/>
    </xf>
    <xf numFmtId="0" fontId="20" fillId="0" borderId="0" xfId="0" applyFont="1"/>
    <xf numFmtId="0" fontId="22" fillId="0" borderId="0" xfId="0" applyFont="1" applyAlignment="1">
      <alignment horizontal="center"/>
    </xf>
    <xf numFmtId="43" fontId="23" fillId="0" borderId="0" xfId="0" applyNumberFormat="1" applyFont="1" applyAlignment="1">
      <alignment horizontal="center"/>
    </xf>
    <xf numFmtId="0" fontId="24" fillId="0" borderId="0" xfId="0" applyFont="1"/>
    <xf numFmtId="0" fontId="25" fillId="2" borderId="0" xfId="0" applyFont="1" applyFill="1"/>
    <xf numFmtId="0" fontId="26" fillId="0" borderId="1" xfId="0" applyFont="1" applyBorder="1" applyAlignment="1">
      <alignment horizontal="center"/>
    </xf>
    <xf numFmtId="0" fontId="21" fillId="0" borderId="0" xfId="0" applyFont="1"/>
    <xf numFmtId="0" fontId="27" fillId="0" borderId="0" xfId="0" applyFont="1" applyAlignment="1">
      <alignment horizontal="left"/>
    </xf>
    <xf numFmtId="43" fontId="0" fillId="0" borderId="0" xfId="0" applyNumberFormat="1" applyProtection="1">
      <protection locked="0"/>
    </xf>
    <xf numFmtId="43" fontId="0" fillId="0" borderId="1" xfId="0" applyNumberFormat="1" applyBorder="1" applyProtection="1">
      <protection locked="0"/>
    </xf>
    <xf numFmtId="43" fontId="28" fillId="0" borderId="0" xfId="0" applyNumberFormat="1" applyFont="1" applyAlignment="1">
      <alignment horizontal="center"/>
    </xf>
    <xf numFmtId="0" fontId="28" fillId="0" borderId="0" xfId="0" applyFont="1"/>
    <xf numFmtId="0" fontId="4" fillId="0" borderId="0" xfId="0" applyFont="1"/>
    <xf numFmtId="0" fontId="28" fillId="0" borderId="0" xfId="0" applyFont="1" applyAlignment="1">
      <alignment horizontal="center"/>
    </xf>
    <xf numFmtId="0" fontId="31" fillId="0" borderId="0" xfId="0" applyFont="1"/>
    <xf numFmtId="0" fontId="32" fillId="0" borderId="0" xfId="0" applyFont="1"/>
    <xf numFmtId="44" fontId="3" fillId="0" borderId="0" xfId="0" applyNumberFormat="1" applyFont="1" applyProtection="1">
      <protection locked="0"/>
    </xf>
    <xf numFmtId="43" fontId="3" fillId="0" borderId="0" xfId="0" applyNumberFormat="1" applyFont="1" applyProtection="1">
      <protection locked="0"/>
    </xf>
    <xf numFmtId="44" fontId="0" fillId="0" borderId="1" xfId="0" applyNumberFormat="1" applyBorder="1"/>
    <xf numFmtId="41" fontId="0" fillId="0" borderId="0" xfId="0" applyNumberFormat="1"/>
    <xf numFmtId="42" fontId="0" fillId="0" borderId="0" xfId="0" applyNumberFormat="1"/>
    <xf numFmtId="0" fontId="7" fillId="0" borderId="0" xfId="0" applyFont="1" applyAlignment="1">
      <alignment horizontal="right"/>
    </xf>
    <xf numFmtId="43" fontId="4" fillId="0" borderId="0" xfId="0" applyNumberFormat="1" applyFont="1"/>
    <xf numFmtId="0" fontId="6" fillId="0" borderId="2" xfId="0" applyFont="1" applyBorder="1"/>
    <xf numFmtId="41" fontId="3" fillId="0" borderId="0" xfId="0" applyNumberFormat="1" applyFont="1" applyAlignment="1">
      <alignment horizontal="center"/>
    </xf>
    <xf numFmtId="42" fontId="3" fillId="0" borderId="0" xfId="0" applyNumberFormat="1" applyFont="1" applyAlignment="1">
      <alignment horizontal="center"/>
    </xf>
    <xf numFmtId="44" fontId="0" fillId="0" borderId="3" xfId="0" applyNumberFormat="1" applyBorder="1"/>
    <xf numFmtId="0" fontId="29" fillId="0" borderId="0" xfId="0" applyFont="1"/>
    <xf numFmtId="0" fontId="29" fillId="0" borderId="0" xfId="0" applyFont="1" applyAlignment="1">
      <alignment horizontal="left"/>
    </xf>
    <xf numFmtId="0" fontId="0" fillId="0" borderId="0" xfId="0" quotePrefix="1"/>
    <xf numFmtId="0" fontId="0" fillId="0" borderId="0" xfId="0" applyProtection="1">
      <protection locked="0"/>
    </xf>
    <xf numFmtId="169" fontId="3" fillId="0" borderId="0" xfId="0" applyNumberFormat="1" applyFont="1" applyProtection="1">
      <protection locked="0"/>
    </xf>
    <xf numFmtId="167" fontId="3" fillId="0" borderId="0" xfId="0" applyNumberFormat="1" applyFont="1" applyProtection="1">
      <protection locked="0"/>
    </xf>
    <xf numFmtId="167" fontId="3" fillId="0" borderId="1" xfId="0" applyNumberFormat="1" applyFont="1" applyBorder="1" applyProtection="1">
      <protection locked="0"/>
    </xf>
    <xf numFmtId="0" fontId="3" fillId="34" borderId="0" xfId="0" applyFont="1" applyFill="1"/>
    <xf numFmtId="4" fontId="3" fillId="34" borderId="0" xfId="0" applyNumberFormat="1" applyFont="1" applyFill="1"/>
    <xf numFmtId="3" fontId="3" fillId="34" borderId="0" xfId="0" applyNumberFormat="1" applyFont="1" applyFill="1"/>
    <xf numFmtId="43" fontId="3" fillId="34" borderId="0" xfId="0" applyNumberFormat="1" applyFont="1" applyFill="1"/>
    <xf numFmtId="167" fontId="3" fillId="34" borderId="0" xfId="0" applyNumberFormat="1" applyFont="1" applyFill="1" applyProtection="1">
      <protection locked="0"/>
    </xf>
    <xf numFmtId="0" fontId="26" fillId="0" borderId="0" xfId="0" applyFont="1"/>
    <xf numFmtId="49" fontId="63" fillId="0" borderId="0" xfId="0" applyNumberFormat="1" applyFont="1" applyAlignment="1">
      <alignment horizontal="left"/>
    </xf>
    <xf numFmtId="49" fontId="3" fillId="0" borderId="0" xfId="0" applyNumberFormat="1" applyFont="1"/>
    <xf numFmtId="49" fontId="3" fillId="0" borderId="0" xfId="0" quotePrefix="1" applyNumberFormat="1" applyFont="1" applyAlignment="1">
      <alignment horizontal="center"/>
    </xf>
    <xf numFmtId="49" fontId="3" fillId="0" borderId="0" xfId="0" applyNumberFormat="1" applyFont="1" applyAlignment="1">
      <alignment horizontal="center"/>
    </xf>
    <xf numFmtId="0" fontId="39" fillId="0" borderId="0" xfId="0" applyFont="1"/>
    <xf numFmtId="0" fontId="64" fillId="0" borderId="0" xfId="0" applyFont="1"/>
    <xf numFmtId="0" fontId="39" fillId="0" borderId="7" xfId="0" applyFont="1" applyBorder="1"/>
    <xf numFmtId="0" fontId="44" fillId="0" borderId="0" xfId="0" applyFont="1"/>
    <xf numFmtId="0" fontId="39" fillId="0" borderId="0" xfId="0" applyFont="1" applyAlignment="1">
      <alignment horizontal="left"/>
    </xf>
    <xf numFmtId="9" fontId="0" fillId="0" borderId="0" xfId="0" applyNumberFormat="1"/>
    <xf numFmtId="0" fontId="38" fillId="0" borderId="0" xfId="0" applyFont="1"/>
    <xf numFmtId="0" fontId="0" fillId="36" borderId="0" xfId="0" applyFill="1"/>
    <xf numFmtId="0" fontId="3" fillId="36" borderId="0" xfId="0" applyFont="1" applyFill="1"/>
    <xf numFmtId="0" fontId="28" fillId="0" borderId="0" xfId="0" applyFont="1" applyAlignment="1">
      <alignment horizontal="left"/>
    </xf>
    <xf numFmtId="0" fontId="38" fillId="0" borderId="0" xfId="0" applyFont="1" applyAlignment="1">
      <alignment horizontal="center"/>
    </xf>
    <xf numFmtId="43" fontId="0" fillId="0" borderId="17" xfId="0" applyNumberFormat="1" applyBorder="1"/>
    <xf numFmtId="0" fontId="16" fillId="0" borderId="1"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horizontal="left"/>
    </xf>
    <xf numFmtId="0" fontId="16" fillId="0" borderId="2" xfId="0" applyFont="1" applyBorder="1" applyAlignment="1">
      <alignment horizontal="left"/>
    </xf>
    <xf numFmtId="0" fontId="16" fillId="0" borderId="17" xfId="0" applyFont="1" applyBorder="1" applyAlignment="1">
      <alignment horizontal="left"/>
    </xf>
    <xf numFmtId="43" fontId="0" fillId="0" borderId="6" xfId="0" applyNumberFormat="1" applyBorder="1"/>
    <xf numFmtId="0" fontId="3" fillId="0" borderId="0" xfId="0" applyFont="1" applyAlignment="1">
      <alignment horizontal="left" indent="1"/>
    </xf>
    <xf numFmtId="0" fontId="3" fillId="0" borderId="0" xfId="0" applyFont="1" applyAlignment="1">
      <alignment horizontal="left"/>
    </xf>
    <xf numFmtId="0" fontId="19" fillId="0" borderId="0" xfId="0" applyFont="1"/>
    <xf numFmtId="43" fontId="0" fillId="34" borderId="0" xfId="0" applyNumberFormat="1" applyFill="1"/>
    <xf numFmtId="43" fontId="0" fillId="34" borderId="1" xfId="0" applyNumberFormat="1" applyFill="1" applyBorder="1"/>
    <xf numFmtId="43" fontId="0" fillId="34" borderId="4" xfId="0" applyNumberFormat="1" applyFill="1" applyBorder="1"/>
    <xf numFmtId="167" fontId="3" fillId="34" borderId="0" xfId="0" applyNumberFormat="1" applyFont="1" applyFill="1"/>
    <xf numFmtId="167" fontId="3" fillId="34" borderId="4" xfId="0" applyNumberFormat="1" applyFont="1" applyFill="1" applyBorder="1"/>
    <xf numFmtId="167" fontId="3" fillId="34" borderId="1" xfId="0" applyNumberFormat="1" applyFont="1" applyFill="1" applyBorder="1"/>
    <xf numFmtId="167" fontId="3" fillId="35" borderId="0" xfId="0" applyNumberFormat="1" applyFont="1" applyFill="1"/>
    <xf numFmtId="167" fontId="3" fillId="35" borderId="4" xfId="0" applyNumberFormat="1" applyFont="1" applyFill="1" applyBorder="1"/>
    <xf numFmtId="169" fontId="3" fillId="34" borderId="0" xfId="0" applyNumberFormat="1" applyFont="1" applyFill="1"/>
    <xf numFmtId="169" fontId="3" fillId="34" borderId="5" xfId="0" applyNumberFormat="1" applyFont="1" applyFill="1" applyBorder="1"/>
    <xf numFmtId="167" fontId="3" fillId="34" borderId="3" xfId="0" applyNumberFormat="1" applyFont="1" applyFill="1" applyBorder="1"/>
    <xf numFmtId="167" fontId="3" fillId="34" borderId="5" xfId="0" applyNumberFormat="1" applyFont="1" applyFill="1" applyBorder="1"/>
    <xf numFmtId="0" fontId="65" fillId="2" borderId="0" xfId="0" applyFont="1" applyFill="1"/>
    <xf numFmtId="0" fontId="30" fillId="2" borderId="0" xfId="0" applyFont="1" applyFill="1"/>
    <xf numFmtId="0" fontId="30" fillId="35" borderId="0" xfId="0" applyFont="1" applyFill="1"/>
    <xf numFmtId="0" fontId="65" fillId="2" borderId="0" xfId="0" applyFont="1" applyFill="1" applyAlignment="1">
      <alignment horizontal="left"/>
    </xf>
    <xf numFmtId="0" fontId="33" fillId="0" borderId="0" xfId="0" applyFont="1" applyAlignment="1">
      <alignment horizontal="left"/>
    </xf>
    <xf numFmtId="0" fontId="73" fillId="0" borderId="0" xfId="0" applyFont="1"/>
    <xf numFmtId="0" fontId="71" fillId="0" borderId="0" xfId="0" applyFont="1"/>
    <xf numFmtId="0" fontId="72" fillId="0" borderId="0" xfId="0" applyFont="1"/>
    <xf numFmtId="0" fontId="70" fillId="0" borderId="0" xfId="0" applyFont="1"/>
    <xf numFmtId="43" fontId="74" fillId="0" borderId="0" xfId="0" applyNumberFormat="1" applyFont="1"/>
    <xf numFmtId="0" fontId="33" fillId="0" borderId="0" xfId="0" applyFont="1"/>
    <xf numFmtId="0" fontId="77" fillId="0" borderId="0" xfId="0" applyFont="1"/>
    <xf numFmtId="0" fontId="77" fillId="0" borderId="0" xfId="0" applyFont="1" applyAlignment="1">
      <alignment horizontal="left"/>
    </xf>
    <xf numFmtId="9" fontId="39" fillId="0" borderId="1" xfId="0" applyNumberFormat="1" applyFont="1" applyBorder="1" applyProtection="1">
      <protection locked="0"/>
    </xf>
    <xf numFmtId="9" fontId="0" fillId="0" borderId="1" xfId="0" applyNumberFormat="1" applyBorder="1" applyProtection="1">
      <protection locked="0"/>
    </xf>
    <xf numFmtId="3" fontId="0" fillId="0" borderId="4" xfId="0" applyNumberFormat="1" applyBorder="1" applyProtection="1">
      <protection locked="0"/>
    </xf>
    <xf numFmtId="0" fontId="16" fillId="0" borderId="4" xfId="0" applyFont="1" applyBorder="1"/>
    <xf numFmtId="43" fontId="77" fillId="0" borderId="0" xfId="0" applyNumberFormat="1" applyFont="1" applyAlignment="1">
      <alignment horizontal="left"/>
    </xf>
    <xf numFmtId="43" fontId="3" fillId="0" borderId="1" xfId="0" applyNumberFormat="1" applyFont="1" applyBorder="1"/>
    <xf numFmtId="43" fontId="34" fillId="0" borderId="0" xfId="0" applyNumberFormat="1" applyFont="1" applyAlignment="1">
      <alignment vertical="center"/>
    </xf>
    <xf numFmtId="44" fontId="0" fillId="0" borderId="5" xfId="0" applyNumberFormat="1" applyBorder="1"/>
    <xf numFmtId="0" fontId="16" fillId="0" borderId="0" xfId="0" applyFont="1" applyAlignment="1">
      <alignment horizontal="center"/>
    </xf>
    <xf numFmtId="43" fontId="18" fillId="0" borderId="0" xfId="0" applyNumberFormat="1" applyFont="1" applyAlignment="1">
      <alignment horizontal="center"/>
    </xf>
    <xf numFmtId="0" fontId="0" fillId="0" borderId="0" xfId="0" applyAlignment="1">
      <alignment horizontal="left"/>
    </xf>
    <xf numFmtId="4" fontId="0" fillId="0" borderId="0" xfId="0" applyNumberFormat="1"/>
    <xf numFmtId="43" fontId="3" fillId="0" borderId="0" xfId="93" applyFont="1" applyAlignment="1">
      <alignment horizontal="center"/>
    </xf>
    <xf numFmtId="43" fontId="3" fillId="0" borderId="4" xfId="93" applyFont="1" applyBorder="1"/>
    <xf numFmtId="43" fontId="17" fillId="0" borderId="0" xfId="93" applyFont="1" applyAlignment="1">
      <alignment horizontal="center"/>
    </xf>
    <xf numFmtId="43" fontId="3" fillId="0" borderId="0" xfId="93" applyFont="1"/>
    <xf numFmtId="43" fontId="3" fillId="0" borderId="0" xfId="93" applyFont="1" applyProtection="1">
      <protection locked="0"/>
    </xf>
    <xf numFmtId="0" fontId="0" fillId="0" borderId="2" xfId="0" applyBorder="1" applyAlignment="1">
      <alignment horizontal="center"/>
    </xf>
    <xf numFmtId="43" fontId="3" fillId="0" borderId="0" xfId="0" applyNumberFormat="1" applyFont="1" applyAlignment="1">
      <alignment horizontal="center"/>
    </xf>
    <xf numFmtId="0" fontId="30" fillId="0" borderId="0" xfId="0" applyFont="1" applyAlignment="1">
      <alignment horizontal="center"/>
    </xf>
    <xf numFmtId="43" fontId="75" fillId="0" borderId="0" xfId="0" applyNumberFormat="1" applyFont="1" applyAlignment="1">
      <alignment horizontal="left"/>
    </xf>
    <xf numFmtId="171" fontId="3" fillId="0" borderId="1" xfId="108" applyNumberFormat="1" applyFont="1" applyBorder="1" applyProtection="1">
      <protection locked="0"/>
    </xf>
    <xf numFmtId="43" fontId="3" fillId="0" borderId="1" xfId="93" applyFont="1" applyBorder="1"/>
    <xf numFmtId="43" fontId="3" fillId="36" borderId="18" xfId="93" applyFont="1" applyFill="1" applyBorder="1" applyProtection="1">
      <protection locked="0"/>
    </xf>
    <xf numFmtId="171" fontId="3" fillId="0" borderId="0" xfId="108" applyNumberFormat="1" applyFont="1" applyProtection="1">
      <protection locked="0"/>
    </xf>
    <xf numFmtId="43" fontId="3" fillId="0" borderId="0" xfId="0" applyNumberFormat="1" applyFont="1" applyAlignment="1" applyProtection="1">
      <alignment horizontal="center"/>
      <protection locked="0"/>
    </xf>
    <xf numFmtId="0" fontId="84" fillId="0" borderId="0" xfId="0" applyFont="1" applyAlignment="1">
      <alignment horizontal="left"/>
    </xf>
    <xf numFmtId="0" fontId="84" fillId="0" borderId="0" xfId="0" applyFont="1"/>
    <xf numFmtId="173" fontId="84" fillId="0" borderId="0" xfId="0" applyNumberFormat="1" applyFont="1" applyAlignment="1">
      <alignment horizontal="center"/>
    </xf>
    <xf numFmtId="0" fontId="85" fillId="0" borderId="2" xfId="0" applyFont="1" applyBorder="1" applyAlignment="1">
      <alignment horizontal="center" wrapText="1"/>
    </xf>
    <xf numFmtId="0" fontId="85" fillId="0" borderId="2" xfId="0" applyFont="1" applyBorder="1" applyAlignment="1">
      <alignment horizontal="center"/>
    </xf>
    <xf numFmtId="14" fontId="84" fillId="0" borderId="0" xfId="0" applyNumberFormat="1" applyFont="1" applyAlignment="1">
      <alignment horizontal="left"/>
    </xf>
    <xf numFmtId="0" fontId="67" fillId="0" borderId="0" xfId="0" applyFont="1"/>
    <xf numFmtId="0" fontId="87" fillId="0" borderId="0" xfId="0" applyFont="1"/>
    <xf numFmtId="0" fontId="88" fillId="0" borderId="0" xfId="0" applyFont="1"/>
    <xf numFmtId="0" fontId="89" fillId="0" borderId="0" xfId="0" applyFont="1"/>
    <xf numFmtId="43" fontId="88" fillId="0" borderId="0" xfId="0" applyNumberFormat="1" applyFont="1" applyProtection="1">
      <protection locked="0"/>
    </xf>
    <xf numFmtId="43" fontId="88" fillId="0" borderId="0" xfId="0" applyNumberFormat="1" applyFont="1"/>
    <xf numFmtId="0" fontId="90" fillId="0" borderId="0" xfId="0" applyFont="1"/>
    <xf numFmtId="0" fontId="0" fillId="0" borderId="0" xfId="0" applyAlignment="1">
      <alignment horizontal="left" indent="1"/>
    </xf>
    <xf numFmtId="43" fontId="0" fillId="0" borderId="19" xfId="0" applyNumberFormat="1" applyBorder="1"/>
    <xf numFmtId="0" fontId="76" fillId="0" borderId="0" xfId="0" applyFont="1"/>
    <xf numFmtId="0" fontId="28" fillId="0" borderId="2" xfId="0" applyFont="1" applyBorder="1"/>
    <xf numFmtId="43" fontId="28" fillId="0" borderId="0" xfId="0" applyNumberFormat="1" applyFont="1"/>
    <xf numFmtId="43" fontId="92" fillId="0" borderId="0" xfId="0" applyNumberFormat="1" applyFont="1" applyAlignment="1">
      <alignment horizontal="center"/>
    </xf>
    <xf numFmtId="167" fontId="28" fillId="0" borderId="0" xfId="0" applyNumberFormat="1" applyFont="1" applyProtection="1">
      <protection locked="0"/>
    </xf>
    <xf numFmtId="43" fontId="28" fillId="0" borderId="0" xfId="0" applyNumberFormat="1" applyFont="1" applyAlignment="1">
      <alignment horizontal="left"/>
    </xf>
    <xf numFmtId="0" fontId="93" fillId="0" borderId="0" xfId="0" applyFont="1" applyAlignment="1">
      <alignment horizontal="left"/>
    </xf>
    <xf numFmtId="43" fontId="80" fillId="36" borderId="18" xfId="93" applyFont="1" applyFill="1" applyBorder="1" applyAlignment="1" applyProtection="1">
      <alignment horizontal="right"/>
      <protection locked="0"/>
    </xf>
    <xf numFmtId="49" fontId="84" fillId="0" borderId="0" xfId="0" applyNumberFormat="1" applyFont="1" applyAlignment="1">
      <alignment horizontal="left" wrapText="1"/>
    </xf>
    <xf numFmtId="0" fontId="94" fillId="0" borderId="0" xfId="0" applyFont="1" applyAlignment="1">
      <alignment horizontal="left"/>
    </xf>
    <xf numFmtId="43" fontId="67" fillId="0" borderId="0" xfId="0" applyNumberFormat="1" applyFont="1"/>
    <xf numFmtId="14" fontId="84" fillId="0" borderId="0" xfId="0" applyNumberFormat="1" applyFont="1"/>
    <xf numFmtId="0" fontId="16" fillId="0" borderId="20" xfId="0" applyFont="1" applyBorder="1" applyAlignment="1">
      <alignment horizontal="left"/>
    </xf>
    <xf numFmtId="0" fontId="39" fillId="0" borderId="0" xfId="126" applyFont="1" applyProtection="1">
      <protection locked="0"/>
    </xf>
    <xf numFmtId="0" fontId="85" fillId="0" borderId="2" xfId="0" applyFont="1" applyBorder="1" applyAlignment="1" applyProtection="1">
      <alignment horizontal="center" wrapText="1"/>
      <protection locked="0"/>
    </xf>
    <xf numFmtId="14" fontId="0" fillId="0" borderId="0" xfId="0" applyNumberFormat="1" applyAlignment="1">
      <alignment horizontal="center"/>
    </xf>
    <xf numFmtId="167" fontId="3" fillId="36" borderId="0" xfId="0" applyNumberFormat="1" applyFont="1" applyFill="1" applyProtection="1">
      <protection locked="0"/>
    </xf>
    <xf numFmtId="41" fontId="67" fillId="0" borderId="0" xfId="0" applyNumberFormat="1" applyFont="1"/>
    <xf numFmtId="0" fontId="27" fillId="0" borderId="0" xfId="0" applyFont="1"/>
    <xf numFmtId="43" fontId="0" fillId="36" borderId="0" xfId="0" applyNumberFormat="1" applyFill="1"/>
    <xf numFmtId="0" fontId="67" fillId="36" borderId="0" xfId="0" applyFont="1" applyFill="1"/>
    <xf numFmtId="41" fontId="0" fillId="36" borderId="0" xfId="0" applyNumberFormat="1" applyFill="1"/>
    <xf numFmtId="42" fontId="0" fillId="36" borderId="0" xfId="0" applyNumberFormat="1" applyFill="1"/>
    <xf numFmtId="0" fontId="33" fillId="36" borderId="0" xfId="0" applyFont="1" applyFill="1" applyAlignment="1">
      <alignment horizontal="left"/>
    </xf>
    <xf numFmtId="41" fontId="67" fillId="36" borderId="0" xfId="0" applyNumberFormat="1" applyFont="1" applyFill="1"/>
    <xf numFmtId="0" fontId="0" fillId="0" borderId="0" xfId="0" applyAlignment="1">
      <alignment vertical="top"/>
    </xf>
    <xf numFmtId="0" fontId="3" fillId="0" borderId="0" xfId="0" applyFont="1" applyAlignment="1">
      <alignment vertical="top"/>
    </xf>
    <xf numFmtId="0" fontId="15" fillId="0" borderId="1" xfId="0" applyFont="1" applyBorder="1" applyAlignment="1">
      <alignment horizontal="left"/>
    </xf>
    <xf numFmtId="0" fontId="28" fillId="0" borderId="1" xfId="0" applyFont="1" applyBorder="1"/>
    <xf numFmtId="0" fontId="16" fillId="0" borderId="1" xfId="0" applyFont="1" applyBorder="1"/>
    <xf numFmtId="0" fontId="4" fillId="36" borderId="0" xfId="0" applyFont="1" applyFill="1"/>
    <xf numFmtId="167" fontId="3" fillId="36" borderId="0" xfId="0" applyNumberFormat="1" applyFont="1" applyFill="1"/>
    <xf numFmtId="44" fontId="28" fillId="36" borderId="0" xfId="0" applyNumberFormat="1" applyFont="1" applyFill="1" applyAlignment="1">
      <alignment horizontal="center"/>
    </xf>
    <xf numFmtId="0" fontId="0" fillId="37" borderId="0" xfId="0" applyFill="1"/>
    <xf numFmtId="43" fontId="0" fillId="37" borderId="0" xfId="0" applyNumberFormat="1" applyFill="1"/>
    <xf numFmtId="0" fontId="16" fillId="37" borderId="0" xfId="0" applyFont="1" applyFill="1" applyAlignment="1">
      <alignment horizontal="left"/>
    </xf>
    <xf numFmtId="0" fontId="0" fillId="37" borderId="0" xfId="0" applyFill="1" applyAlignment="1">
      <alignment horizontal="center"/>
    </xf>
    <xf numFmtId="0" fontId="91" fillId="0" borderId="0" xfId="0" applyFont="1"/>
    <xf numFmtId="44" fontId="28" fillId="0" borderId="0" xfId="0" applyNumberFormat="1" applyFont="1" applyAlignment="1">
      <alignment horizontal="center"/>
    </xf>
    <xf numFmtId="43" fontId="3" fillId="0" borderId="2" xfId="0" applyNumberFormat="1" applyFont="1" applyBorder="1"/>
    <xf numFmtId="169" fontId="67" fillId="0" borderId="0" xfId="0" applyNumberFormat="1" applyFont="1" applyProtection="1">
      <protection locked="0"/>
    </xf>
    <xf numFmtId="44" fontId="66" fillId="0" borderId="0" xfId="0" applyNumberFormat="1" applyFont="1"/>
    <xf numFmtId="49" fontId="4" fillId="0" borderId="0" xfId="0" quotePrefix="1" applyNumberFormat="1" applyFont="1"/>
    <xf numFmtId="167" fontId="3" fillId="38" borderId="0" xfId="0" applyNumberFormat="1" applyFont="1" applyFill="1" applyProtection="1">
      <protection locked="0"/>
    </xf>
    <xf numFmtId="167" fontId="3" fillId="38" borderId="4" xfId="0" applyNumberFormat="1" applyFont="1" applyFill="1" applyBorder="1"/>
    <xf numFmtId="167" fontId="3" fillId="0" borderId="0" xfId="0" applyNumberFormat="1" applyFont="1"/>
    <xf numFmtId="43" fontId="0" fillId="0" borderId="5" xfId="0" applyNumberFormat="1" applyBorder="1"/>
    <xf numFmtId="43" fontId="0" fillId="0" borderId="3" xfId="0" applyNumberFormat="1" applyBorder="1"/>
    <xf numFmtId="0" fontId="8" fillId="0" borderId="0" xfId="0" applyFont="1" applyAlignment="1">
      <alignment horizontal="center"/>
    </xf>
    <xf numFmtId="0" fontId="95" fillId="0" borderId="0" xfId="0" applyFont="1" applyAlignment="1">
      <alignment horizontal="center" vertical="center"/>
    </xf>
    <xf numFmtId="0" fontId="95" fillId="36" borderId="0" xfId="0" applyFont="1" applyFill="1" applyAlignment="1">
      <alignment horizontal="center" vertical="center"/>
    </xf>
    <xf numFmtId="0" fontId="34" fillId="39" borderId="7" xfId="0" applyFont="1" applyFill="1" applyBorder="1"/>
    <xf numFmtId="0" fontId="34" fillId="39" borderId="7" xfId="0" applyFont="1" applyFill="1" applyBorder="1" applyAlignment="1">
      <alignment horizontal="right"/>
    </xf>
    <xf numFmtId="43" fontId="0" fillId="38" borderId="1" xfId="0" applyNumberFormat="1" applyFill="1" applyBorder="1"/>
    <xf numFmtId="43" fontId="0" fillId="38" borderId="0" xfId="0" applyNumberFormat="1" applyFill="1"/>
    <xf numFmtId="43" fontId="3" fillId="0" borderId="4" xfId="0" applyNumberFormat="1" applyFont="1" applyBorder="1"/>
    <xf numFmtId="14" fontId="0" fillId="0" borderId="0" xfId="0" applyNumberFormat="1"/>
    <xf numFmtId="0" fontId="28" fillId="36" borderId="0" xfId="0" applyFont="1" applyFill="1"/>
    <xf numFmtId="0" fontId="11" fillId="37" borderId="0" xfId="0" applyFont="1" applyFill="1"/>
    <xf numFmtId="0" fontId="0" fillId="37" borderId="0" xfId="0" applyFill="1" applyAlignment="1">
      <alignment horizontal="left"/>
    </xf>
    <xf numFmtId="43" fontId="0" fillId="37" borderId="2" xfId="0" applyNumberFormat="1" applyFill="1" applyBorder="1"/>
    <xf numFmtId="0" fontId="16" fillId="37" borderId="2" xfId="0" applyFont="1" applyFill="1" applyBorder="1" applyAlignment="1">
      <alignment horizontal="left"/>
    </xf>
    <xf numFmtId="0" fontId="26" fillId="37" borderId="0" xfId="0" applyFont="1" applyFill="1"/>
    <xf numFmtId="0" fontId="4" fillId="37" borderId="0" xfId="0" applyFont="1" applyFill="1" applyAlignment="1">
      <alignment horizontal="left"/>
    </xf>
    <xf numFmtId="0" fontId="24" fillId="37" borderId="0" xfId="0" applyFont="1" applyFill="1"/>
    <xf numFmtId="43" fontId="23" fillId="37" borderId="0" xfId="0" applyNumberFormat="1" applyFont="1" applyFill="1" applyAlignment="1">
      <alignment horizontal="center"/>
    </xf>
    <xf numFmtId="0" fontId="96" fillId="0" borderId="0" xfId="0" applyFont="1"/>
    <xf numFmtId="0" fontId="15" fillId="0" borderId="0" xfId="0" applyFont="1" applyAlignment="1">
      <alignment vertical="top"/>
    </xf>
    <xf numFmtId="0" fontId="14" fillId="0" borderId="0" xfId="0" applyFont="1" applyAlignment="1">
      <alignment vertical="top"/>
    </xf>
    <xf numFmtId="43" fontId="97" fillId="34" borderId="4" xfId="0" applyNumberFormat="1" applyFont="1" applyFill="1" applyBorder="1" applyAlignment="1">
      <alignment horizontal="center"/>
    </xf>
    <xf numFmtId="43" fontId="3" fillId="34" borderId="4" xfId="0" applyNumberFormat="1" applyFont="1" applyFill="1" applyBorder="1" applyAlignment="1">
      <alignment horizontal="center"/>
    </xf>
    <xf numFmtId="0" fontId="98" fillId="0" borderId="0" xfId="0" applyFont="1"/>
    <xf numFmtId="0" fontId="100" fillId="0" borderId="0" xfId="0" applyFont="1"/>
    <xf numFmtId="0" fontId="101" fillId="0" borderId="0" xfId="0" applyFont="1"/>
    <xf numFmtId="0" fontId="30" fillId="0" borderId="0" xfId="0" applyFont="1"/>
    <xf numFmtId="43" fontId="3" fillId="38" borderId="4" xfId="0" applyNumberFormat="1" applyFont="1" applyFill="1" applyBorder="1" applyAlignment="1">
      <alignment horizontal="center"/>
    </xf>
    <xf numFmtId="43" fontId="0" fillId="37" borderId="1" xfId="0" applyNumberFormat="1" applyFill="1" applyBorder="1" applyProtection="1">
      <protection locked="0"/>
    </xf>
    <xf numFmtId="43" fontId="0" fillId="37" borderId="0" xfId="0" applyNumberFormat="1" applyFill="1" applyProtection="1">
      <protection locked="0"/>
    </xf>
    <xf numFmtId="43" fontId="97" fillId="40" borderId="0" xfId="0" applyNumberFormat="1" applyFont="1" applyFill="1" applyAlignment="1">
      <alignment horizontal="center"/>
    </xf>
    <xf numFmtId="43" fontId="3" fillId="0" borderId="1" xfId="0" applyNumberFormat="1" applyFont="1" applyBorder="1" applyAlignment="1" applyProtection="1">
      <alignment horizontal="center"/>
      <protection locked="0"/>
    </xf>
    <xf numFmtId="0" fontId="16" fillId="0" borderId="19" xfId="0" applyFont="1" applyBorder="1" applyAlignment="1">
      <alignment horizontal="left"/>
    </xf>
    <xf numFmtId="39" fontId="3" fillId="0" borderId="1" xfId="0" applyNumberFormat="1" applyFont="1" applyBorder="1" applyProtection="1">
      <protection locked="0"/>
    </xf>
    <xf numFmtId="44" fontId="4" fillId="0" borderId="0" xfId="0" applyNumberFormat="1" applyFont="1"/>
    <xf numFmtId="43" fontId="4" fillId="0" borderId="0" xfId="0" applyNumberFormat="1" applyFont="1" applyProtection="1">
      <protection locked="0"/>
    </xf>
    <xf numFmtId="0" fontId="4" fillId="2" borderId="0" xfId="0" applyFont="1" applyFill="1"/>
    <xf numFmtId="43" fontId="4" fillId="2" borderId="0" xfId="0" applyNumberFormat="1" applyFont="1" applyFill="1"/>
    <xf numFmtId="44" fontId="4" fillId="36" borderId="0" xfId="0" applyNumberFormat="1" applyFont="1" applyFill="1"/>
    <xf numFmtId="43" fontId="16" fillId="36" borderId="0" xfId="0" applyNumberFormat="1" applyFont="1" applyFill="1" applyAlignment="1">
      <alignment horizontal="center"/>
    </xf>
    <xf numFmtId="0" fontId="4" fillId="36" borderId="0" xfId="0" applyFont="1" applyFill="1" applyAlignment="1">
      <alignment horizontal="left"/>
    </xf>
    <xf numFmtId="43" fontId="16" fillId="0" borderId="0" xfId="0" applyNumberFormat="1" applyFont="1" applyAlignment="1">
      <alignment horizontal="center"/>
    </xf>
    <xf numFmtId="0" fontId="4" fillId="0" borderId="0" xfId="0" applyFont="1" applyAlignment="1">
      <alignment horizontal="center"/>
    </xf>
    <xf numFmtId="0" fontId="4" fillId="0" borderId="0" xfId="0" applyFont="1" applyAlignment="1">
      <alignment horizontal="left" indent="1"/>
    </xf>
    <xf numFmtId="0" fontId="4" fillId="37" borderId="0" xfId="0" applyFont="1" applyFill="1"/>
    <xf numFmtId="43" fontId="4" fillId="37" borderId="0" xfId="0" applyNumberFormat="1" applyFont="1" applyFill="1" applyProtection="1">
      <protection locked="0"/>
    </xf>
    <xf numFmtId="43" fontId="16" fillId="37" borderId="0" xfId="0" applyNumberFormat="1" applyFont="1" applyFill="1" applyAlignment="1">
      <alignment horizontal="left"/>
    </xf>
    <xf numFmtId="43" fontId="4" fillId="37" borderId="0" xfId="0" applyNumberFormat="1" applyFont="1" applyFill="1"/>
    <xf numFmtId="43" fontId="4" fillId="37" borderId="4" xfId="0" applyNumberFormat="1" applyFont="1" applyFill="1" applyBorder="1"/>
    <xf numFmtId="0" fontId="38" fillId="36" borderId="0" xfId="126" applyFont="1" applyFill="1" applyProtection="1">
      <protection locked="0"/>
    </xf>
    <xf numFmtId="0" fontId="39" fillId="36" borderId="0" xfId="126" applyFont="1" applyFill="1" applyProtection="1">
      <protection locked="0"/>
    </xf>
    <xf numFmtId="0" fontId="38" fillId="0" borderId="1" xfId="0" applyFont="1" applyBorder="1" applyAlignment="1">
      <alignment horizontal="center"/>
    </xf>
    <xf numFmtId="0" fontId="9" fillId="0" borderId="0" xfId="0" applyFont="1" applyAlignment="1">
      <alignment horizontal="center"/>
    </xf>
    <xf numFmtId="0" fontId="15" fillId="0" borderId="0" xfId="0" applyFont="1"/>
    <xf numFmtId="0" fontId="3" fillId="0" borderId="0" xfId="0" quotePrefix="1" applyFont="1" applyAlignment="1">
      <alignment horizontal="center"/>
    </xf>
    <xf numFmtId="0" fontId="39" fillId="0" borderId="0" xfId="0" applyFont="1" applyAlignment="1">
      <alignment horizontal="center"/>
    </xf>
    <xf numFmtId="0" fontId="28" fillId="0" borderId="4" xfId="0" applyFont="1" applyBorder="1" applyAlignment="1">
      <alignment horizontal="left"/>
    </xf>
    <xf numFmtId="0" fontId="28" fillId="0" borderId="1" xfId="0" applyFont="1" applyBorder="1" applyAlignment="1">
      <alignment horizontal="left"/>
    </xf>
    <xf numFmtId="0" fontId="38" fillId="0" borderId="1" xfId="0" applyFont="1" applyBorder="1" applyAlignment="1">
      <alignment horizontal="center"/>
    </xf>
    <xf numFmtId="0" fontId="39" fillId="0" borderId="7" xfId="0" applyFont="1" applyBorder="1" applyAlignment="1" applyProtection="1">
      <alignment horizontal="center"/>
      <protection locked="0"/>
    </xf>
    <xf numFmtId="0" fontId="0" fillId="0" borderId="7" xfId="0" applyBorder="1" applyAlignment="1" applyProtection="1">
      <alignment horizontal="center"/>
      <protection locked="0"/>
    </xf>
    <xf numFmtId="0" fontId="39" fillId="34" borderId="7" xfId="0" applyFont="1" applyFill="1" applyBorder="1" applyAlignment="1">
      <alignment horizontal="center"/>
    </xf>
    <xf numFmtId="0" fontId="0" fillId="34" borderId="7" xfId="0" applyFill="1" applyBorder="1" applyAlignment="1">
      <alignment horizontal="center"/>
    </xf>
    <xf numFmtId="0" fontId="43" fillId="0" borderId="0" xfId="0" applyFont="1" applyAlignment="1">
      <alignment horizontal="center"/>
    </xf>
    <xf numFmtId="0" fontId="78" fillId="0" borderId="7" xfId="92" applyBorder="1" applyAlignment="1" applyProtection="1">
      <alignment horizontal="center"/>
      <protection locked="0"/>
    </xf>
    <xf numFmtId="0" fontId="39" fillId="0" borderId="0" xfId="0" applyFont="1" applyAlignment="1" applyProtection="1">
      <alignment horizontal="center" wrapText="1"/>
      <protection locked="0"/>
    </xf>
    <xf numFmtId="0" fontId="43" fillId="0" borderId="0" xfId="126" applyFont="1" applyAlignment="1">
      <alignment horizontal="center"/>
    </xf>
    <xf numFmtId="172" fontId="83" fillId="0" borderId="0" xfId="55" applyNumberFormat="1" applyFont="1" applyFill="1" applyAlignment="1" applyProtection="1">
      <alignment horizontal="center"/>
    </xf>
    <xf numFmtId="0" fontId="85" fillId="0" borderId="1" xfId="0" applyFont="1" applyBorder="1" applyAlignment="1" applyProtection="1">
      <alignment horizontal="center"/>
      <protection locked="0"/>
    </xf>
    <xf numFmtId="0" fontId="9" fillId="0" borderId="0" xfId="0" applyFont="1" applyAlignment="1">
      <alignment horizontal="center"/>
    </xf>
    <xf numFmtId="0" fontId="70" fillId="0" borderId="0" xfId="0" applyFont="1" applyAlignment="1">
      <alignment horizontal="left"/>
    </xf>
    <xf numFmtId="49" fontId="70" fillId="0" borderId="0" xfId="0" quotePrefix="1" applyNumberFormat="1" applyFont="1" applyAlignment="1">
      <alignment horizontal="center"/>
    </xf>
    <xf numFmtId="0" fontId="71" fillId="0" borderId="0" xfId="0" quotePrefix="1" applyFont="1" applyAlignment="1">
      <alignment horizontal="center"/>
    </xf>
    <xf numFmtId="0" fontId="70" fillId="0" borderId="0" xfId="0" applyFont="1" applyAlignment="1">
      <alignment wrapText="1"/>
    </xf>
    <xf numFmtId="0" fontId="70" fillId="0" borderId="0" xfId="0" applyFont="1" applyAlignment="1">
      <alignment horizontal="center"/>
    </xf>
    <xf numFmtId="0" fontId="28" fillId="0" borderId="0" xfId="0" applyFont="1"/>
    <xf numFmtId="0" fontId="0" fillId="0" borderId="0" xfId="0"/>
    <xf numFmtId="0" fontId="3" fillId="0" borderId="0" xfId="0" applyFont="1"/>
    <xf numFmtId="0" fontId="15" fillId="0" borderId="0" xfId="0" applyFont="1"/>
    <xf numFmtId="43" fontId="17" fillId="0" borderId="0" xfId="0" applyNumberFormat="1" applyFont="1" applyAlignment="1">
      <alignment horizontal="left"/>
    </xf>
    <xf numFmtId="0" fontId="3" fillId="0" borderId="0" xfId="0" quotePrefix="1" applyFont="1" applyAlignment="1">
      <alignment horizontal="center"/>
    </xf>
  </cellXfs>
  <cellStyles count="127">
    <cellStyle name="20% - Accent1" xfId="1" builtinId="30" customBuiltin="1"/>
    <cellStyle name="20% - Accent1 2" xfId="94" xr:uid="{00000000-0005-0000-0000-000001000000}"/>
    <cellStyle name="20% - Accent1 3" xfId="110" xr:uid="{00000000-0005-0000-0000-000002000000}"/>
    <cellStyle name="20% - Accent2" xfId="2" builtinId="34" customBuiltin="1"/>
    <cellStyle name="20% - Accent2 2" xfId="95" xr:uid="{00000000-0005-0000-0000-000004000000}"/>
    <cellStyle name="20% - Accent2 3" xfId="111" xr:uid="{00000000-0005-0000-0000-000005000000}"/>
    <cellStyle name="20% - Accent3" xfId="3" builtinId="38" customBuiltin="1"/>
    <cellStyle name="20% - Accent3 2" xfId="96" xr:uid="{00000000-0005-0000-0000-000007000000}"/>
    <cellStyle name="20% - Accent3 3" xfId="112" xr:uid="{00000000-0005-0000-0000-000008000000}"/>
    <cellStyle name="20% - Accent4" xfId="4" builtinId="42" customBuiltin="1"/>
    <cellStyle name="20% - Accent4 2" xfId="97" xr:uid="{00000000-0005-0000-0000-00000A000000}"/>
    <cellStyle name="20% - Accent4 3" xfId="113" xr:uid="{00000000-0005-0000-0000-00000B000000}"/>
    <cellStyle name="20% - Accent5" xfId="5" builtinId="46" customBuiltin="1"/>
    <cellStyle name="20% - Accent5 2" xfId="98" xr:uid="{00000000-0005-0000-0000-00000D000000}"/>
    <cellStyle name="20% - Accent5 3" xfId="114" xr:uid="{00000000-0005-0000-0000-00000E000000}"/>
    <cellStyle name="20% - Accent6" xfId="6" builtinId="50" customBuiltin="1"/>
    <cellStyle name="20% - Accent6 2" xfId="99" xr:uid="{00000000-0005-0000-0000-000010000000}"/>
    <cellStyle name="20% - Accent6 3" xfId="115" xr:uid="{00000000-0005-0000-0000-000011000000}"/>
    <cellStyle name="40% - Accent1" xfId="7" builtinId="31" customBuiltin="1"/>
    <cellStyle name="40% - Accent1 2" xfId="100" xr:uid="{00000000-0005-0000-0000-000013000000}"/>
    <cellStyle name="40% - Accent1 3" xfId="116" xr:uid="{00000000-0005-0000-0000-000014000000}"/>
    <cellStyle name="40% - Accent2" xfId="8" builtinId="35" customBuiltin="1"/>
    <cellStyle name="40% - Accent2 2" xfId="101" xr:uid="{00000000-0005-0000-0000-000016000000}"/>
    <cellStyle name="40% - Accent2 3" xfId="117" xr:uid="{00000000-0005-0000-0000-000017000000}"/>
    <cellStyle name="40% - Accent3" xfId="9" builtinId="39" customBuiltin="1"/>
    <cellStyle name="40% - Accent3 2" xfId="102" xr:uid="{00000000-0005-0000-0000-000019000000}"/>
    <cellStyle name="40% - Accent3 3" xfId="118" xr:uid="{00000000-0005-0000-0000-00001A000000}"/>
    <cellStyle name="40% - Accent4" xfId="10" builtinId="43" customBuiltin="1"/>
    <cellStyle name="40% - Accent4 2" xfId="103" xr:uid="{00000000-0005-0000-0000-00001C000000}"/>
    <cellStyle name="40% - Accent4 3" xfId="119" xr:uid="{00000000-0005-0000-0000-00001D000000}"/>
    <cellStyle name="40% - Accent5" xfId="11" builtinId="47" customBuiltin="1"/>
    <cellStyle name="40% - Accent5 2" xfId="104" xr:uid="{00000000-0005-0000-0000-00001F000000}"/>
    <cellStyle name="40% - Accent5 3" xfId="120" xr:uid="{00000000-0005-0000-0000-000020000000}"/>
    <cellStyle name="40% - Accent6" xfId="12" builtinId="51" customBuiltin="1"/>
    <cellStyle name="40% - Accent6 2" xfId="105" xr:uid="{00000000-0005-0000-0000-000022000000}"/>
    <cellStyle name="40% - Accent6 3" xfId="121" xr:uid="{00000000-0005-0000-0000-000023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ptionDots..." xfId="27" xr:uid="{00000000-0005-0000-0000-000032000000}"/>
    <cellStyle name="Check Cell" xfId="28" builtinId="23" customBuiltin="1"/>
    <cellStyle name="Comma" xfId="93" builtinId="3"/>
    <cellStyle name="Comma 2" xfId="29" xr:uid="{00000000-0005-0000-0000-000035000000}"/>
    <cellStyle name="Comma 2 2" xfId="30" xr:uid="{00000000-0005-0000-0000-000036000000}"/>
    <cellStyle name="Comma 2 3" xfId="31" xr:uid="{00000000-0005-0000-0000-000037000000}"/>
    <cellStyle name="Comma 3" xfId="32" xr:uid="{00000000-0005-0000-0000-000038000000}"/>
    <cellStyle name="Comma 3 2" xfId="33" xr:uid="{00000000-0005-0000-0000-000039000000}"/>
    <cellStyle name="Comma 4" xfId="34" xr:uid="{00000000-0005-0000-0000-00003A000000}"/>
    <cellStyle name="Comma 5" xfId="35" xr:uid="{00000000-0005-0000-0000-00003B000000}"/>
    <cellStyle name="Comma 6" xfId="125" xr:uid="{00000000-0005-0000-0000-00003C000000}"/>
    <cellStyle name="Comma 7" xfId="36" xr:uid="{00000000-0005-0000-0000-00003D000000}"/>
    <cellStyle name="Comma 8" xfId="37" xr:uid="{00000000-0005-0000-0000-00003E000000}"/>
    <cellStyle name="Currency 2" xfId="38" xr:uid="{00000000-0005-0000-0000-00003F000000}"/>
    <cellStyle name="Currency 3" xfId="39" xr:uid="{00000000-0005-0000-0000-000040000000}"/>
    <cellStyle name="Currency 4" xfId="40" xr:uid="{00000000-0005-0000-0000-000041000000}"/>
    <cellStyle name="Exhibit No." xfId="41" xr:uid="{00000000-0005-0000-0000-000042000000}"/>
    <cellStyle name="Exhibit No. 2" xfId="42" xr:uid="{00000000-0005-0000-0000-000043000000}"/>
    <cellStyle name="Exhibit No. 3" xfId="43" xr:uid="{00000000-0005-0000-0000-000044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HeadStateofNC" xfId="50" xr:uid="{00000000-0005-0000-0000-00004B000000}"/>
    <cellStyle name="HeadStateofNC 2" xfId="51" xr:uid="{00000000-0005-0000-0000-00004C000000}"/>
    <cellStyle name="HeadTitles" xfId="52" xr:uid="{00000000-0005-0000-0000-00004D000000}"/>
    <cellStyle name="HeadTitles 2" xfId="53" xr:uid="{00000000-0005-0000-0000-00004E000000}"/>
    <cellStyle name="HeadYE_Date" xfId="54" xr:uid="{00000000-0005-0000-0000-00004F000000}"/>
    <cellStyle name="Hyperlink" xfId="92" builtinId="8"/>
    <cellStyle name="Hyperlink 2" xfId="55" xr:uid="{00000000-0005-0000-0000-000051000000}"/>
    <cellStyle name="Hyperlink 2 2" xfId="56" xr:uid="{00000000-0005-0000-0000-000052000000}"/>
    <cellStyle name="Hyperlink 2 3" xfId="57" xr:uid="{00000000-0005-0000-0000-000053000000}"/>
    <cellStyle name="Hyperlink 3" xfId="58" xr:uid="{00000000-0005-0000-0000-000054000000}"/>
    <cellStyle name="Hyperlink 4" xfId="59" xr:uid="{00000000-0005-0000-0000-000055000000}"/>
    <cellStyle name="Hyperlink 5" xfId="124" xr:uid="{00000000-0005-0000-0000-000056000000}"/>
    <cellStyle name="Input" xfId="60" builtinId="20" customBuiltin="1"/>
    <cellStyle name="Linked Cell" xfId="61" builtinId="24" customBuiltin="1"/>
    <cellStyle name="Neutral" xfId="62" builtinId="28" customBuiltin="1"/>
    <cellStyle name="Normal" xfId="0" builtinId="0"/>
    <cellStyle name="Normal 2" xfId="63" xr:uid="{00000000-0005-0000-0000-00005B000000}"/>
    <cellStyle name="Normal 2 2" xfId="64" xr:uid="{00000000-0005-0000-0000-00005C000000}"/>
    <cellStyle name="Normal 2 2 2" xfId="65" xr:uid="{00000000-0005-0000-0000-00005D000000}"/>
    <cellStyle name="Normal 2 3" xfId="66" xr:uid="{00000000-0005-0000-0000-00005E000000}"/>
    <cellStyle name="Normal 2 5" xfId="109" xr:uid="{00000000-0005-0000-0000-00005F000000}"/>
    <cellStyle name="Normal 3" xfId="67" xr:uid="{00000000-0005-0000-0000-000060000000}"/>
    <cellStyle name="Normal 3 2" xfId="68" xr:uid="{00000000-0005-0000-0000-000061000000}"/>
    <cellStyle name="Normal 3 2 2" xfId="107" xr:uid="{00000000-0005-0000-0000-000062000000}"/>
    <cellStyle name="Normal 3 2 3" xfId="123" xr:uid="{00000000-0005-0000-0000-000063000000}"/>
    <cellStyle name="Normal 3 3" xfId="69" xr:uid="{00000000-0005-0000-0000-000064000000}"/>
    <cellStyle name="Normal 3 4" xfId="70" xr:uid="{00000000-0005-0000-0000-000065000000}"/>
    <cellStyle name="Normal 3 5" xfId="106" xr:uid="{00000000-0005-0000-0000-000066000000}"/>
    <cellStyle name="Normal 3 6" xfId="122" xr:uid="{00000000-0005-0000-0000-000067000000}"/>
    <cellStyle name="Normal 4" xfId="71" xr:uid="{00000000-0005-0000-0000-000068000000}"/>
    <cellStyle name="Normal 5" xfId="72" xr:uid="{00000000-0005-0000-0000-000069000000}"/>
    <cellStyle name="Normal 5 2" xfId="73" xr:uid="{00000000-0005-0000-0000-00006A000000}"/>
    <cellStyle name="Normal 5 3" xfId="74" xr:uid="{00000000-0005-0000-0000-00006B000000}"/>
    <cellStyle name="Normal 5 4" xfId="75" xr:uid="{00000000-0005-0000-0000-00006C000000}"/>
    <cellStyle name="Normal 6" xfId="76" xr:uid="{00000000-0005-0000-0000-00006D000000}"/>
    <cellStyle name="Normal 6 2" xfId="77" xr:uid="{00000000-0005-0000-0000-00006E000000}"/>
    <cellStyle name="Normal_a3p06_1" xfId="108" xr:uid="{00000000-0005-0000-0000-00006F000000}"/>
    <cellStyle name="Normal_UnivExcl" xfId="126" xr:uid="{00000000-0005-0000-0000-000070000000}"/>
    <cellStyle name="Note 2" xfId="78" xr:uid="{00000000-0005-0000-0000-000071000000}"/>
    <cellStyle name="Number$ -" xfId="79" xr:uid="{00000000-0005-0000-0000-000072000000}"/>
    <cellStyle name="Number-no $ -" xfId="80" xr:uid="{00000000-0005-0000-0000-000073000000}"/>
    <cellStyle name="NumberTotal$ -" xfId="81" xr:uid="{00000000-0005-0000-0000-000074000000}"/>
    <cellStyle name="NumberTotal-no $ -" xfId="82" xr:uid="{00000000-0005-0000-0000-000075000000}"/>
    <cellStyle name="NumNo$" xfId="83" xr:uid="{00000000-0005-0000-0000-000076000000}"/>
    <cellStyle name="NumTotD" xfId="84" xr:uid="{00000000-0005-0000-0000-000077000000}"/>
    <cellStyle name="NumTotNo$" xfId="85" xr:uid="{00000000-0005-0000-0000-000078000000}"/>
    <cellStyle name="Output" xfId="86" builtinId="21" customBuiltin="1"/>
    <cellStyle name="Percent 2" xfId="87" xr:uid="{00000000-0005-0000-0000-00007A000000}"/>
    <cellStyle name="Percent 3" xfId="88" xr:uid="{00000000-0005-0000-0000-00007B000000}"/>
    <cellStyle name="Title 2" xfId="89" xr:uid="{00000000-0005-0000-0000-00007C000000}"/>
    <cellStyle name="Total" xfId="90" builtinId="25" customBuiltin="1"/>
    <cellStyle name="Warning Text" xfId="91" builtinId="11" customBuiltin="1"/>
  </cellStyles>
  <dxfs count="8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strike val="0"/>
        <condense val="0"/>
        <extend val="0"/>
        <u val="none"/>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lor rgb="FFFF0000"/>
      </font>
    </dxf>
    <dxf>
      <font>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7"/>
  <sheetViews>
    <sheetView showGridLines="0" tabSelected="1" zoomScaleNormal="100" workbookViewId="0">
      <selection activeCell="C4" sqref="C4:D4"/>
    </sheetView>
  </sheetViews>
  <sheetFormatPr defaultRowHeight="12.75"/>
  <cols>
    <col min="1" max="1" width="2.7109375" customWidth="1"/>
    <col min="2" max="2" width="19.7109375" customWidth="1"/>
    <col min="3" max="3" width="38.7109375" customWidth="1"/>
    <col min="4" max="4" width="14.7109375" customWidth="1"/>
    <col min="5" max="5" width="1.7109375" customWidth="1"/>
    <col min="6" max="6" width="14.7109375" customWidth="1"/>
    <col min="7" max="7" width="3.28515625" customWidth="1"/>
    <col min="8" max="8" width="53.85546875" bestFit="1" customWidth="1"/>
    <col min="9" max="9" width="1.7109375" customWidth="1"/>
  </cols>
  <sheetData>
    <row r="1" spans="1:6" ht="18.75" customHeight="1">
      <c r="A1" s="279" t="s">
        <v>0</v>
      </c>
      <c r="B1" s="279"/>
      <c r="C1" s="279"/>
      <c r="D1" s="279"/>
      <c r="E1" s="279"/>
      <c r="F1" s="279"/>
    </row>
    <row r="2" spans="1:6" ht="18.75" customHeight="1">
      <c r="A2" s="279" t="s">
        <v>1</v>
      </c>
      <c r="B2" s="279"/>
      <c r="C2" s="279"/>
      <c r="D2" s="279"/>
      <c r="E2" s="279"/>
      <c r="F2" s="279"/>
    </row>
    <row r="3" spans="1:6">
      <c r="A3" s="1"/>
    </row>
    <row r="4" spans="1:6" ht="15.75">
      <c r="A4" s="81" t="s">
        <v>2</v>
      </c>
      <c r="C4" s="281" t="s">
        <v>3</v>
      </c>
      <c r="D4" s="281"/>
    </row>
    <row r="5" spans="1:6" ht="15.75">
      <c r="A5" s="81"/>
      <c r="B5" s="81"/>
      <c r="C5" s="82"/>
      <c r="D5" s="82"/>
    </row>
    <row r="6" spans="1:6" ht="15.75">
      <c r="A6" s="81" t="s">
        <v>4</v>
      </c>
      <c r="C6" s="81"/>
      <c r="D6" s="81"/>
    </row>
    <row r="7" spans="1:6" ht="8.1" customHeight="1">
      <c r="A7" s="81"/>
      <c r="B7" s="81"/>
      <c r="C7" s="81"/>
      <c r="D7" s="81"/>
    </row>
    <row r="8" spans="1:6" ht="15.75" customHeight="1">
      <c r="A8" s="81"/>
      <c r="B8" s="83" t="s">
        <v>5</v>
      </c>
      <c r="C8" s="277">
        <f>VLOOKUP(C4,Data!A:E,3,FALSE)</f>
        <v>0</v>
      </c>
      <c r="D8" s="278"/>
    </row>
    <row r="9" spans="1:6" ht="15.75" customHeight="1">
      <c r="A9" s="81"/>
      <c r="B9" s="83" t="s">
        <v>6</v>
      </c>
      <c r="C9" s="277">
        <f>VLOOKUP(C4,Data!A:E,4,FALSE)</f>
        <v>0</v>
      </c>
      <c r="D9" s="278"/>
    </row>
    <row r="10" spans="1:6" ht="15.75" customHeight="1">
      <c r="A10" s="81"/>
      <c r="B10" s="83" t="s">
        <v>7</v>
      </c>
      <c r="C10" s="277">
        <f>VLOOKUP(C4,Data!A:E,5,FALSE)</f>
        <v>0</v>
      </c>
      <c r="D10" s="278"/>
    </row>
    <row r="11" spans="1:6" ht="15.75" customHeight="1">
      <c r="A11" s="81"/>
      <c r="B11" s="83" t="s">
        <v>8</v>
      </c>
      <c r="C11" s="277">
        <f>VLOOKUP(C4,Data!A:E,2,FALSE)</f>
        <v>0</v>
      </c>
      <c r="D11" s="278"/>
    </row>
    <row r="12" spans="1:6" ht="15.75" customHeight="1">
      <c r="A12" s="81"/>
      <c r="B12" s="83" t="s">
        <v>9</v>
      </c>
      <c r="C12" s="280"/>
      <c r="D12" s="276"/>
    </row>
    <row r="13" spans="1:6" ht="15.75" customHeight="1">
      <c r="A13" s="81"/>
      <c r="B13" s="83" t="s">
        <v>10</v>
      </c>
      <c r="C13" s="280"/>
      <c r="D13" s="276"/>
    </row>
    <row r="14" spans="1:6" ht="15.75" customHeight="1">
      <c r="A14" s="81"/>
      <c r="B14" s="83" t="s">
        <v>11</v>
      </c>
      <c r="C14" s="275"/>
      <c r="D14" s="276"/>
    </row>
    <row r="17" spans="1:14" ht="15.75">
      <c r="A17" s="81"/>
      <c r="B17" s="81"/>
      <c r="C17" s="81"/>
      <c r="D17" s="274" t="s">
        <v>12</v>
      </c>
      <c r="E17" s="274"/>
      <c r="F17" s="274"/>
      <c r="H17" s="1"/>
      <c r="J17" s="1"/>
    </row>
    <row r="18" spans="1:14" ht="15.75">
      <c r="A18" s="87" t="s">
        <v>13</v>
      </c>
      <c r="B18" s="84"/>
      <c r="C18" s="81"/>
      <c r="D18" s="267" t="s">
        <v>14</v>
      </c>
      <c r="F18" s="267" t="s">
        <v>15</v>
      </c>
      <c r="H18" s="195" t="s">
        <v>16</v>
      </c>
    </row>
    <row r="19" spans="1:14" ht="15.75">
      <c r="A19" s="81"/>
      <c r="B19" s="84" t="s">
        <v>17</v>
      </c>
      <c r="C19" s="81"/>
    </row>
    <row r="20" spans="1:14" ht="15.75">
      <c r="A20" s="81"/>
      <c r="B20" s="85" t="s">
        <v>18</v>
      </c>
      <c r="C20" s="81"/>
      <c r="D20" s="127"/>
      <c r="F20" s="128">
        <v>1</v>
      </c>
      <c r="H20" s="196" t="s">
        <v>19</v>
      </c>
      <c r="J20" s="1"/>
    </row>
    <row r="21" spans="1:14" ht="15.75">
      <c r="A21" s="81"/>
      <c r="B21" s="81" t="s">
        <v>20</v>
      </c>
      <c r="C21" s="81"/>
      <c r="D21" s="81"/>
    </row>
    <row r="22" spans="1:14" ht="15.75">
      <c r="A22" s="81"/>
      <c r="B22" s="84" t="s">
        <v>21</v>
      </c>
      <c r="C22" s="81"/>
      <c r="D22" s="81"/>
      <c r="F22" s="86"/>
    </row>
    <row r="23" spans="1:14" ht="15.75">
      <c r="A23" s="81"/>
      <c r="B23" s="81" t="s">
        <v>22</v>
      </c>
      <c r="C23" s="81"/>
      <c r="D23" s="127"/>
      <c r="F23" s="128">
        <v>1</v>
      </c>
      <c r="H23" s="196" t="s">
        <v>19</v>
      </c>
    </row>
    <row r="24" spans="1:14" ht="15.75">
      <c r="A24" s="81"/>
      <c r="B24" s="81" t="s">
        <v>23</v>
      </c>
      <c r="C24" s="81"/>
      <c r="D24" s="127"/>
      <c r="F24" s="128">
        <v>1</v>
      </c>
      <c r="H24" s="196" t="s">
        <v>19</v>
      </c>
    </row>
    <row r="27" spans="1:14" ht="15.75">
      <c r="A27" s="87" t="s">
        <v>24</v>
      </c>
      <c r="D27" s="267" t="s">
        <v>25</v>
      </c>
      <c r="F27" s="267" t="s">
        <v>26</v>
      </c>
    </row>
    <row r="28" spans="1:14" ht="15.75">
      <c r="A28" s="269"/>
      <c r="B28" s="85" t="s">
        <v>27</v>
      </c>
      <c r="D28" s="271">
        <v>51595000</v>
      </c>
      <c r="F28" s="129"/>
      <c r="G28" s="50" t="s">
        <v>28</v>
      </c>
      <c r="H28" s="197" t="s">
        <v>29</v>
      </c>
      <c r="J28" s="273" t="s">
        <v>30</v>
      </c>
      <c r="K28" s="273"/>
      <c r="L28" s="273"/>
      <c r="M28" s="273"/>
      <c r="N28" s="273"/>
    </row>
    <row r="29" spans="1:14" ht="15.75">
      <c r="A29" s="269"/>
      <c r="B29" s="85" t="s">
        <v>31</v>
      </c>
      <c r="D29" s="271">
        <v>55900000</v>
      </c>
      <c r="F29" s="129"/>
      <c r="G29" s="50" t="s">
        <v>32</v>
      </c>
      <c r="H29" s="197" t="s">
        <v>29</v>
      </c>
      <c r="J29" s="272" t="s">
        <v>30</v>
      </c>
      <c r="K29" s="272"/>
      <c r="L29" s="272"/>
      <c r="M29" s="272"/>
      <c r="N29" s="272"/>
    </row>
    <row r="30" spans="1:14" ht="15.75">
      <c r="A30" s="269"/>
      <c r="B30" s="85" t="s">
        <v>33</v>
      </c>
      <c r="D30" s="271">
        <v>47995000</v>
      </c>
      <c r="F30" s="129"/>
      <c r="G30" s="50" t="s">
        <v>34</v>
      </c>
      <c r="H30" s="130" t="s">
        <v>35</v>
      </c>
      <c r="J30" s="272" t="s">
        <v>30</v>
      </c>
      <c r="K30" s="272"/>
      <c r="L30" s="272"/>
      <c r="M30" s="272"/>
      <c r="N30" s="272"/>
    </row>
    <row r="32" spans="1:14" ht="15.75">
      <c r="A32" s="87" t="s">
        <v>36</v>
      </c>
      <c r="D32" s="267" t="s">
        <v>25</v>
      </c>
      <c r="F32" s="267" t="s">
        <v>26</v>
      </c>
    </row>
    <row r="33" spans="1:14" ht="15.75">
      <c r="A33" s="269"/>
      <c r="B33" s="85" t="s">
        <v>37</v>
      </c>
      <c r="D33" s="271">
        <v>51598000</v>
      </c>
      <c r="F33" s="129"/>
      <c r="G33" s="50" t="s">
        <v>38</v>
      </c>
      <c r="H33" s="197" t="s">
        <v>29</v>
      </c>
      <c r="J33" s="272" t="s">
        <v>39</v>
      </c>
      <c r="K33" s="272"/>
      <c r="L33" s="272"/>
      <c r="M33" s="272"/>
      <c r="N33" s="272"/>
    </row>
    <row r="34" spans="1:14" ht="15.75">
      <c r="A34" s="269"/>
      <c r="B34" s="85" t="s">
        <v>40</v>
      </c>
      <c r="D34" s="271">
        <v>55900000</v>
      </c>
      <c r="F34" s="129"/>
      <c r="G34" s="50" t="s">
        <v>41</v>
      </c>
      <c r="H34" s="197" t="s">
        <v>29</v>
      </c>
      <c r="J34" s="272" t="s">
        <v>39</v>
      </c>
      <c r="K34" s="272"/>
      <c r="L34" s="272"/>
      <c r="M34" s="272"/>
      <c r="N34" s="272"/>
    </row>
    <row r="35" spans="1:14" ht="15.75">
      <c r="A35" s="269"/>
      <c r="B35" s="85" t="s">
        <v>42</v>
      </c>
      <c r="D35" s="271">
        <v>47995000</v>
      </c>
      <c r="F35" s="129"/>
      <c r="G35" s="50" t="s">
        <v>43</v>
      </c>
      <c r="H35" s="130" t="s">
        <v>35</v>
      </c>
      <c r="J35" s="272" t="s">
        <v>39</v>
      </c>
      <c r="K35" s="272"/>
      <c r="L35" s="272"/>
      <c r="M35" s="272"/>
      <c r="N35" s="272"/>
    </row>
    <row r="36" spans="1:14" ht="15.75">
      <c r="B36" s="85" t="s">
        <v>44</v>
      </c>
      <c r="D36" s="271">
        <v>46207000</v>
      </c>
      <c r="F36" s="129"/>
      <c r="G36" s="50" t="s">
        <v>45</v>
      </c>
      <c r="H36" s="130" t="s">
        <v>35</v>
      </c>
      <c r="J36" s="272" t="s">
        <v>39</v>
      </c>
      <c r="K36" s="272"/>
      <c r="L36" s="272"/>
      <c r="M36" s="272"/>
      <c r="N36" s="272"/>
    </row>
    <row r="37" spans="1:14" ht="15.75">
      <c r="F37" s="91"/>
    </row>
  </sheetData>
  <sheetProtection algorithmName="SHA-512" hashValue="bCVJ524E3Jaz42Wd3WnB8u3LGEdQt7QqR7NafEJ++RRFrqHGlIv3paW29fAKU9yOZDSH189YkJToYqNFjUL9XA==" saltValue="h9yRNfRtNYmy2nHaX41lFg==" spinCount="100000" sheet="1" autoFilter="0"/>
  <mergeCells count="18">
    <mergeCell ref="A1:F1"/>
    <mergeCell ref="A2:F2"/>
    <mergeCell ref="C11:D11"/>
    <mergeCell ref="C12:D12"/>
    <mergeCell ref="C13:D13"/>
    <mergeCell ref="C4:D4"/>
    <mergeCell ref="J36:N36"/>
    <mergeCell ref="J28:N28"/>
    <mergeCell ref="D17:F17"/>
    <mergeCell ref="C14:D14"/>
    <mergeCell ref="C8:D8"/>
    <mergeCell ref="C9:D9"/>
    <mergeCell ref="C10:D10"/>
    <mergeCell ref="J29:N29"/>
    <mergeCell ref="J33:N33"/>
    <mergeCell ref="J34:N34"/>
    <mergeCell ref="J35:N35"/>
    <mergeCell ref="J30:N30"/>
  </mergeCells>
  <pageMargins left="0.5" right="0.5" top="0.75" bottom="0.75" header="0.3" footer="0.3"/>
  <pageSetup scale="65" orientation="landscape" r:id="rId1"/>
  <legacyDrawing r:id="rId2"/>
  <extLst>
    <ext xmlns:x14="http://schemas.microsoft.com/office/spreadsheetml/2009/9/main" uri="{CCE6A557-97BC-4b89-ADB6-D9C93CAAB3DF}">
      <x14:dataValidations xmlns:xm="http://schemas.microsoft.com/office/excel/2006/main" count="1">
        <x14:dataValidation type="list" allowBlank="1" xr:uid="{00000000-0002-0000-0000-000000000000}">
          <x14:formula1>
            <xm:f>Data!$A$3:$A$28</xm:f>
          </x14:formula1>
          <xm:sqref>C4:D4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S157"/>
  <sheetViews>
    <sheetView zoomScale="110" zoomScaleNormal="110" workbookViewId="0">
      <selection activeCell="D8" sqref="D8"/>
    </sheetView>
  </sheetViews>
  <sheetFormatPr defaultRowHeight="12.75"/>
  <cols>
    <col min="1" max="3" width="2.7109375" customWidth="1"/>
    <col min="4" max="4" width="65.42578125" customWidth="1"/>
    <col min="5" max="5" width="21.85546875" customWidth="1"/>
    <col min="6" max="6" width="3.85546875" customWidth="1"/>
    <col min="7" max="7" width="3.7109375" style="56" customWidth="1"/>
    <col min="8" max="8" width="17.5703125" bestFit="1" customWidth="1"/>
    <col min="9" max="9" width="3.7109375" style="56" hidden="1" customWidth="1"/>
    <col min="10" max="10" width="19" bestFit="1" customWidth="1"/>
    <col min="11" max="11" width="4.85546875" style="56" hidden="1" customWidth="1"/>
    <col min="12" max="12" width="62" style="217" bestFit="1" customWidth="1"/>
    <col min="13" max="13" width="4.85546875" style="56" bestFit="1" customWidth="1"/>
    <col min="14" max="14" width="14.7109375" customWidth="1"/>
    <col min="15" max="15" width="12.140625" style="57" bestFit="1" customWidth="1"/>
    <col min="16" max="16" width="14.7109375" customWidth="1"/>
    <col min="17" max="17" width="3.7109375" style="57" customWidth="1"/>
    <col min="18" max="18" width="14.7109375" customWidth="1"/>
    <col min="19" max="19" width="3.7109375" customWidth="1"/>
  </cols>
  <sheetData>
    <row r="1" spans="1:19" ht="18.75" customHeight="1">
      <c r="A1" s="6"/>
      <c r="B1" s="6"/>
      <c r="C1" s="6"/>
      <c r="D1" s="6"/>
      <c r="E1" s="7" t="s">
        <v>810</v>
      </c>
      <c r="O1" s="219" t="s">
        <v>811</v>
      </c>
      <c r="P1" s="220" t="str">
        <f>_xlfn.CONCAT(Info!C11,"0G")</f>
        <v>00G</v>
      </c>
    </row>
    <row r="2" spans="1:19" ht="12.75" customHeight="1">
      <c r="A2" s="5"/>
      <c r="B2" s="6"/>
      <c r="C2" s="6"/>
      <c r="D2" s="6"/>
      <c r="E2" s="6"/>
      <c r="O2" s="219" t="s">
        <v>812</v>
      </c>
      <c r="P2" s="220" t="str">
        <f>_xlfn.CONCAT(Info!C9,"00")</f>
        <v>000</v>
      </c>
    </row>
    <row r="3" spans="1:19" ht="20.25">
      <c r="A3" s="285" t="str">
        <f>Info!C4</f>
        <v>Select Proprietary Fund (Click Here)</v>
      </c>
      <c r="B3" s="285"/>
      <c r="C3" s="285"/>
      <c r="D3" s="285"/>
      <c r="E3" s="285"/>
    </row>
    <row r="4" spans="1:19" ht="21">
      <c r="A4" s="285" t="s">
        <v>813</v>
      </c>
      <c r="B4" s="285"/>
      <c r="C4" s="285"/>
      <c r="D4" s="285"/>
      <c r="E4" s="285"/>
      <c r="J4" s="216" t="s">
        <v>814</v>
      </c>
    </row>
    <row r="5" spans="1:19" ht="21">
      <c r="A5" s="285" t="s">
        <v>184</v>
      </c>
      <c r="B5" s="285"/>
      <c r="C5" s="285"/>
      <c r="D5" s="285"/>
      <c r="E5" s="285"/>
      <c r="J5" s="7" t="s">
        <v>815</v>
      </c>
    </row>
    <row r="6" spans="1:19" ht="13.5" thickBot="1">
      <c r="A6" s="60"/>
      <c r="B6" s="60"/>
      <c r="C6" s="60"/>
      <c r="D6" s="60"/>
      <c r="E6" s="60"/>
      <c r="J6" s="16"/>
    </row>
    <row r="8" spans="1:19">
      <c r="A8" t="s">
        <v>20</v>
      </c>
      <c r="E8" s="9">
        <v>2024</v>
      </c>
      <c r="G8" s="61"/>
      <c r="H8" s="2"/>
      <c r="I8" s="61"/>
      <c r="J8" s="9">
        <v>2024</v>
      </c>
      <c r="K8" s="61"/>
      <c r="M8" s="61"/>
      <c r="N8" s="2"/>
      <c r="O8" s="62"/>
      <c r="P8" s="2"/>
      <c r="Q8" s="62"/>
      <c r="R8" s="1"/>
      <c r="S8" s="2"/>
    </row>
    <row r="9" spans="1:19">
      <c r="A9" s="12" t="s">
        <v>641</v>
      </c>
      <c r="O9" s="56"/>
    </row>
    <row r="10" spans="1:19">
      <c r="B10" t="s">
        <v>18</v>
      </c>
      <c r="E10" s="18">
        <f>'Exh F'!K25-'Exh F'!E189</f>
        <v>0</v>
      </c>
      <c r="H10" s="17"/>
      <c r="J10" s="17">
        <f t="shared" ref="J10:J22" si="0">E10</f>
        <v>0</v>
      </c>
      <c r="L10" s="217" t="s">
        <v>18</v>
      </c>
      <c r="O10" s="56"/>
    </row>
    <row r="11" spans="1:19">
      <c r="B11" t="s">
        <v>655</v>
      </c>
      <c r="E11" s="17">
        <f>'Exh F'!K28</f>
        <v>0</v>
      </c>
      <c r="H11" s="17"/>
      <c r="J11" s="17">
        <f t="shared" si="0"/>
        <v>0</v>
      </c>
      <c r="L11" s="217" t="s">
        <v>655</v>
      </c>
      <c r="O11" s="56"/>
    </row>
    <row r="12" spans="1:19">
      <c r="B12" t="s">
        <v>816</v>
      </c>
      <c r="E12" s="17" t="str">
        <f>IF(SUM('Exh F'!E188:E191)&gt;0,IF(SUM('Exh F'!E190:E191)&gt;0,SUM('Exh F'!E188:E191),'Exh F'!E189),"")</f>
        <v/>
      </c>
      <c r="H12" s="17"/>
      <c r="J12" s="17" t="str">
        <f t="shared" si="0"/>
        <v/>
      </c>
      <c r="L12" s="217" t="s">
        <v>816</v>
      </c>
      <c r="O12" s="56"/>
    </row>
    <row r="13" spans="1:19">
      <c r="B13" s="1" t="s">
        <v>817</v>
      </c>
      <c r="E13" s="17">
        <f>'Exh F'!K31</f>
        <v>0</v>
      </c>
      <c r="F13" s="159"/>
      <c r="H13" s="17"/>
      <c r="J13" s="17">
        <f t="shared" si="0"/>
        <v>0</v>
      </c>
      <c r="L13" s="217" t="s">
        <v>817</v>
      </c>
      <c r="O13" s="56"/>
    </row>
    <row r="14" spans="1:19">
      <c r="B14" s="1" t="s">
        <v>818</v>
      </c>
      <c r="E14" s="17">
        <f>'Exh F'!K30</f>
        <v>0</v>
      </c>
      <c r="F14" s="159"/>
      <c r="H14" s="17"/>
      <c r="J14" s="17">
        <f t="shared" si="0"/>
        <v>0</v>
      </c>
      <c r="L14" s="217" t="s">
        <v>818</v>
      </c>
      <c r="O14" s="56"/>
    </row>
    <row r="15" spans="1:19">
      <c r="B15" t="s">
        <v>22</v>
      </c>
      <c r="E15" s="17">
        <f>'Exh F'!K54-'Exh F'!E190</f>
        <v>0</v>
      </c>
      <c r="G15" s="17"/>
      <c r="H15" s="17"/>
      <c r="J15" s="17">
        <f t="shared" si="0"/>
        <v>0</v>
      </c>
      <c r="L15" s="217" t="s">
        <v>22</v>
      </c>
      <c r="O15" s="56"/>
    </row>
    <row r="16" spans="1:19">
      <c r="B16" t="s">
        <v>680</v>
      </c>
      <c r="E16" s="17">
        <f>'Exh F'!K65</f>
        <v>0</v>
      </c>
      <c r="G16" s="17"/>
      <c r="H16" s="17"/>
      <c r="I16" s="17"/>
      <c r="J16" s="17">
        <f t="shared" si="0"/>
        <v>0</v>
      </c>
      <c r="L16" s="217" t="s">
        <v>680</v>
      </c>
      <c r="N16" s="17"/>
      <c r="O16" s="56"/>
      <c r="P16" s="17"/>
      <c r="Q16" s="17"/>
      <c r="R16" s="17"/>
      <c r="S16" s="17"/>
    </row>
    <row r="17" spans="1:19">
      <c r="B17" t="s">
        <v>690</v>
      </c>
      <c r="E17" s="17">
        <f>'Exh F'!K77-'Exh F'!E191</f>
        <v>0</v>
      </c>
      <c r="G17" s="17"/>
      <c r="H17" s="17"/>
      <c r="I17" s="17"/>
      <c r="J17" s="17">
        <f t="shared" si="0"/>
        <v>0</v>
      </c>
      <c r="L17" s="217" t="s">
        <v>690</v>
      </c>
      <c r="N17" s="17"/>
      <c r="O17" s="56"/>
      <c r="P17" s="17"/>
      <c r="Q17" s="17"/>
      <c r="R17" s="17"/>
      <c r="S17" s="17"/>
    </row>
    <row r="18" spans="1:19">
      <c r="B18" t="s">
        <v>819</v>
      </c>
      <c r="E18" s="17">
        <f>IF(SUM('Exh F'!E188:E191)&lt;0,SUM('Exh F'!E188:E191),IF(SUM('Exh F'!E190:E191)&gt;0,"",SUM('Exh F'!E190:E191)))</f>
        <v>0</v>
      </c>
      <c r="G18" s="17"/>
      <c r="H18" s="17"/>
      <c r="I18" s="17"/>
      <c r="J18" s="17">
        <f t="shared" si="0"/>
        <v>0</v>
      </c>
      <c r="L18" s="217" t="s">
        <v>819</v>
      </c>
      <c r="N18" s="17"/>
      <c r="O18" s="56"/>
      <c r="P18" s="17"/>
      <c r="Q18" s="17"/>
      <c r="R18" s="17"/>
      <c r="S18" s="17"/>
    </row>
    <row r="19" spans="1:19">
      <c r="B19" s="1" t="s">
        <v>820</v>
      </c>
      <c r="E19" s="17">
        <f>'Exh F'!K29</f>
        <v>0</v>
      </c>
      <c r="F19" s="159"/>
      <c r="G19" s="17"/>
      <c r="H19" s="17"/>
      <c r="I19" s="17"/>
      <c r="J19" s="17">
        <f t="shared" si="0"/>
        <v>0</v>
      </c>
      <c r="L19" s="217" t="s">
        <v>820</v>
      </c>
      <c r="N19" s="17"/>
      <c r="O19" s="56"/>
      <c r="P19" s="17"/>
      <c r="Q19" s="17"/>
      <c r="R19" s="17"/>
      <c r="S19" s="17"/>
    </row>
    <row r="20" spans="1:19">
      <c r="B20" t="s">
        <v>700</v>
      </c>
      <c r="E20" s="17">
        <f>'Exh F'!K86</f>
        <v>0</v>
      </c>
      <c r="J20" s="17">
        <f t="shared" si="0"/>
        <v>0</v>
      </c>
      <c r="L20" s="217" t="s">
        <v>700</v>
      </c>
      <c r="O20" s="56"/>
    </row>
    <row r="21" spans="1:19">
      <c r="B21" t="s">
        <v>710</v>
      </c>
      <c r="E21" s="17">
        <f>'Exh F'!K90</f>
        <v>0</v>
      </c>
      <c r="F21" t="s">
        <v>20</v>
      </c>
      <c r="J21" s="21">
        <f t="shared" si="0"/>
        <v>0</v>
      </c>
      <c r="L21" s="217" t="s">
        <v>710</v>
      </c>
      <c r="O21" s="56"/>
    </row>
    <row r="22" spans="1:19">
      <c r="C22" t="s">
        <v>821</v>
      </c>
      <c r="E22" s="31">
        <f>SUM(E10:E21)</f>
        <v>0</v>
      </c>
      <c r="J22" s="31">
        <f t="shared" si="0"/>
        <v>0</v>
      </c>
      <c r="O22" s="56"/>
    </row>
    <row r="23" spans="1:19" ht="9.9499999999999993" customHeight="1">
      <c r="E23" s="17"/>
      <c r="O23" s="56"/>
    </row>
    <row r="24" spans="1:19">
      <c r="A24" s="12" t="s">
        <v>713</v>
      </c>
      <c r="E24" s="17"/>
      <c r="O24" s="56"/>
    </row>
    <row r="25" spans="1:19">
      <c r="A25" s="12"/>
      <c r="B25" s="1" t="s">
        <v>822</v>
      </c>
      <c r="E25" s="17">
        <f>'Exh F'!K96</f>
        <v>0</v>
      </c>
      <c r="J25" s="17">
        <f t="shared" ref="J25:J36" si="1">E25</f>
        <v>0</v>
      </c>
      <c r="L25" s="217" t="s">
        <v>822</v>
      </c>
      <c r="O25" s="56"/>
    </row>
    <row r="26" spans="1:19">
      <c r="A26" s="12"/>
      <c r="B26" t="s">
        <v>248</v>
      </c>
      <c r="E26" s="17">
        <f>'Exh F'!K101</f>
        <v>0</v>
      </c>
      <c r="J26" s="17">
        <f t="shared" si="1"/>
        <v>0</v>
      </c>
      <c r="L26" s="217" t="s">
        <v>248</v>
      </c>
      <c r="O26" s="56"/>
    </row>
    <row r="27" spans="1:19">
      <c r="A27" s="12"/>
      <c r="B27" s="1" t="s">
        <v>823</v>
      </c>
      <c r="E27" s="17">
        <f>'Exh F'!K102</f>
        <v>0</v>
      </c>
      <c r="J27" s="17">
        <f t="shared" si="1"/>
        <v>0</v>
      </c>
      <c r="L27" s="217" t="s">
        <v>824</v>
      </c>
      <c r="O27" s="56"/>
    </row>
    <row r="28" spans="1:19">
      <c r="A28" s="12"/>
      <c r="B28" t="s">
        <v>825</v>
      </c>
      <c r="E28" s="17"/>
      <c r="J28" s="17">
        <f t="shared" si="1"/>
        <v>0</v>
      </c>
      <c r="L28" s="217" t="s">
        <v>826</v>
      </c>
      <c r="O28" s="56"/>
    </row>
    <row r="29" spans="1:19">
      <c r="A29" s="12"/>
      <c r="B29" s="1" t="s">
        <v>238</v>
      </c>
      <c r="E29" s="17">
        <f>'Exh F'!K104</f>
        <v>0</v>
      </c>
      <c r="J29" s="17">
        <f t="shared" si="1"/>
        <v>0</v>
      </c>
      <c r="L29" s="217" t="s">
        <v>238</v>
      </c>
      <c r="O29" s="56"/>
    </row>
    <row r="30" spans="1:19">
      <c r="A30" s="12"/>
      <c r="B30" t="s">
        <v>157</v>
      </c>
      <c r="E30" s="17">
        <f>'Exh F'!K105</f>
        <v>0</v>
      </c>
      <c r="J30" s="17">
        <f t="shared" si="1"/>
        <v>0</v>
      </c>
      <c r="L30" s="217" t="s">
        <v>157</v>
      </c>
      <c r="O30" s="56"/>
    </row>
    <row r="31" spans="1:19">
      <c r="A31" s="12"/>
      <c r="B31" t="s">
        <v>827</v>
      </c>
      <c r="E31" s="17">
        <f>'Exh F'!K106</f>
        <v>0</v>
      </c>
      <c r="J31" s="17">
        <f t="shared" si="1"/>
        <v>0</v>
      </c>
      <c r="L31" s="217" t="s">
        <v>827</v>
      </c>
      <c r="O31" s="56"/>
    </row>
    <row r="32" spans="1:19">
      <c r="B32" t="s">
        <v>725</v>
      </c>
      <c r="E32" s="17">
        <f>'Exh F'!K108</f>
        <v>0</v>
      </c>
      <c r="J32" s="17">
        <f t="shared" si="1"/>
        <v>0</v>
      </c>
      <c r="L32" s="217" t="s">
        <v>828</v>
      </c>
      <c r="O32" s="56"/>
    </row>
    <row r="33" spans="1:15">
      <c r="A33" s="12"/>
      <c r="B33" t="s">
        <v>726</v>
      </c>
      <c r="E33" s="17">
        <f>'Exh F'!K109</f>
        <v>0</v>
      </c>
      <c r="J33" s="17">
        <f t="shared" si="1"/>
        <v>0</v>
      </c>
      <c r="L33" s="217" t="s">
        <v>726</v>
      </c>
      <c r="O33" s="56"/>
    </row>
    <row r="34" spans="1:15">
      <c r="A34" s="12"/>
      <c r="B34" t="s">
        <v>727</v>
      </c>
      <c r="E34" s="17">
        <f>'Exh F'!K113</f>
        <v>0</v>
      </c>
      <c r="J34" s="17">
        <f t="shared" si="1"/>
        <v>0</v>
      </c>
      <c r="L34" s="217" t="s">
        <v>727</v>
      </c>
      <c r="O34" s="56"/>
    </row>
    <row r="35" spans="1:15">
      <c r="A35" s="12"/>
      <c r="B35" t="s">
        <v>247</v>
      </c>
      <c r="E35" s="21">
        <f>'Exh F'!K114</f>
        <v>0</v>
      </c>
      <c r="J35" s="21">
        <f t="shared" si="1"/>
        <v>0</v>
      </c>
      <c r="L35" s="217" t="s">
        <v>829</v>
      </c>
      <c r="O35" s="56"/>
    </row>
    <row r="36" spans="1:15">
      <c r="C36" t="s">
        <v>830</v>
      </c>
      <c r="E36" s="21">
        <f>SUM(E25:E35)</f>
        <v>0</v>
      </c>
      <c r="J36" s="31">
        <f t="shared" si="1"/>
        <v>0</v>
      </c>
      <c r="O36" s="56"/>
    </row>
    <row r="37" spans="1:15" ht="9.9499999999999993" customHeight="1">
      <c r="E37" s="17"/>
      <c r="O37" s="56"/>
    </row>
    <row r="38" spans="1:15">
      <c r="A38" s="12" t="s">
        <v>731</v>
      </c>
      <c r="E38" s="17"/>
      <c r="O38" s="56"/>
    </row>
    <row r="39" spans="1:15">
      <c r="A39" s="12" t="s">
        <v>732</v>
      </c>
      <c r="E39" s="17"/>
      <c r="O39" s="56"/>
    </row>
    <row r="40" spans="1:15">
      <c r="B40" t="s">
        <v>733</v>
      </c>
      <c r="E40" s="17">
        <f>'Exh F'!K124</f>
        <v>0</v>
      </c>
      <c r="J40" s="17">
        <f t="shared" ref="J40:J47" si="2">E40</f>
        <v>0</v>
      </c>
      <c r="L40" s="217" t="s">
        <v>733</v>
      </c>
      <c r="O40" s="56"/>
    </row>
    <row r="41" spans="1:15">
      <c r="B41" t="s">
        <v>365</v>
      </c>
      <c r="E41" s="17">
        <f>'Exh F'!K126</f>
        <v>0</v>
      </c>
      <c r="J41" s="17">
        <f t="shared" si="2"/>
        <v>0</v>
      </c>
      <c r="L41" s="217" t="s">
        <v>831</v>
      </c>
      <c r="O41" s="56"/>
    </row>
    <row r="42" spans="1:15">
      <c r="B42" t="s">
        <v>725</v>
      </c>
      <c r="E42" s="17">
        <f>'Exh F'!K127</f>
        <v>0</v>
      </c>
      <c r="J42" s="17">
        <f t="shared" si="2"/>
        <v>0</v>
      </c>
      <c r="L42" s="217" t="s">
        <v>832</v>
      </c>
      <c r="O42" s="56"/>
    </row>
    <row r="43" spans="1:15">
      <c r="B43" s="1" t="s">
        <v>726</v>
      </c>
      <c r="E43" s="17">
        <f>'Exh F'!K128</f>
        <v>0</v>
      </c>
      <c r="J43" s="17">
        <f t="shared" si="2"/>
        <v>0</v>
      </c>
      <c r="L43" s="217" t="s">
        <v>833</v>
      </c>
      <c r="O43" s="56"/>
    </row>
    <row r="44" spans="1:15">
      <c r="A44" s="12"/>
      <c r="B44" s="1" t="s">
        <v>834</v>
      </c>
      <c r="E44" s="17">
        <f>'Exh F'!K132</f>
        <v>0</v>
      </c>
      <c r="J44" s="17">
        <f t="shared" si="2"/>
        <v>0</v>
      </c>
      <c r="L44" s="217" t="s">
        <v>834</v>
      </c>
      <c r="O44" s="56"/>
    </row>
    <row r="45" spans="1:15">
      <c r="A45" s="12"/>
      <c r="B45" s="1" t="s">
        <v>835</v>
      </c>
      <c r="E45" s="17">
        <f>'Exh F'!K137</f>
        <v>0</v>
      </c>
      <c r="J45" s="17">
        <f t="shared" si="2"/>
        <v>0</v>
      </c>
      <c r="L45" s="217" t="s">
        <v>835</v>
      </c>
      <c r="O45" s="56"/>
    </row>
    <row r="46" spans="1:15">
      <c r="B46" s="1" t="s">
        <v>745</v>
      </c>
      <c r="E46" s="17">
        <f>'Exh F'!K143</f>
        <v>0</v>
      </c>
      <c r="J46" s="17">
        <f t="shared" si="2"/>
        <v>0</v>
      </c>
      <c r="L46" s="217" t="s">
        <v>745</v>
      </c>
      <c r="O46" s="56"/>
    </row>
    <row r="47" spans="1:15">
      <c r="B47" s="1" t="s">
        <v>751</v>
      </c>
      <c r="E47" s="17">
        <f>'Exh F'!K147</f>
        <v>0</v>
      </c>
      <c r="J47" s="17">
        <f t="shared" si="2"/>
        <v>0</v>
      </c>
      <c r="L47" s="217" t="s">
        <v>751</v>
      </c>
      <c r="O47" s="56"/>
    </row>
    <row r="48" spans="1:15" hidden="1">
      <c r="B48" s="1" t="s">
        <v>755</v>
      </c>
      <c r="E48" s="17">
        <f>'Exh F'!K148</f>
        <v>0</v>
      </c>
      <c r="L48" s="217" t="s">
        <v>755</v>
      </c>
      <c r="O48" s="56"/>
    </row>
    <row r="49" spans="1:17">
      <c r="B49" s="1" t="s">
        <v>247</v>
      </c>
      <c r="E49" s="17">
        <f>'Exh F'!K149</f>
        <v>0</v>
      </c>
      <c r="J49" s="17">
        <f>E49</f>
        <v>0</v>
      </c>
      <c r="L49" s="217" t="s">
        <v>836</v>
      </c>
      <c r="O49" s="56"/>
    </row>
    <row r="50" spans="1:17">
      <c r="B50" s="1" t="s">
        <v>837</v>
      </c>
      <c r="E50" s="17">
        <f>'Exh F'!K155</f>
        <v>0</v>
      </c>
      <c r="J50" s="17">
        <f>E50</f>
        <v>0</v>
      </c>
      <c r="L50" s="217" t="s">
        <v>838</v>
      </c>
      <c r="O50" s="56"/>
    </row>
    <row r="51" spans="1:17">
      <c r="B51" s="1" t="s">
        <v>763</v>
      </c>
      <c r="E51" s="17">
        <f>'Exh F'!K157</f>
        <v>0</v>
      </c>
      <c r="J51" s="17">
        <f>E51</f>
        <v>0</v>
      </c>
      <c r="L51" s="217" t="s">
        <v>839</v>
      </c>
      <c r="O51" s="56"/>
    </row>
    <row r="52" spans="1:17">
      <c r="B52" t="s">
        <v>757</v>
      </c>
      <c r="E52" s="17">
        <f>'Exh F'!K151</f>
        <v>0</v>
      </c>
      <c r="J52" s="21">
        <f>E52</f>
        <v>0</v>
      </c>
      <c r="L52" s="217" t="s">
        <v>757</v>
      </c>
      <c r="O52" s="56"/>
    </row>
    <row r="53" spans="1:17">
      <c r="C53" t="s">
        <v>840</v>
      </c>
      <c r="E53" s="31">
        <f>SUM(E40:E52)</f>
        <v>0</v>
      </c>
      <c r="J53" s="31">
        <f>E53</f>
        <v>0</v>
      </c>
      <c r="O53" s="56"/>
    </row>
    <row r="54" spans="1:17" ht="9.9499999999999993" customHeight="1">
      <c r="E54" s="17"/>
      <c r="O54" s="56"/>
    </row>
    <row r="55" spans="1:17">
      <c r="A55" s="12" t="s">
        <v>765</v>
      </c>
      <c r="E55" s="17"/>
      <c r="O55" s="56"/>
    </row>
    <row r="56" spans="1:17">
      <c r="B56" s="1" t="s">
        <v>766</v>
      </c>
      <c r="E56" s="17">
        <f>'Exh F'!K162</f>
        <v>0</v>
      </c>
      <c r="J56" s="17">
        <f>E56</f>
        <v>0</v>
      </c>
      <c r="L56" s="217" t="s">
        <v>841</v>
      </c>
      <c r="O56" s="56"/>
    </row>
    <row r="57" spans="1:17">
      <c r="B57" s="1" t="s">
        <v>842</v>
      </c>
      <c r="E57" s="17">
        <f>'Exh F'!K164</f>
        <v>0</v>
      </c>
      <c r="J57" s="17">
        <f>E57</f>
        <v>0</v>
      </c>
      <c r="L57" s="217" t="s">
        <v>842</v>
      </c>
      <c r="O57" s="56"/>
    </row>
    <row r="58" spans="1:17">
      <c r="B58" s="1" t="s">
        <v>843</v>
      </c>
      <c r="E58" s="17">
        <f>'Exh F'!K167</f>
        <v>0</v>
      </c>
      <c r="J58" s="17">
        <f>E58</f>
        <v>0</v>
      </c>
      <c r="L58" s="217" t="s">
        <v>843</v>
      </c>
      <c r="O58" s="56"/>
    </row>
    <row r="59" spans="1:17">
      <c r="B59" s="1" t="s">
        <v>844</v>
      </c>
      <c r="E59" s="17">
        <f>'Exh F'!K171</f>
        <v>0</v>
      </c>
      <c r="J59" s="17">
        <f>E59</f>
        <v>0</v>
      </c>
      <c r="L59" s="217" t="s">
        <v>844</v>
      </c>
      <c r="O59" s="56"/>
    </row>
    <row r="60" spans="1:17" s="88" customFormat="1" hidden="1">
      <c r="B60" s="89" t="s">
        <v>845</v>
      </c>
      <c r="E60" s="187"/>
      <c r="F60" s="188" t="s">
        <v>846</v>
      </c>
      <c r="G60" s="189"/>
      <c r="I60" s="189"/>
      <c r="K60" s="189"/>
      <c r="L60" s="218" t="s">
        <v>845</v>
      </c>
      <c r="M60" s="189"/>
      <c r="O60" s="189"/>
      <c r="Q60" s="190"/>
    </row>
    <row r="61" spans="1:17" s="88" customFormat="1" hidden="1">
      <c r="B61" s="89" t="s">
        <v>658</v>
      </c>
      <c r="E61" s="187"/>
      <c r="F61" s="188" t="s">
        <v>846</v>
      </c>
      <c r="G61" s="189"/>
      <c r="I61" s="189"/>
      <c r="K61" s="189"/>
      <c r="L61" s="218" t="s">
        <v>658</v>
      </c>
      <c r="M61" s="189"/>
      <c r="O61" s="189"/>
      <c r="Q61" s="190"/>
    </row>
    <row r="62" spans="1:17" s="88" customFormat="1" hidden="1">
      <c r="B62" s="89" t="s">
        <v>659</v>
      </c>
      <c r="E62" s="187"/>
      <c r="F62" s="188" t="s">
        <v>846</v>
      </c>
      <c r="G62" s="189"/>
      <c r="I62" s="189"/>
      <c r="K62" s="189"/>
      <c r="L62" s="218" t="s">
        <v>659</v>
      </c>
      <c r="M62" s="189"/>
      <c r="O62" s="189"/>
      <c r="Q62" s="190"/>
    </row>
    <row r="63" spans="1:17">
      <c r="B63" s="1" t="s">
        <v>776</v>
      </c>
      <c r="E63" s="21">
        <f>'Exh F'!K180</f>
        <v>0</v>
      </c>
      <c r="J63" s="21">
        <f>E63</f>
        <v>0</v>
      </c>
      <c r="L63" s="217" t="s">
        <v>776</v>
      </c>
      <c r="O63" s="56"/>
    </row>
    <row r="64" spans="1:17">
      <c r="C64" t="s">
        <v>847</v>
      </c>
      <c r="E64" s="21">
        <f>SUM(E56:E63)</f>
        <v>0</v>
      </c>
      <c r="J64" s="31">
        <f>E64</f>
        <v>0</v>
      </c>
      <c r="O64" s="56"/>
    </row>
    <row r="65" spans="1:17" ht="9.9499999999999993" customHeight="1">
      <c r="E65" s="17"/>
      <c r="O65" s="56"/>
    </row>
    <row r="66" spans="1:17">
      <c r="A66" t="s">
        <v>848</v>
      </c>
      <c r="E66" s="17">
        <f>E22+E36+E53+E64</f>
        <v>0</v>
      </c>
      <c r="J66" s="17">
        <f>E66</f>
        <v>0</v>
      </c>
      <c r="O66" s="56"/>
    </row>
    <row r="67" spans="1:17">
      <c r="A67" t="s">
        <v>849</v>
      </c>
      <c r="E67" s="21">
        <f>SUM('Exh A'!K11:K13)+SUM('Exh A'!K34:K34)</f>
        <v>0</v>
      </c>
      <c r="J67" s="21">
        <f>E67</f>
        <v>0</v>
      </c>
      <c r="O67" s="56"/>
    </row>
    <row r="68" spans="1:17" ht="12" customHeight="1" thickBot="1">
      <c r="A68" t="s">
        <v>850</v>
      </c>
      <c r="E68" s="63">
        <f>E66+E67</f>
        <v>0</v>
      </c>
      <c r="J68" s="214">
        <f>E68</f>
        <v>0</v>
      </c>
      <c r="O68" s="56"/>
    </row>
    <row r="69" spans="1:17" ht="9.9499999999999993" customHeight="1" thickTop="1">
      <c r="O69" s="56"/>
    </row>
    <row r="70" spans="1:17">
      <c r="A70" s="12" t="s">
        <v>851</v>
      </c>
      <c r="O70" s="56"/>
    </row>
    <row r="71" spans="1:17">
      <c r="A71" s="12" t="s">
        <v>852</v>
      </c>
      <c r="O71" s="56"/>
    </row>
    <row r="72" spans="1:17">
      <c r="A72" s="1" t="s">
        <v>230</v>
      </c>
      <c r="E72" s="55">
        <f>'Exh B'!E35</f>
        <v>0</v>
      </c>
      <c r="J72" s="21">
        <f>E72</f>
        <v>0</v>
      </c>
      <c r="L72" s="217" t="s">
        <v>230</v>
      </c>
      <c r="O72" s="56"/>
    </row>
    <row r="73" spans="1:17">
      <c r="A73" s="1" t="s">
        <v>853</v>
      </c>
      <c r="E73" s="17"/>
      <c r="O73" s="56"/>
    </row>
    <row r="74" spans="1:17">
      <c r="A74" s="1" t="s">
        <v>854</v>
      </c>
      <c r="E74" s="17"/>
      <c r="F74" s="64"/>
      <c r="O74" s="56"/>
    </row>
    <row r="75" spans="1:17">
      <c r="B75" s="1" t="s">
        <v>855</v>
      </c>
      <c r="E75" s="17">
        <f>B_11</f>
        <v>0</v>
      </c>
      <c r="F75" s="118" t="s">
        <v>222</v>
      </c>
      <c r="J75" s="17">
        <f>E75</f>
        <v>0</v>
      </c>
      <c r="L75" s="217" t="s">
        <v>855</v>
      </c>
      <c r="O75" s="56"/>
    </row>
    <row r="76" spans="1:17">
      <c r="B76" s="1" t="s">
        <v>856</v>
      </c>
      <c r="E76" s="17">
        <f>E_80</f>
        <v>0</v>
      </c>
      <c r="F76" s="118" t="s">
        <v>589</v>
      </c>
      <c r="J76" s="17">
        <f>E76</f>
        <v>0</v>
      </c>
      <c r="L76" s="217" t="s">
        <v>857</v>
      </c>
      <c r="O76" s="56"/>
    </row>
    <row r="77" spans="1:17">
      <c r="B77" s="1" t="s">
        <v>858</v>
      </c>
      <c r="E77" s="17">
        <f>E_87</f>
        <v>0</v>
      </c>
      <c r="F77" s="118" t="s">
        <v>598</v>
      </c>
      <c r="J77" s="17">
        <f>E77</f>
        <v>0</v>
      </c>
      <c r="L77" s="217" t="s">
        <v>859</v>
      </c>
      <c r="O77" s="56"/>
    </row>
    <row r="78" spans="1:17">
      <c r="B78" s="1" t="s">
        <v>860</v>
      </c>
      <c r="E78" s="17">
        <f>E_5+B_25</f>
        <v>0</v>
      </c>
      <c r="F78" s="118" t="s">
        <v>861</v>
      </c>
      <c r="H78" s="159"/>
      <c r="J78" s="17">
        <f>E78</f>
        <v>0</v>
      </c>
      <c r="L78" s="217" t="s">
        <v>862</v>
      </c>
      <c r="M78" s="185"/>
      <c r="O78" s="56"/>
    </row>
    <row r="79" spans="1:17" s="88" customFormat="1" hidden="1">
      <c r="B79" s="89" t="s">
        <v>193</v>
      </c>
      <c r="F79" s="191"/>
      <c r="G79" s="192" t="s">
        <v>863</v>
      </c>
      <c r="I79" s="189"/>
      <c r="K79" s="189"/>
      <c r="L79" s="218"/>
      <c r="M79" s="189"/>
      <c r="O79" s="189"/>
      <c r="Q79" s="190"/>
    </row>
    <row r="80" spans="1:17">
      <c r="B80" s="1" t="s">
        <v>864</v>
      </c>
      <c r="E80" s="17"/>
      <c r="F80" s="124"/>
      <c r="O80" s="56"/>
    </row>
    <row r="81" spans="2:15" ht="12" customHeight="1">
      <c r="C81" s="1" t="s">
        <v>865</v>
      </c>
      <c r="E81" s="17">
        <f>-E_1-A_18-A_5-E_9-E_2-E_3-E_69-E_6-A_18A</f>
        <v>0</v>
      </c>
      <c r="F81" s="124" t="s">
        <v>866</v>
      </c>
      <c r="H81" s="48"/>
      <c r="J81" s="17">
        <f t="shared" ref="J81:J90" si="3">E81</f>
        <v>0</v>
      </c>
      <c r="L81" s="217" t="s">
        <v>865</v>
      </c>
      <c r="O81" s="56"/>
    </row>
    <row r="82" spans="2:15" ht="12" customHeight="1">
      <c r="C82" s="1" t="s">
        <v>867</v>
      </c>
      <c r="E82" s="17">
        <f>-('Exh A'!M40+'Exh A'!M27)</f>
        <v>0</v>
      </c>
      <c r="F82" s="124"/>
      <c r="G82" s="185"/>
      <c r="H82" s="48"/>
      <c r="J82" s="17">
        <f t="shared" si="3"/>
        <v>0</v>
      </c>
      <c r="L82" s="217" t="s">
        <v>867</v>
      </c>
      <c r="O82" s="56"/>
    </row>
    <row r="83" spans="2:15">
      <c r="C83" s="1" t="s">
        <v>83</v>
      </c>
      <c r="E83" s="17">
        <f>-A_17+A_17G+A_17F</f>
        <v>0</v>
      </c>
      <c r="F83" s="124" t="s">
        <v>84</v>
      </c>
      <c r="J83" s="17">
        <f t="shared" si="3"/>
        <v>0</v>
      </c>
      <c r="L83" s="217" t="s">
        <v>83</v>
      </c>
      <c r="O83" s="56"/>
    </row>
    <row r="84" spans="2:15">
      <c r="C84" s="1" t="s">
        <v>85</v>
      </c>
      <c r="E84" s="17">
        <f>-A_14</f>
        <v>0</v>
      </c>
      <c r="F84" s="124" t="s">
        <v>86</v>
      </c>
      <c r="J84" s="17">
        <f t="shared" si="3"/>
        <v>0</v>
      </c>
      <c r="L84" s="217" t="s">
        <v>85</v>
      </c>
      <c r="O84" s="56"/>
    </row>
    <row r="85" spans="2:15">
      <c r="C85" t="s">
        <v>92</v>
      </c>
      <c r="E85" s="17">
        <f>-A_2</f>
        <v>0</v>
      </c>
      <c r="F85" s="118" t="s">
        <v>93</v>
      </c>
      <c r="J85" s="17">
        <f t="shared" si="3"/>
        <v>0</v>
      </c>
      <c r="L85" s="217" t="s">
        <v>92</v>
      </c>
      <c r="O85" s="56"/>
    </row>
    <row r="86" spans="2:15" ht="12" customHeight="1">
      <c r="C86" t="s">
        <v>96</v>
      </c>
      <c r="E86" s="17">
        <f>-('Exh E'!H78+'Exh E'!H84)</f>
        <v>0</v>
      </c>
      <c r="F86" s="118" t="s">
        <v>97</v>
      </c>
      <c r="H86" s="48"/>
      <c r="J86" s="17">
        <f t="shared" si="3"/>
        <v>0</v>
      </c>
      <c r="L86" s="217" t="s">
        <v>96</v>
      </c>
      <c r="O86" s="56"/>
    </row>
    <row r="87" spans="2:15" ht="12" customHeight="1">
      <c r="C87" t="s">
        <v>94</v>
      </c>
      <c r="E87" s="17">
        <f>-('Exh A'!M29+'Exh A'!M42)</f>
        <v>0</v>
      </c>
      <c r="F87" s="118"/>
      <c r="H87" s="48"/>
      <c r="J87" s="17">
        <f t="shared" si="3"/>
        <v>0</v>
      </c>
      <c r="L87" s="217" t="s">
        <v>94</v>
      </c>
      <c r="O87" s="56"/>
    </row>
    <row r="88" spans="2:15">
      <c r="C88" s="1" t="s">
        <v>116</v>
      </c>
      <c r="E88" s="17">
        <f>-'Exh A'!M52</f>
        <v>0</v>
      </c>
      <c r="F88" s="118" t="s">
        <v>868</v>
      </c>
      <c r="J88" s="17">
        <f t="shared" si="3"/>
        <v>0</v>
      </c>
      <c r="L88" s="217" t="s">
        <v>116</v>
      </c>
      <c r="O88" s="56"/>
    </row>
    <row r="89" spans="2:15">
      <c r="C89" s="1" t="s">
        <v>113</v>
      </c>
      <c r="E89" s="17">
        <f>-'Exh A'!M50</f>
        <v>0</v>
      </c>
      <c r="F89" s="118"/>
      <c r="J89" s="17">
        <f t="shared" si="3"/>
        <v>0</v>
      </c>
      <c r="L89" s="217" t="s">
        <v>113</v>
      </c>
      <c r="O89" s="56"/>
    </row>
    <row r="90" spans="2:15">
      <c r="C90" s="1" t="s">
        <v>114</v>
      </c>
      <c r="E90" s="17">
        <f>-A_23</f>
        <v>0</v>
      </c>
      <c r="F90" s="118"/>
      <c r="J90" s="17">
        <f t="shared" si="3"/>
        <v>0</v>
      </c>
      <c r="L90" s="217" t="s">
        <v>114</v>
      </c>
      <c r="O90" s="56"/>
    </row>
    <row r="91" spans="2:15">
      <c r="B91" s="1" t="s">
        <v>869</v>
      </c>
      <c r="C91" s="49"/>
      <c r="E91" s="17"/>
      <c r="F91" s="118"/>
      <c r="O91" s="56"/>
    </row>
    <row r="92" spans="2:15">
      <c r="C92" t="s">
        <v>870</v>
      </c>
      <c r="E92" s="17">
        <f>E_21+A_9+A_10+E_26+A_8+E_23+E_71+E_70+A_11</f>
        <v>0</v>
      </c>
      <c r="F92" s="118" t="s">
        <v>866</v>
      </c>
      <c r="J92" s="17">
        <f t="shared" ref="J92:J108" si="4">E92</f>
        <v>0</v>
      </c>
      <c r="L92" s="217" t="s">
        <v>870</v>
      </c>
      <c r="O92" s="56"/>
    </row>
    <row r="93" spans="2:15">
      <c r="C93" t="s">
        <v>136</v>
      </c>
      <c r="E93" s="17">
        <f>A_19-A_19G-A_19F</f>
        <v>0</v>
      </c>
      <c r="F93" s="118" t="s">
        <v>137</v>
      </c>
      <c r="J93" s="17">
        <f t="shared" si="4"/>
        <v>0</v>
      </c>
      <c r="L93" s="217" t="s">
        <v>136</v>
      </c>
      <c r="O93" s="56"/>
    </row>
    <row r="94" spans="2:15" ht="12" customHeight="1">
      <c r="C94" t="s">
        <v>134</v>
      </c>
      <c r="E94" s="17"/>
      <c r="F94" s="118"/>
      <c r="H94" s="48" t="s">
        <v>871</v>
      </c>
      <c r="J94" s="17">
        <f t="shared" si="4"/>
        <v>0</v>
      </c>
      <c r="L94" s="217" t="s">
        <v>134</v>
      </c>
      <c r="O94" s="56"/>
    </row>
    <row r="95" spans="2:15" ht="12" customHeight="1">
      <c r="C95" s="1" t="s">
        <v>138</v>
      </c>
      <c r="E95" s="17">
        <f>E_27+E_29</f>
        <v>0</v>
      </c>
      <c r="F95" s="118" t="s">
        <v>872</v>
      </c>
      <c r="H95" s="48"/>
      <c r="J95" s="17">
        <f t="shared" si="4"/>
        <v>0</v>
      </c>
      <c r="L95" s="217" t="s">
        <v>138</v>
      </c>
      <c r="O95" s="56"/>
    </row>
    <row r="96" spans="2:15">
      <c r="C96" t="s">
        <v>126</v>
      </c>
      <c r="E96" s="17">
        <f>A_7</f>
        <v>0</v>
      </c>
      <c r="F96" s="118" t="s">
        <v>127</v>
      </c>
      <c r="J96" s="17">
        <f t="shared" si="4"/>
        <v>0</v>
      </c>
      <c r="L96" s="217" t="s">
        <v>126</v>
      </c>
      <c r="O96" s="56"/>
    </row>
    <row r="97" spans="1:15">
      <c r="C97" t="s">
        <v>154</v>
      </c>
      <c r="E97" s="17">
        <f>E_30</f>
        <v>0</v>
      </c>
      <c r="F97" s="118" t="s">
        <v>484</v>
      </c>
      <c r="J97" s="17">
        <f t="shared" si="4"/>
        <v>0</v>
      </c>
      <c r="L97" s="217" t="s">
        <v>154</v>
      </c>
      <c r="O97" s="56"/>
    </row>
    <row r="98" spans="1:15" ht="12" customHeight="1">
      <c r="C98" t="s">
        <v>873</v>
      </c>
      <c r="E98" s="17"/>
      <c r="F98" s="118"/>
      <c r="H98" s="48" t="s">
        <v>874</v>
      </c>
      <c r="J98" s="17">
        <f t="shared" si="4"/>
        <v>0</v>
      </c>
      <c r="L98" s="217" t="s">
        <v>873</v>
      </c>
      <c r="O98" s="56"/>
    </row>
    <row r="99" spans="1:15">
      <c r="C99" t="s">
        <v>147</v>
      </c>
      <c r="E99" s="17">
        <f>A_20</f>
        <v>0</v>
      </c>
      <c r="F99" s="118" t="s">
        <v>148</v>
      </c>
      <c r="J99" s="17">
        <f t="shared" si="4"/>
        <v>0</v>
      </c>
      <c r="L99" s="217" t="s">
        <v>147</v>
      </c>
      <c r="O99" s="56"/>
    </row>
    <row r="100" spans="1:15">
      <c r="C100" t="s">
        <v>151</v>
      </c>
      <c r="E100" s="17">
        <f>D_8</f>
        <v>0</v>
      </c>
      <c r="F100" s="118" t="s">
        <v>395</v>
      </c>
      <c r="J100" s="17">
        <f t="shared" si="4"/>
        <v>0</v>
      </c>
      <c r="L100" s="217" t="s">
        <v>151</v>
      </c>
      <c r="O100" s="56"/>
    </row>
    <row r="101" spans="1:15">
      <c r="C101" s="1" t="s">
        <v>392</v>
      </c>
      <c r="D101" s="1"/>
      <c r="E101" s="19">
        <f>D_9</f>
        <v>0</v>
      </c>
      <c r="F101" s="118" t="s">
        <v>393</v>
      </c>
      <c r="J101" s="17">
        <f t="shared" si="4"/>
        <v>0</v>
      </c>
      <c r="L101" s="217" t="s">
        <v>392</v>
      </c>
      <c r="O101" s="56"/>
    </row>
    <row r="102" spans="1:15">
      <c r="C102" s="1" t="s">
        <v>396</v>
      </c>
      <c r="E102" s="17">
        <f>D_5</f>
        <v>0</v>
      </c>
      <c r="F102" s="118" t="s">
        <v>397</v>
      </c>
      <c r="J102" s="17">
        <f t="shared" si="4"/>
        <v>0</v>
      </c>
      <c r="L102" s="217" t="s">
        <v>396</v>
      </c>
      <c r="O102" s="56"/>
    </row>
    <row r="103" spans="1:15">
      <c r="C103" s="1" t="s">
        <v>163</v>
      </c>
      <c r="E103" s="17">
        <f>D_6</f>
        <v>0</v>
      </c>
      <c r="F103" s="118" t="s">
        <v>399</v>
      </c>
      <c r="J103" s="17">
        <f t="shared" si="4"/>
        <v>0</v>
      </c>
      <c r="L103" s="217" t="s">
        <v>163</v>
      </c>
      <c r="O103" s="56"/>
    </row>
    <row r="104" spans="1:15">
      <c r="C104" s="1" t="s">
        <v>153</v>
      </c>
      <c r="E104" s="17">
        <f>D_7+I_7</f>
        <v>0</v>
      </c>
      <c r="F104" s="118" t="s">
        <v>875</v>
      </c>
      <c r="J104" s="17">
        <f t="shared" si="4"/>
        <v>0</v>
      </c>
      <c r="L104" s="217" t="s">
        <v>153</v>
      </c>
      <c r="O104" s="56"/>
    </row>
    <row r="105" spans="1:15">
      <c r="C105" s="1" t="s">
        <v>167</v>
      </c>
      <c r="E105" s="17">
        <f>A_24</f>
        <v>0</v>
      </c>
      <c r="F105" s="118" t="s">
        <v>168</v>
      </c>
      <c r="J105" s="17">
        <f t="shared" si="4"/>
        <v>0</v>
      </c>
      <c r="L105" s="217" t="s">
        <v>167</v>
      </c>
      <c r="O105" s="56"/>
    </row>
    <row r="106" spans="1:15">
      <c r="C106" s="1" t="s">
        <v>169</v>
      </c>
      <c r="E106" s="21">
        <f>A_21</f>
        <v>0</v>
      </c>
      <c r="F106" s="118" t="s">
        <v>170</v>
      </c>
      <c r="J106" s="21">
        <f t="shared" si="4"/>
        <v>0</v>
      </c>
      <c r="L106" s="217" t="s">
        <v>169</v>
      </c>
      <c r="O106" s="56"/>
    </row>
    <row r="107" spans="1:15">
      <c r="C107" s="66" t="s">
        <v>876</v>
      </c>
      <c r="E107" s="21">
        <f>SUM(E75:E106)</f>
        <v>0</v>
      </c>
      <c r="F107" s="124"/>
      <c r="J107" s="31">
        <f t="shared" si="4"/>
        <v>0</v>
      </c>
      <c r="O107" s="56"/>
    </row>
    <row r="108" spans="1:15" ht="12" customHeight="1" thickBot="1">
      <c r="A108" t="s">
        <v>821</v>
      </c>
      <c r="E108" s="63">
        <f>E72+E107</f>
        <v>0</v>
      </c>
      <c r="F108" s="124"/>
      <c r="J108" s="215">
        <f t="shared" si="4"/>
        <v>0</v>
      </c>
      <c r="O108" s="56"/>
    </row>
    <row r="109" spans="1:15" ht="12" customHeight="1" thickTop="1">
      <c r="E109" s="17"/>
      <c r="F109" s="124"/>
      <c r="O109" s="56"/>
    </row>
    <row r="110" spans="1:15">
      <c r="A110" s="12" t="s">
        <v>877</v>
      </c>
      <c r="E110" s="17"/>
      <c r="F110" s="124"/>
      <c r="O110" s="56"/>
    </row>
    <row r="111" spans="1:15" ht="12" customHeight="1">
      <c r="A111" s="12"/>
      <c r="B111" s="1" t="s">
        <v>878</v>
      </c>
      <c r="E111" s="18">
        <f>E_56</f>
        <v>0</v>
      </c>
      <c r="F111" s="124" t="s">
        <v>526</v>
      </c>
      <c r="H111" s="48"/>
      <c r="J111" s="18">
        <f>E111</f>
        <v>0</v>
      </c>
      <c r="L111" s="217" t="s">
        <v>879</v>
      </c>
      <c r="O111" s="56"/>
    </row>
    <row r="112" spans="1:15" ht="12" customHeight="1">
      <c r="A112" s="12"/>
      <c r="B112" s="1" t="s">
        <v>880</v>
      </c>
      <c r="E112" s="17">
        <f>C_3-C_10</f>
        <v>0</v>
      </c>
      <c r="F112" s="124" t="s">
        <v>881</v>
      </c>
      <c r="H112" s="48"/>
      <c r="J112" s="17">
        <f>E112</f>
        <v>0</v>
      </c>
      <c r="L112" s="217" t="s">
        <v>880</v>
      </c>
      <c r="O112" s="56"/>
    </row>
    <row r="113" spans="1:15" ht="13.5" hidden="1">
      <c r="A113" s="12"/>
      <c r="B113" s="89" t="s">
        <v>882</v>
      </c>
      <c r="C113" s="88"/>
      <c r="D113" s="88"/>
      <c r="E113" s="88"/>
      <c r="F113" s="125"/>
      <c r="H113" s="48" t="s">
        <v>883</v>
      </c>
      <c r="L113" s="218" t="s">
        <v>882</v>
      </c>
      <c r="O113" s="56"/>
    </row>
    <row r="114" spans="1:15" ht="12" customHeight="1">
      <c r="A114" s="12"/>
      <c r="B114" s="1" t="s">
        <v>884</v>
      </c>
      <c r="E114" s="17">
        <f>C_6-C_11</f>
        <v>0</v>
      </c>
      <c r="F114" s="124" t="s">
        <v>885</v>
      </c>
      <c r="H114" s="48"/>
      <c r="J114" s="17">
        <f t="shared" ref="J114:J119" si="5">E114</f>
        <v>0</v>
      </c>
      <c r="L114" s="217" t="s">
        <v>884</v>
      </c>
      <c r="O114" s="56"/>
    </row>
    <row r="115" spans="1:15" ht="12" customHeight="1">
      <c r="A115" s="12"/>
      <c r="B115" s="1" t="s">
        <v>886</v>
      </c>
      <c r="E115" s="17">
        <f>(E_40+E_46)</f>
        <v>0</v>
      </c>
      <c r="F115" s="124" t="s">
        <v>887</v>
      </c>
      <c r="H115" s="48"/>
      <c r="J115" s="17">
        <f t="shared" si="5"/>
        <v>0</v>
      </c>
      <c r="L115" s="217" t="s">
        <v>886</v>
      </c>
      <c r="O115" s="56"/>
    </row>
    <row r="116" spans="1:15" ht="12" customHeight="1">
      <c r="A116" s="12"/>
      <c r="B116" t="s">
        <v>888</v>
      </c>
      <c r="E116" s="17">
        <f>E138</f>
        <v>0</v>
      </c>
      <c r="F116" s="124" t="s">
        <v>889</v>
      </c>
      <c r="H116" s="48"/>
      <c r="J116" s="17">
        <f t="shared" si="5"/>
        <v>0</v>
      </c>
      <c r="L116" s="217" t="s">
        <v>888</v>
      </c>
      <c r="O116" s="56"/>
    </row>
    <row r="117" spans="1:15" ht="12.75" customHeight="1">
      <c r="A117" s="12"/>
      <c r="B117" t="s">
        <v>890</v>
      </c>
      <c r="E117" s="17">
        <f>A_16</f>
        <v>0</v>
      </c>
      <c r="F117" s="124" t="s">
        <v>73</v>
      </c>
      <c r="H117" s="48"/>
      <c r="J117" s="17">
        <f t="shared" si="5"/>
        <v>0</v>
      </c>
      <c r="L117" s="217" t="s">
        <v>890</v>
      </c>
      <c r="O117" s="56"/>
    </row>
    <row r="118" spans="1:15">
      <c r="A118" s="12"/>
      <c r="B118" t="s">
        <v>891</v>
      </c>
      <c r="E118" s="17">
        <f>E144</f>
        <v>0</v>
      </c>
      <c r="F118" s="124" t="s">
        <v>892</v>
      </c>
      <c r="J118" s="17">
        <f t="shared" si="5"/>
        <v>0</v>
      </c>
      <c r="L118" s="217" t="s">
        <v>891</v>
      </c>
      <c r="O118" s="56"/>
    </row>
    <row r="119" spans="1:15">
      <c r="A119" s="12"/>
      <c r="B119" s="1" t="s">
        <v>893</v>
      </c>
      <c r="E119" s="17">
        <f>-I_7</f>
        <v>0</v>
      </c>
      <c r="F119" s="124" t="s">
        <v>722</v>
      </c>
      <c r="J119" s="17">
        <f t="shared" si="5"/>
        <v>0</v>
      </c>
      <c r="L119" s="217" t="s">
        <v>893</v>
      </c>
      <c r="O119" s="56"/>
    </row>
    <row r="120" spans="1:15">
      <c r="E120" s="17"/>
      <c r="F120" s="124"/>
      <c r="O120" s="56"/>
    </row>
    <row r="121" spans="1:15" ht="12.75" hidden="1" customHeight="1">
      <c r="A121" s="296" t="s">
        <v>367</v>
      </c>
      <c r="B121" s="296"/>
      <c r="C121" s="1" t="s">
        <v>894</v>
      </c>
      <c r="E121" s="17"/>
      <c r="F121" s="124"/>
      <c r="O121" s="56"/>
    </row>
    <row r="122" spans="1:15" ht="12.75" hidden="1" customHeight="1">
      <c r="D122" t="s">
        <v>895</v>
      </c>
      <c r="E122" s="17">
        <f>E_51</f>
        <v>0</v>
      </c>
      <c r="F122" s="124" t="s">
        <v>573</v>
      </c>
      <c r="O122" s="56"/>
    </row>
    <row r="123" spans="1:15" ht="12.75" hidden="1" customHeight="1">
      <c r="D123" t="s">
        <v>896</v>
      </c>
      <c r="E123" s="21">
        <f>E_52</f>
        <v>0</v>
      </c>
      <c r="F123" s="124" t="s">
        <v>575</v>
      </c>
      <c r="O123" s="56"/>
    </row>
    <row r="124" spans="1:15" ht="12.75" hidden="1" customHeight="1">
      <c r="D124" s="66" t="s">
        <v>897</v>
      </c>
      <c r="E124" s="31">
        <f>SUM(E122:E123)</f>
        <v>0</v>
      </c>
      <c r="F124" s="124"/>
      <c r="O124" s="56"/>
    </row>
    <row r="125" spans="1:15" ht="12.75" hidden="1" customHeight="1">
      <c r="D125" s="14"/>
      <c r="E125" s="24"/>
      <c r="F125" s="124"/>
      <c r="O125" s="56"/>
    </row>
    <row r="126" spans="1:15">
      <c r="A126" s="25" t="s">
        <v>898</v>
      </c>
      <c r="D126" s="14"/>
      <c r="E126" s="24"/>
      <c r="F126" s="118"/>
      <c r="O126" s="56"/>
    </row>
    <row r="127" spans="1:15" ht="12.75" customHeight="1">
      <c r="D127" s="14"/>
      <c r="E127" s="24"/>
      <c r="F127" s="118"/>
      <c r="O127" s="56"/>
    </row>
    <row r="128" spans="1:15">
      <c r="A128" s="296" t="s">
        <v>315</v>
      </c>
      <c r="B128" s="296"/>
      <c r="C128" s="1" t="s">
        <v>899</v>
      </c>
      <c r="E128" s="24"/>
      <c r="F128" s="118"/>
      <c r="O128" s="56"/>
    </row>
    <row r="129" spans="1:15">
      <c r="A129" s="270"/>
      <c r="B129" s="270"/>
      <c r="C129" s="1"/>
      <c r="D129" s="1" t="s">
        <v>900</v>
      </c>
      <c r="E129" s="145">
        <f>IF(E_4&gt;0,E_4,0)</f>
        <v>0</v>
      </c>
      <c r="F129" s="118" t="s">
        <v>420</v>
      </c>
      <c r="J129" s="17">
        <f t="shared" ref="J129:J138" si="6">E129</f>
        <v>0</v>
      </c>
      <c r="O129" s="56"/>
    </row>
    <row r="130" spans="1:15">
      <c r="A130" s="270"/>
      <c r="B130" s="270"/>
      <c r="C130" s="1"/>
      <c r="D130" s="1" t="s">
        <v>901</v>
      </c>
      <c r="E130" s="145">
        <f>IF(E_10&gt;0,E_10,0)</f>
        <v>0</v>
      </c>
      <c r="F130" s="118" t="s">
        <v>436</v>
      </c>
      <c r="J130" s="17">
        <f t="shared" si="6"/>
        <v>0</v>
      </c>
      <c r="O130" s="56"/>
    </row>
    <row r="131" spans="1:15">
      <c r="A131" s="270"/>
      <c r="B131" s="270"/>
      <c r="C131" s="1"/>
      <c r="D131" s="1" t="s">
        <v>902</v>
      </c>
      <c r="E131" s="145">
        <f>IF(E_11&gt;0,E_11,0)</f>
        <v>0</v>
      </c>
      <c r="F131" s="118" t="s">
        <v>438</v>
      </c>
      <c r="J131" s="17">
        <f t="shared" si="6"/>
        <v>0</v>
      </c>
      <c r="O131" s="56"/>
    </row>
    <row r="132" spans="1:15">
      <c r="D132" t="s">
        <v>903</v>
      </c>
      <c r="E132" s="145">
        <f>IF(E_7&gt;0,E_7,0)</f>
        <v>0</v>
      </c>
      <c r="F132" s="118" t="s">
        <v>428</v>
      </c>
      <c r="J132" s="17">
        <f t="shared" si="6"/>
        <v>0</v>
      </c>
      <c r="O132" s="56"/>
    </row>
    <row r="133" spans="1:15">
      <c r="D133" t="s">
        <v>904</v>
      </c>
      <c r="E133" s="145">
        <f>IF(E_8&gt;0,E_8,0)</f>
        <v>0</v>
      </c>
      <c r="F133" s="118" t="s">
        <v>430</v>
      </c>
      <c r="J133" s="17">
        <f t="shared" si="6"/>
        <v>0</v>
      </c>
      <c r="O133" s="56"/>
    </row>
    <row r="134" spans="1:15">
      <c r="D134" s="1" t="s">
        <v>905</v>
      </c>
      <c r="E134" s="145">
        <f>IF(A_17F&gt;0,A_17F,0)</f>
        <v>0</v>
      </c>
      <c r="F134" s="118" t="s">
        <v>447</v>
      </c>
      <c r="J134" s="17">
        <f>E134</f>
        <v>0</v>
      </c>
      <c r="O134" s="56"/>
    </row>
    <row r="135" spans="1:15">
      <c r="D135" s="1" t="s">
        <v>906</v>
      </c>
      <c r="E135" s="145">
        <f>E_84</f>
        <v>0</v>
      </c>
      <c r="F135" s="118" t="s">
        <v>561</v>
      </c>
      <c r="J135" s="17">
        <f>E135</f>
        <v>0</v>
      </c>
      <c r="O135" s="56"/>
    </row>
    <row r="136" spans="1:15">
      <c r="D136" s="1" t="s">
        <v>907</v>
      </c>
      <c r="E136" s="145">
        <f>A_29A+A_29B</f>
        <v>0</v>
      </c>
      <c r="F136" s="118" t="s">
        <v>908</v>
      </c>
      <c r="J136" s="17">
        <f>E136</f>
        <v>0</v>
      </c>
      <c r="O136" s="56"/>
    </row>
    <row r="137" spans="1:15">
      <c r="D137" t="s">
        <v>909</v>
      </c>
      <c r="E137" s="17">
        <f>IF(A_6&gt;0,A_6,0)</f>
        <v>0</v>
      </c>
      <c r="F137" s="118" t="s">
        <v>77</v>
      </c>
      <c r="J137" s="21">
        <f t="shared" si="6"/>
        <v>0</v>
      </c>
      <c r="O137" s="56"/>
    </row>
    <row r="138" spans="1:15">
      <c r="D138" s="66" t="s">
        <v>897</v>
      </c>
      <c r="E138" s="31">
        <f>SUM(E129:E137)</f>
        <v>0</v>
      </c>
      <c r="F138" s="126"/>
      <c r="J138" s="31">
        <f t="shared" si="6"/>
        <v>0</v>
      </c>
      <c r="O138" s="56"/>
    </row>
    <row r="139" spans="1:15">
      <c r="D139" s="66"/>
      <c r="E139" s="17"/>
      <c r="F139" s="126"/>
      <c r="O139" s="56"/>
    </row>
    <row r="140" spans="1:15">
      <c r="A140" s="296" t="s">
        <v>367</v>
      </c>
      <c r="B140" s="296"/>
      <c r="C140" s="1" t="s">
        <v>910</v>
      </c>
      <c r="E140" s="17"/>
      <c r="F140" s="126"/>
      <c r="O140" s="56"/>
    </row>
    <row r="141" spans="1:15">
      <c r="D141" s="1" t="s">
        <v>911</v>
      </c>
      <c r="E141" s="145">
        <f>E_22a+E_22b</f>
        <v>0</v>
      </c>
      <c r="F141" s="118" t="s">
        <v>912</v>
      </c>
      <c r="J141" s="17">
        <f>E141</f>
        <v>0</v>
      </c>
      <c r="O141" s="56"/>
    </row>
    <row r="142" spans="1:15">
      <c r="D142" s="1" t="s">
        <v>913</v>
      </c>
      <c r="E142" s="17">
        <f>D_3</f>
        <v>0</v>
      </c>
      <c r="F142" s="118" t="s">
        <v>384</v>
      </c>
      <c r="J142" s="17">
        <f>E142</f>
        <v>0</v>
      </c>
      <c r="O142" s="56"/>
    </row>
    <row r="143" spans="1:15">
      <c r="D143" s="1" t="s">
        <v>914</v>
      </c>
      <c r="E143" s="21">
        <f>D_10</f>
        <v>0</v>
      </c>
      <c r="F143" s="118" t="s">
        <v>387</v>
      </c>
      <c r="J143" s="21">
        <f>E143</f>
        <v>0</v>
      </c>
      <c r="O143" s="56"/>
    </row>
    <row r="144" spans="1:15" ht="12.75" customHeight="1">
      <c r="D144" s="30" t="s">
        <v>897</v>
      </c>
      <c r="E144" s="21">
        <f>SUM(E141:E143)</f>
        <v>0</v>
      </c>
      <c r="F144" s="65"/>
      <c r="J144" s="31">
        <f>E144</f>
        <v>0</v>
      </c>
      <c r="O144" s="56"/>
    </row>
    <row r="145" spans="1:15" ht="12.75" customHeight="1">
      <c r="D145" s="14"/>
      <c r="E145" s="24"/>
      <c r="F145" s="27"/>
      <c r="O145" s="56"/>
    </row>
    <row r="146" spans="1:15">
      <c r="A146" s="25" t="s">
        <v>915</v>
      </c>
    </row>
    <row r="147" spans="1:15" ht="12.75" customHeight="1">
      <c r="A147" s="25"/>
    </row>
    <row r="148" spans="1:15" ht="12.75" customHeight="1">
      <c r="A148" s="25"/>
      <c r="B148" s="15" t="s">
        <v>179</v>
      </c>
      <c r="C148" t="s">
        <v>916</v>
      </c>
    </row>
    <row r="149" spans="1:15">
      <c r="D149" t="s">
        <v>917</v>
      </c>
      <c r="E149" s="24" t="str">
        <f>IF(E66=SUM('Exh A'!M11:M13)+SUM('Exh A'!M34:M34),"OK","ERROR")</f>
        <v>OK</v>
      </c>
    </row>
    <row r="150" spans="1:15">
      <c r="B150" s="15" t="s">
        <v>179</v>
      </c>
      <c r="C150" t="s">
        <v>918</v>
      </c>
    </row>
    <row r="151" spans="1:15">
      <c r="D151" t="s">
        <v>919</v>
      </c>
      <c r="E151" s="24" t="str">
        <f>IF(E67=SUM('Exh A'!K11:K13)+SUM('Exh A'!K34:K34),"OK","ERROR")</f>
        <v>OK</v>
      </c>
    </row>
    <row r="152" spans="1:15">
      <c r="B152" s="15" t="s">
        <v>179</v>
      </c>
      <c r="C152" t="s">
        <v>920</v>
      </c>
    </row>
    <row r="153" spans="1:15">
      <c r="D153" t="s">
        <v>919</v>
      </c>
      <c r="E153" s="24" t="str">
        <f>IF(E68=SUM('Exh A'!E11:E13)+'Exh A'!E34,"OK","ERROR")</f>
        <v>OK</v>
      </c>
    </row>
    <row r="154" spans="1:15">
      <c r="B154" s="15" t="s">
        <v>179</v>
      </c>
      <c r="C154" t="s">
        <v>921</v>
      </c>
    </row>
    <row r="155" spans="1:15">
      <c r="D155" t="s">
        <v>922</v>
      </c>
      <c r="E155" s="24" t="str">
        <f>IF(E22=E108,"OK","ERROR")</f>
        <v>OK</v>
      </c>
    </row>
    <row r="156" spans="1:15">
      <c r="B156" s="15" t="s">
        <v>179</v>
      </c>
      <c r="C156" t="s">
        <v>923</v>
      </c>
      <c r="E156" s="24" t="str">
        <f>IF(E72='Exh B'!E35,"OK","ERROR")</f>
        <v>OK</v>
      </c>
    </row>
    <row r="157" spans="1:15">
      <c r="B157" s="15" t="s">
        <v>179</v>
      </c>
      <c r="C157" t="s">
        <v>924</v>
      </c>
      <c r="E157" s="24" t="str">
        <f>IF(E75='Exh B'!E30,"OK","ERROR")</f>
        <v>OK</v>
      </c>
    </row>
  </sheetData>
  <sheetProtection algorithmName="SHA-512" hashValue="Afi2VjF0DkMVHo/DPXmtqUxI8Ji9hATdlzDylLLeVlJybgFHEMJ+p3GR7si/etG/k4VHYdXheGMRLt6tvA6Y/A==" saltValue="GEZzDg55UP9WPSzoOt/BTA==" spinCount="100000" sheet="1" autoFilter="0"/>
  <sortState xmlns:xlrd2="http://schemas.microsoft.com/office/spreadsheetml/2017/richdata2" ref="A41:E54">
    <sortCondition ref="A41:A54"/>
  </sortState>
  <mergeCells count="6">
    <mergeCell ref="A3:E3"/>
    <mergeCell ref="A4:E4"/>
    <mergeCell ref="A5:E5"/>
    <mergeCell ref="A128:B128"/>
    <mergeCell ref="A140:B140"/>
    <mergeCell ref="A121:B121"/>
  </mergeCells>
  <phoneticPr fontId="0" type="noConversion"/>
  <conditionalFormatting sqref="E125:E136 E145 E155:E157">
    <cfRule type="cellIs" dxfId="4" priority="6" stopIfTrue="1" operator="equal">
      <formula>"ERROR"</formula>
    </cfRule>
  </conditionalFormatting>
  <conditionalFormatting sqref="E141">
    <cfRule type="cellIs" dxfId="3" priority="1" stopIfTrue="1" operator="equal">
      <formula>"ERROR"</formula>
    </cfRule>
  </conditionalFormatting>
  <conditionalFormatting sqref="E149">
    <cfRule type="cellIs" dxfId="2" priority="5" stopIfTrue="1" operator="equal">
      <formula>"ERROR"</formula>
    </cfRule>
  </conditionalFormatting>
  <conditionalFormatting sqref="E151">
    <cfRule type="cellIs" dxfId="1" priority="4" stopIfTrue="1" operator="equal">
      <formula>"ERROR"</formula>
    </cfRule>
  </conditionalFormatting>
  <conditionalFormatting sqref="E153">
    <cfRule type="cellIs" dxfId="0" priority="3" stopIfTrue="1" operator="equal">
      <formula>"ERROR"</formula>
    </cfRule>
  </conditionalFormatting>
  <pageMargins left="0.6" right="0.6" top="0.45" bottom="0.45" header="0.5" footer="0.25"/>
  <pageSetup scale="80" orientation="portrait" r:id="rId1"/>
  <headerFooter alignWithMargins="0">
    <oddFooter>Page &amp;P of &amp;N</oddFooter>
  </headerFooter>
  <rowBreaks count="2" manualBreakCount="2">
    <brk id="69" max="6" man="1"/>
    <brk id="125" max="16383" man="1"/>
  </rowBreaks>
  <ignoredErrors>
    <ignoredError sqref="A121 A128 A140" numberStoredAsText="1"/>
    <ignoredError sqref="E15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G51"/>
  <sheetViews>
    <sheetView topLeftCell="A8" workbookViewId="0">
      <selection activeCell="B18" sqref="B18"/>
    </sheetView>
  </sheetViews>
  <sheetFormatPr defaultRowHeight="12.75"/>
  <cols>
    <col min="1" max="1" width="45" bestFit="1" customWidth="1"/>
    <col min="2" max="2" width="8.7109375" customWidth="1"/>
    <col min="3" max="3" width="35.7109375" customWidth="1"/>
    <col min="4" max="4" width="8.7109375" customWidth="1"/>
    <col min="5" max="5" width="34.7109375" customWidth="1"/>
  </cols>
  <sheetData>
    <row r="1" spans="1:7">
      <c r="A1" s="1"/>
      <c r="B1" s="2" t="s">
        <v>925</v>
      </c>
      <c r="C1" s="1"/>
      <c r="D1" s="2" t="s">
        <v>926</v>
      </c>
      <c r="E1" s="2"/>
      <c r="G1" s="1"/>
    </row>
    <row r="2" spans="1:7">
      <c r="A2" s="9" t="s">
        <v>927</v>
      </c>
      <c r="B2" s="9" t="s">
        <v>928</v>
      </c>
      <c r="C2" s="9" t="s">
        <v>929</v>
      </c>
      <c r="D2" s="9" t="s">
        <v>928</v>
      </c>
      <c r="E2" s="9" t="s">
        <v>930</v>
      </c>
      <c r="G2" s="1"/>
    </row>
    <row r="3" spans="1:7">
      <c r="A3" s="1" t="s">
        <v>3</v>
      </c>
    </row>
    <row r="4" spans="1:7">
      <c r="A4" s="77" t="s">
        <v>931</v>
      </c>
      <c r="B4" s="80" t="s">
        <v>932</v>
      </c>
      <c r="C4" s="77" t="s">
        <v>933</v>
      </c>
      <c r="D4" s="79" t="s">
        <v>934</v>
      </c>
      <c r="E4" s="78" t="s">
        <v>935</v>
      </c>
      <c r="G4" s="1"/>
    </row>
    <row r="5" spans="1:7">
      <c r="A5" s="77" t="s">
        <v>936</v>
      </c>
      <c r="B5" s="80">
        <v>2500</v>
      </c>
      <c r="C5" s="77" t="s">
        <v>937</v>
      </c>
      <c r="D5" s="79" t="s">
        <v>938</v>
      </c>
      <c r="E5" s="78" t="s">
        <v>939</v>
      </c>
      <c r="G5" s="1"/>
    </row>
    <row r="6" spans="1:7">
      <c r="A6" s="77" t="s">
        <v>940</v>
      </c>
      <c r="B6" s="80">
        <v>2501</v>
      </c>
      <c r="C6" s="77" t="s">
        <v>941</v>
      </c>
      <c r="D6" s="79" t="s">
        <v>938</v>
      </c>
      <c r="E6" s="78" t="s">
        <v>939</v>
      </c>
      <c r="G6" s="1"/>
    </row>
    <row r="7" spans="1:7">
      <c r="A7" s="77" t="s">
        <v>942</v>
      </c>
      <c r="B7" s="80">
        <v>2515</v>
      </c>
      <c r="C7" s="77" t="s">
        <v>943</v>
      </c>
      <c r="D7" s="79" t="s">
        <v>938</v>
      </c>
      <c r="E7" s="78" t="s">
        <v>939</v>
      </c>
      <c r="G7" s="1"/>
    </row>
    <row r="8" spans="1:7">
      <c r="A8" s="77" t="s">
        <v>944</v>
      </c>
      <c r="B8" s="80" t="s">
        <v>945</v>
      </c>
      <c r="C8" s="77" t="s">
        <v>946</v>
      </c>
      <c r="D8" s="79" t="s">
        <v>947</v>
      </c>
      <c r="E8" s="78" t="s">
        <v>948</v>
      </c>
      <c r="G8" s="1"/>
    </row>
    <row r="9" spans="1:7">
      <c r="A9" s="77" t="s">
        <v>949</v>
      </c>
      <c r="B9" s="80">
        <v>2531</v>
      </c>
      <c r="C9" s="77" t="s">
        <v>950</v>
      </c>
      <c r="D9" s="79" t="s">
        <v>947</v>
      </c>
      <c r="E9" s="78" t="s">
        <v>948</v>
      </c>
      <c r="G9" s="1"/>
    </row>
    <row r="10" spans="1:7">
      <c r="A10" s="77" t="s">
        <v>951</v>
      </c>
      <c r="B10" s="80">
        <v>2717</v>
      </c>
      <c r="C10" s="77" t="s">
        <v>952</v>
      </c>
      <c r="D10" s="79" t="s">
        <v>947</v>
      </c>
      <c r="E10" s="78" t="s">
        <v>948</v>
      </c>
      <c r="G10" s="1"/>
    </row>
    <row r="11" spans="1:7">
      <c r="A11" s="77" t="s">
        <v>953</v>
      </c>
      <c r="B11" s="80">
        <v>2702</v>
      </c>
      <c r="C11" s="77" t="s">
        <v>954</v>
      </c>
      <c r="D11" s="79" t="s">
        <v>955</v>
      </c>
      <c r="E11" s="78" t="s">
        <v>956</v>
      </c>
      <c r="G11" s="1"/>
    </row>
    <row r="12" spans="1:7">
      <c r="A12" s="77" t="s">
        <v>957</v>
      </c>
      <c r="B12" s="80">
        <v>2723</v>
      </c>
      <c r="C12" s="77" t="s">
        <v>958</v>
      </c>
      <c r="D12" s="79" t="s">
        <v>955</v>
      </c>
      <c r="E12" s="78" t="s">
        <v>956</v>
      </c>
      <c r="G12" s="1"/>
    </row>
    <row r="13" spans="1:7">
      <c r="A13" s="77" t="s">
        <v>959</v>
      </c>
      <c r="B13" s="80">
        <v>2714</v>
      </c>
      <c r="C13" s="77" t="s">
        <v>960</v>
      </c>
      <c r="D13" s="79" t="s">
        <v>955</v>
      </c>
      <c r="E13" s="78" t="s">
        <v>956</v>
      </c>
      <c r="G13" s="1"/>
    </row>
    <row r="14" spans="1:7">
      <c r="A14" s="77" t="s">
        <v>961</v>
      </c>
      <c r="B14" s="80">
        <v>2706</v>
      </c>
      <c r="C14" s="77" t="s">
        <v>962</v>
      </c>
      <c r="D14" s="79" t="s">
        <v>955</v>
      </c>
      <c r="E14" s="78" t="s">
        <v>956</v>
      </c>
      <c r="G14" s="1"/>
    </row>
    <row r="15" spans="1:7">
      <c r="A15" s="77" t="s">
        <v>963</v>
      </c>
      <c r="B15" s="80">
        <v>2728</v>
      </c>
      <c r="C15" s="77" t="s">
        <v>964</v>
      </c>
      <c r="D15" s="79" t="s">
        <v>955</v>
      </c>
      <c r="E15" s="78" t="s">
        <v>956</v>
      </c>
      <c r="G15" s="1"/>
    </row>
    <row r="16" spans="1:7">
      <c r="A16" s="77" t="s">
        <v>965</v>
      </c>
      <c r="B16" s="80">
        <v>2543</v>
      </c>
      <c r="C16" s="77" t="s">
        <v>966</v>
      </c>
      <c r="D16" s="79" t="s">
        <v>967</v>
      </c>
      <c r="E16" s="78" t="s">
        <v>968</v>
      </c>
      <c r="G16" s="1"/>
    </row>
    <row r="17" spans="1:7">
      <c r="A17" s="77" t="s">
        <v>969</v>
      </c>
      <c r="B17" s="80" t="s">
        <v>970</v>
      </c>
      <c r="C17" s="77" t="s">
        <v>971</v>
      </c>
      <c r="D17" s="79" t="s">
        <v>972</v>
      </c>
      <c r="E17" s="78" t="s">
        <v>973</v>
      </c>
      <c r="G17" s="1"/>
    </row>
    <row r="18" spans="1:7">
      <c r="A18" s="77" t="s">
        <v>974</v>
      </c>
      <c r="B18" s="80">
        <v>2540</v>
      </c>
      <c r="C18" s="77" t="s">
        <v>975</v>
      </c>
      <c r="D18" s="79" t="s">
        <v>976</v>
      </c>
      <c r="E18" s="78" t="s">
        <v>977</v>
      </c>
      <c r="G18" s="1"/>
    </row>
    <row r="19" spans="1:7">
      <c r="A19" s="77" t="s">
        <v>978</v>
      </c>
      <c r="B19" s="80">
        <v>2544</v>
      </c>
      <c r="C19" s="77" t="s">
        <v>979</v>
      </c>
      <c r="D19" s="79" t="s">
        <v>976</v>
      </c>
      <c r="E19" s="78" t="s">
        <v>977</v>
      </c>
      <c r="G19" s="1"/>
    </row>
    <row r="20" spans="1:7">
      <c r="A20" s="77" t="s">
        <v>980</v>
      </c>
      <c r="B20" s="80" t="s">
        <v>981</v>
      </c>
      <c r="C20" s="77" t="s">
        <v>982</v>
      </c>
      <c r="D20" s="79" t="s">
        <v>983</v>
      </c>
      <c r="E20" s="78" t="s">
        <v>984</v>
      </c>
      <c r="G20" s="1"/>
    </row>
    <row r="21" spans="1:7">
      <c r="A21" s="77" t="s">
        <v>985</v>
      </c>
      <c r="B21" s="80">
        <v>2730</v>
      </c>
      <c r="C21" s="77" t="s">
        <v>986</v>
      </c>
      <c r="D21" s="79" t="s">
        <v>987</v>
      </c>
      <c r="E21" s="78" t="s">
        <v>988</v>
      </c>
      <c r="G21" s="1"/>
    </row>
    <row r="22" spans="1:7">
      <c r="A22" s="77" t="s">
        <v>989</v>
      </c>
      <c r="B22" s="80">
        <v>2731</v>
      </c>
      <c r="C22" s="77" t="s">
        <v>990</v>
      </c>
      <c r="D22" s="79" t="s">
        <v>987</v>
      </c>
      <c r="E22" s="78" t="s">
        <v>988</v>
      </c>
      <c r="G22" s="1"/>
    </row>
    <row r="23" spans="1:7">
      <c r="A23" s="77" t="s">
        <v>991</v>
      </c>
      <c r="B23" s="80">
        <v>2500</v>
      </c>
      <c r="C23" s="77" t="s">
        <v>937</v>
      </c>
      <c r="D23" s="79" t="s">
        <v>992</v>
      </c>
      <c r="E23" s="78" t="s">
        <v>993</v>
      </c>
      <c r="G23" s="1"/>
    </row>
    <row r="24" spans="1:7">
      <c r="A24" s="77" t="s">
        <v>994</v>
      </c>
      <c r="B24" s="80">
        <v>2539</v>
      </c>
      <c r="C24" s="77" t="s">
        <v>995</v>
      </c>
      <c r="D24" s="79" t="s">
        <v>992</v>
      </c>
      <c r="E24" s="78" t="s">
        <v>993</v>
      </c>
      <c r="G24" s="1"/>
    </row>
    <row r="25" spans="1:7">
      <c r="A25" s="77" t="s">
        <v>996</v>
      </c>
      <c r="B25" s="80" t="s">
        <v>997</v>
      </c>
      <c r="C25" s="77" t="s">
        <v>998</v>
      </c>
      <c r="D25" s="79" t="s">
        <v>992</v>
      </c>
      <c r="E25" s="78" t="s">
        <v>993</v>
      </c>
      <c r="G25" s="1"/>
    </row>
    <row r="26" spans="1:7">
      <c r="A26" s="77" t="s">
        <v>999</v>
      </c>
      <c r="B26" s="80">
        <v>2541</v>
      </c>
      <c r="C26" s="77" t="s">
        <v>1000</v>
      </c>
      <c r="D26" s="79" t="s">
        <v>992</v>
      </c>
      <c r="E26" s="78" t="s">
        <v>993</v>
      </c>
      <c r="G26" s="1"/>
    </row>
    <row r="27" spans="1:7">
      <c r="A27" s="77" t="s">
        <v>1001</v>
      </c>
      <c r="B27" s="80">
        <v>2500</v>
      </c>
      <c r="C27" s="77" t="s">
        <v>937</v>
      </c>
      <c r="D27" s="79" t="s">
        <v>1002</v>
      </c>
      <c r="E27" s="78" t="s">
        <v>1003</v>
      </c>
      <c r="G27" s="1"/>
    </row>
    <row r="28" spans="1:7">
      <c r="A28" s="77" t="s">
        <v>1004</v>
      </c>
      <c r="B28" s="80">
        <v>2542</v>
      </c>
      <c r="C28" s="77" t="s">
        <v>1005</v>
      </c>
      <c r="D28" s="79" t="s">
        <v>1006</v>
      </c>
      <c r="E28" s="78" t="s">
        <v>1007</v>
      </c>
      <c r="G28" s="1"/>
    </row>
    <row r="34" spans="1:7">
      <c r="A34" s="1"/>
      <c r="B34" s="1"/>
      <c r="C34" s="1"/>
      <c r="D34" s="1"/>
      <c r="E34" s="1"/>
      <c r="F34" s="1"/>
      <c r="G34" s="1"/>
    </row>
    <row r="35" spans="1:7">
      <c r="A35" s="1"/>
      <c r="B35" s="1"/>
      <c r="C35" s="1"/>
      <c r="D35" s="1"/>
      <c r="E35" s="1"/>
      <c r="F35" s="1"/>
      <c r="G35" s="1"/>
    </row>
    <row r="36" spans="1:7">
      <c r="A36" s="1"/>
      <c r="B36" s="1"/>
      <c r="C36" s="1"/>
      <c r="D36" s="1"/>
      <c r="E36" s="1"/>
      <c r="F36" s="1"/>
      <c r="G36" s="1"/>
    </row>
    <row r="37" spans="1:7">
      <c r="A37" s="1"/>
      <c r="B37" s="1"/>
      <c r="C37" s="1"/>
      <c r="D37" s="1"/>
      <c r="E37" s="1"/>
      <c r="F37" s="1"/>
      <c r="G37" s="1"/>
    </row>
    <row r="38" spans="1:7">
      <c r="A38" s="77" t="s">
        <v>936</v>
      </c>
      <c r="B38" s="80">
        <v>2500</v>
      </c>
      <c r="C38" s="77" t="s">
        <v>937</v>
      </c>
      <c r="D38" s="79" t="s">
        <v>938</v>
      </c>
      <c r="E38" s="78" t="s">
        <v>939</v>
      </c>
      <c r="G38" s="1"/>
    </row>
    <row r="39" spans="1:7">
      <c r="A39" s="77" t="s">
        <v>940</v>
      </c>
      <c r="B39" s="80">
        <v>2501</v>
      </c>
      <c r="C39" s="77" t="s">
        <v>941</v>
      </c>
      <c r="D39" s="79" t="s">
        <v>938</v>
      </c>
      <c r="E39" s="78" t="s">
        <v>939</v>
      </c>
      <c r="G39" s="1"/>
    </row>
    <row r="40" spans="1:7">
      <c r="A40" s="77" t="s">
        <v>942</v>
      </c>
      <c r="B40" s="80">
        <v>2515</v>
      </c>
      <c r="C40" s="77" t="s">
        <v>943</v>
      </c>
      <c r="D40" s="79" t="s">
        <v>938</v>
      </c>
      <c r="E40" s="78" t="s">
        <v>939</v>
      </c>
      <c r="G40" s="1"/>
    </row>
    <row r="41" spans="1:7">
      <c r="A41" s="77" t="s">
        <v>949</v>
      </c>
      <c r="B41" s="80">
        <v>2531</v>
      </c>
      <c r="C41" s="77" t="s">
        <v>950</v>
      </c>
      <c r="D41" s="79" t="s">
        <v>947</v>
      </c>
      <c r="E41" s="78" t="s">
        <v>948</v>
      </c>
      <c r="G41" s="1"/>
    </row>
    <row r="42" spans="1:7">
      <c r="A42" s="77" t="s">
        <v>965</v>
      </c>
      <c r="B42" s="80">
        <v>2543</v>
      </c>
      <c r="C42" s="77" t="s">
        <v>966</v>
      </c>
      <c r="D42" s="79" t="s">
        <v>967</v>
      </c>
      <c r="E42" s="78" t="s">
        <v>968</v>
      </c>
      <c r="G42" s="1"/>
    </row>
    <row r="43" spans="1:7">
      <c r="A43" s="77" t="s">
        <v>969</v>
      </c>
      <c r="B43" s="80" t="s">
        <v>1008</v>
      </c>
      <c r="C43" s="77" t="s">
        <v>971</v>
      </c>
      <c r="D43" s="79" t="s">
        <v>972</v>
      </c>
      <c r="E43" s="78" t="s">
        <v>973</v>
      </c>
      <c r="G43" s="1"/>
    </row>
    <row r="44" spans="1:7">
      <c r="A44" s="77" t="s">
        <v>978</v>
      </c>
      <c r="B44" s="80">
        <v>2544</v>
      </c>
      <c r="C44" s="77" t="s">
        <v>979</v>
      </c>
      <c r="D44" s="79" t="s">
        <v>976</v>
      </c>
      <c r="E44" s="78" t="s">
        <v>977</v>
      </c>
      <c r="G44" s="1"/>
    </row>
    <row r="45" spans="1:7">
      <c r="A45" s="77" t="s">
        <v>974</v>
      </c>
      <c r="B45" s="80">
        <v>2540</v>
      </c>
      <c r="C45" s="77" t="s">
        <v>975</v>
      </c>
      <c r="D45" s="79" t="s">
        <v>976</v>
      </c>
      <c r="E45" s="78" t="s">
        <v>977</v>
      </c>
      <c r="G45" s="1"/>
    </row>
    <row r="46" spans="1:7">
      <c r="A46" s="77" t="s">
        <v>991</v>
      </c>
      <c r="B46" s="80">
        <v>2500</v>
      </c>
      <c r="C46" s="77" t="s">
        <v>937</v>
      </c>
      <c r="D46" s="79" t="s">
        <v>992</v>
      </c>
      <c r="E46" s="78" t="s">
        <v>993</v>
      </c>
      <c r="G46" s="1"/>
    </row>
    <row r="47" spans="1:7">
      <c r="A47" s="77" t="s">
        <v>994</v>
      </c>
      <c r="B47" s="80">
        <v>2539</v>
      </c>
      <c r="C47" s="77" t="s">
        <v>995</v>
      </c>
      <c r="D47" s="79" t="s">
        <v>992</v>
      </c>
      <c r="E47" s="78" t="s">
        <v>993</v>
      </c>
      <c r="G47" s="1"/>
    </row>
    <row r="48" spans="1:7">
      <c r="A48" s="77" t="s">
        <v>999</v>
      </c>
      <c r="B48" s="80">
        <v>2541</v>
      </c>
      <c r="C48" s="77" t="s">
        <v>1000</v>
      </c>
      <c r="D48" s="79" t="s">
        <v>992</v>
      </c>
      <c r="E48" s="78" t="s">
        <v>993</v>
      </c>
      <c r="G48" s="1"/>
    </row>
    <row r="49" spans="1:7">
      <c r="A49" s="77" t="s">
        <v>1001</v>
      </c>
      <c r="B49" s="80">
        <v>2500</v>
      </c>
      <c r="C49" s="77" t="s">
        <v>937</v>
      </c>
      <c r="D49" s="79" t="s">
        <v>1002</v>
      </c>
      <c r="E49" s="78" t="s">
        <v>1003</v>
      </c>
      <c r="G49" s="1"/>
    </row>
    <row r="50" spans="1:7">
      <c r="A50" s="77" t="s">
        <v>1009</v>
      </c>
      <c r="B50" s="80">
        <v>2517</v>
      </c>
      <c r="C50" s="77" t="s">
        <v>1010</v>
      </c>
      <c r="D50" s="79" t="s">
        <v>1002</v>
      </c>
      <c r="E50" s="78" t="s">
        <v>1003</v>
      </c>
      <c r="G50" s="1"/>
    </row>
    <row r="51" spans="1:7">
      <c r="A51" s="77" t="s">
        <v>1004</v>
      </c>
      <c r="B51" s="80">
        <v>2542</v>
      </c>
      <c r="C51" s="77" t="s">
        <v>1005</v>
      </c>
      <c r="D51" s="79" t="s">
        <v>1006</v>
      </c>
      <c r="E51" s="78" t="s">
        <v>1007</v>
      </c>
      <c r="G51" s="1"/>
    </row>
  </sheetData>
  <sheetProtection autoFilter="0"/>
  <sortState xmlns:xlrd2="http://schemas.microsoft.com/office/spreadsheetml/2017/richdata2" ref="A3:E28">
    <sortCondition ref="A3:A28"/>
    <sortCondition ref="B3:B28"/>
  </sortState>
  <pageMargins left="0.7" right="0.7" top="0.75" bottom="0.75" header="0.3" footer="0.3"/>
  <pageSetup orientation="portrait" r:id="rId1"/>
  <ignoredErrors>
    <ignoredError sqref="D42:D51 D38:D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3"/>
  <sheetViews>
    <sheetView zoomScaleNormal="100" workbookViewId="0">
      <selection activeCell="E15" sqref="E15"/>
    </sheetView>
  </sheetViews>
  <sheetFormatPr defaultRowHeight="12.75"/>
  <cols>
    <col min="1" max="1" width="10.140625" bestFit="1" customWidth="1"/>
    <col min="2" max="2" width="4.5703125" customWidth="1"/>
    <col min="3" max="3" width="33.85546875" bestFit="1" customWidth="1"/>
    <col min="4" max="4" width="3.7109375" customWidth="1"/>
    <col min="5" max="5" width="69.140625" customWidth="1"/>
    <col min="6" max="6" width="9.5703125" hidden="1" customWidth="1"/>
    <col min="7" max="7" width="11.5703125" hidden="1" customWidth="1"/>
    <col min="8" max="8" width="9.140625" hidden="1" customWidth="1"/>
    <col min="9" max="9" width="10" hidden="1" customWidth="1"/>
    <col min="10" max="10" width="10.28515625" hidden="1" customWidth="1"/>
    <col min="11" max="11" width="9.140625" hidden="1" customWidth="1"/>
  </cols>
  <sheetData>
    <row r="1" spans="1:11" ht="18.75">
      <c r="A1" s="282" t="s">
        <v>0</v>
      </c>
      <c r="B1" s="282"/>
      <c r="C1" s="282"/>
      <c r="D1" s="282"/>
      <c r="E1" s="282"/>
      <c r="G1" s="181"/>
      <c r="H1" s="181"/>
      <c r="I1" s="181"/>
      <c r="J1" s="181"/>
    </row>
    <row r="2" spans="1:11" ht="15.75">
      <c r="A2" s="283" t="s">
        <v>1011</v>
      </c>
      <c r="B2" s="283"/>
      <c r="C2" s="283"/>
      <c r="D2" s="283"/>
      <c r="E2" s="283"/>
      <c r="G2" s="265" t="s">
        <v>46</v>
      </c>
      <c r="H2" s="266"/>
      <c r="I2" s="266"/>
      <c r="J2" s="266"/>
      <c r="K2" s="88"/>
    </row>
    <row r="3" spans="1:11" ht="15.75">
      <c r="A3" s="153"/>
      <c r="B3" s="154"/>
      <c r="C3" s="153"/>
      <c r="D3" s="154"/>
      <c r="E3" s="155"/>
      <c r="G3" s="181"/>
      <c r="H3" s="181"/>
      <c r="I3" s="181"/>
      <c r="J3" s="181"/>
    </row>
    <row r="4" spans="1:11" ht="15">
      <c r="G4" s="284" t="s">
        <v>47</v>
      </c>
      <c r="H4" s="284"/>
      <c r="I4" s="284"/>
      <c r="J4" s="284"/>
    </row>
    <row r="5" spans="1:11" ht="90.75" thickBot="1">
      <c r="A5" s="156" t="s">
        <v>48</v>
      </c>
      <c r="C5" s="156" t="s">
        <v>49</v>
      </c>
      <c r="E5" s="157" t="s">
        <v>50</v>
      </c>
      <c r="G5" s="182" t="s">
        <v>51</v>
      </c>
      <c r="H5" s="182" t="s">
        <v>52</v>
      </c>
      <c r="I5" s="182" t="s">
        <v>53</v>
      </c>
      <c r="J5" s="182" t="s">
        <v>54</v>
      </c>
    </row>
    <row r="6" spans="1:11" ht="14.25">
      <c r="A6" s="158"/>
      <c r="B6" s="154"/>
      <c r="C6" s="153"/>
      <c r="D6" s="154"/>
      <c r="E6" s="176"/>
      <c r="H6" s="183"/>
      <c r="I6" s="183"/>
      <c r="J6" s="183"/>
    </row>
    <row r="7" spans="1:11" ht="14.25">
      <c r="A7" s="158" t="s">
        <v>20</v>
      </c>
      <c r="B7" s="154"/>
      <c r="C7" s="153" t="s">
        <v>20</v>
      </c>
      <c r="D7" s="154"/>
      <c r="E7" s="176" t="s">
        <v>20</v>
      </c>
      <c r="G7" t="s">
        <v>20</v>
      </c>
      <c r="H7" s="183" t="s">
        <v>20</v>
      </c>
      <c r="I7" s="183" t="s">
        <v>20</v>
      </c>
      <c r="J7" s="183" t="s">
        <v>20</v>
      </c>
    </row>
    <row r="8" spans="1:11" ht="14.25">
      <c r="A8" s="158" t="s">
        <v>20</v>
      </c>
      <c r="C8" s="153" t="s">
        <v>20</v>
      </c>
      <c r="E8" s="154" t="s">
        <v>20</v>
      </c>
      <c r="G8" t="s">
        <v>20</v>
      </c>
      <c r="H8" s="183" t="s">
        <v>20</v>
      </c>
      <c r="I8" s="183" t="s">
        <v>20</v>
      </c>
      <c r="J8" s="183" t="s">
        <v>20</v>
      </c>
    </row>
    <row r="9" spans="1:11" ht="14.25">
      <c r="A9" s="179" t="s">
        <v>20</v>
      </c>
      <c r="C9" s="153" t="s">
        <v>20</v>
      </c>
      <c r="E9" s="154" t="s">
        <v>20</v>
      </c>
      <c r="G9" t="s">
        <v>20</v>
      </c>
      <c r="H9" s="183" t="s">
        <v>20</v>
      </c>
      <c r="I9" s="183" t="s">
        <v>20</v>
      </c>
      <c r="J9" s="183" t="s">
        <v>20</v>
      </c>
    </row>
    <row r="10" spans="1:11" ht="14.25">
      <c r="A10" s="179" t="s">
        <v>20</v>
      </c>
      <c r="C10" s="153" t="s">
        <v>20</v>
      </c>
      <c r="E10" s="154" t="s">
        <v>20</v>
      </c>
      <c r="G10" t="s">
        <v>20</v>
      </c>
      <c r="H10" s="183" t="s">
        <v>20</v>
      </c>
      <c r="I10" s="183" t="s">
        <v>20</v>
      </c>
      <c r="J10" s="183" t="s">
        <v>20</v>
      </c>
    </row>
    <row r="11" spans="1:11" ht="14.25">
      <c r="A11" s="179" t="s">
        <v>20</v>
      </c>
      <c r="C11" s="153" t="s">
        <v>20</v>
      </c>
      <c r="E11" s="154" t="s">
        <v>20</v>
      </c>
      <c r="G11" t="s">
        <v>20</v>
      </c>
      <c r="H11" s="183" t="s">
        <v>20</v>
      </c>
      <c r="I11" s="183" t="s">
        <v>20</v>
      </c>
      <c r="J11" s="183" t="s">
        <v>20</v>
      </c>
    </row>
    <row r="12" spans="1:11" ht="14.25">
      <c r="A12" s="179" t="s">
        <v>20</v>
      </c>
      <c r="C12" s="153" t="s">
        <v>20</v>
      </c>
      <c r="E12" s="154" t="s">
        <v>20</v>
      </c>
      <c r="G12" t="s">
        <v>20</v>
      </c>
      <c r="H12" s="224" t="s">
        <v>20</v>
      </c>
      <c r="I12" s="224" t="s">
        <v>20</v>
      </c>
      <c r="J12" s="2" t="s">
        <v>20</v>
      </c>
    </row>
    <row r="13" spans="1:11" ht="12.75" customHeight="1">
      <c r="A13" s="179" t="s">
        <v>20</v>
      </c>
      <c r="C13" s="153" t="s">
        <v>20</v>
      </c>
      <c r="E13" s="154" t="s">
        <v>20</v>
      </c>
      <c r="G13" t="s">
        <v>20</v>
      </c>
      <c r="H13" s="224" t="s">
        <v>20</v>
      </c>
      <c r="I13" s="224" t="s">
        <v>20</v>
      </c>
      <c r="J13" s="224" t="s">
        <v>20</v>
      </c>
    </row>
  </sheetData>
  <sheetProtection algorithmName="SHA-512" hashValue="EBXJF0iftxHGHaS5MGS7JhNp4BHmcYIxOC5t0Il1rVHkvHaTyWmz+5nnSnSiC4nSG1XJrO+2lVHYnuImsK0YSw==" saltValue="TcmzJKWRq1gpwepvz+gp6g==" spinCount="100000" sheet="1" autoFilter="0"/>
  <mergeCells count="3">
    <mergeCell ref="A1:E1"/>
    <mergeCell ref="A2:E2"/>
    <mergeCell ref="G4:J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S116"/>
  <sheetViews>
    <sheetView zoomScaleNormal="100" workbookViewId="0">
      <selection activeCell="G86" sqref="G86"/>
    </sheetView>
  </sheetViews>
  <sheetFormatPr defaultColWidth="9.140625" defaultRowHeight="12.75"/>
  <cols>
    <col min="1" max="3" width="2.42578125" style="1" customWidth="1"/>
    <col min="4" max="4" width="38.28515625" style="1" customWidth="1"/>
    <col min="5" max="5" width="20.7109375" style="1" customWidth="1"/>
    <col min="6" max="6" width="1.7109375" style="1" customWidth="1"/>
    <col min="7" max="7" width="20.7109375" style="1" customWidth="1"/>
    <col min="8" max="8" width="1.7109375" style="1" customWidth="1"/>
    <col min="9" max="9" width="20.7109375" style="1" customWidth="1"/>
    <col min="10" max="10" width="1.7109375" style="1" customWidth="1"/>
    <col min="11" max="11" width="20.7109375" style="1" customWidth="1"/>
    <col min="12" max="12" width="1.7109375" style="1" customWidth="1"/>
    <col min="13" max="13" width="20.7109375" style="1" customWidth="1"/>
    <col min="14" max="14" width="4.7109375" style="1" customWidth="1"/>
    <col min="15" max="16384" width="9.140625" style="1"/>
  </cols>
  <sheetData>
    <row r="1" spans="1:19" ht="18" customHeight="1">
      <c r="A1" s="6"/>
      <c r="B1" s="6"/>
      <c r="C1" s="6"/>
      <c r="D1" s="67"/>
      <c r="E1" s="6"/>
      <c r="F1" s="6"/>
      <c r="G1" s="6"/>
      <c r="H1" s="6"/>
      <c r="I1" s="6"/>
      <c r="J1" s="6"/>
      <c r="M1" s="7" t="s">
        <v>55</v>
      </c>
    </row>
    <row r="2" spans="1:19" s="4" customFormat="1" ht="18" customHeight="1">
      <c r="A2" s="285" t="str">
        <f>Info!C4</f>
        <v>Select Proprietary Fund (Click Here)</v>
      </c>
      <c r="B2" s="285"/>
      <c r="C2" s="285"/>
      <c r="D2" s="285"/>
      <c r="E2" s="285"/>
      <c r="F2" s="285"/>
      <c r="G2" s="285"/>
      <c r="H2" s="285"/>
      <c r="I2" s="285"/>
      <c r="J2" s="285"/>
      <c r="K2" s="285"/>
      <c r="L2" s="285"/>
      <c r="M2" s="285"/>
    </row>
    <row r="3" spans="1:19" s="4" customFormat="1" ht="18" customHeight="1">
      <c r="A3" s="285" t="s">
        <v>56</v>
      </c>
      <c r="B3" s="285"/>
      <c r="C3" s="285"/>
      <c r="D3" s="285"/>
      <c r="E3" s="285"/>
      <c r="F3" s="285"/>
      <c r="G3" s="285"/>
      <c r="H3" s="285"/>
      <c r="I3" s="285"/>
      <c r="J3" s="285"/>
      <c r="K3" s="285"/>
      <c r="L3" s="285"/>
      <c r="M3" s="285"/>
    </row>
    <row r="4" spans="1:19" s="4" customFormat="1" ht="18" customHeight="1">
      <c r="A4" s="285" t="s">
        <v>57</v>
      </c>
      <c r="B4" s="285"/>
      <c r="C4" s="285"/>
      <c r="D4" s="285"/>
      <c r="E4" s="285"/>
      <c r="F4" s="285"/>
      <c r="G4" s="285"/>
      <c r="H4" s="285"/>
      <c r="I4" s="285"/>
      <c r="J4" s="285"/>
      <c r="K4" s="285"/>
      <c r="L4" s="285"/>
      <c r="M4" s="285"/>
    </row>
    <row r="5" spans="1:19" ht="5.0999999999999996" customHeight="1" thickBot="1">
      <c r="A5" s="8"/>
      <c r="B5" s="8"/>
      <c r="C5" s="8"/>
      <c r="D5" s="8"/>
      <c r="E5" s="8"/>
      <c r="F5" s="8"/>
      <c r="G5" s="8"/>
      <c r="H5" s="8"/>
      <c r="I5" s="8"/>
      <c r="J5" s="8"/>
      <c r="K5" s="8"/>
      <c r="L5" s="8"/>
      <c r="M5" s="8"/>
    </row>
    <row r="6" spans="1:19" ht="9" customHeight="1"/>
    <row r="7" spans="1:19" ht="12.75" customHeight="1">
      <c r="E7" s="2" t="s">
        <v>58</v>
      </c>
      <c r="G7" s="2" t="s">
        <v>58</v>
      </c>
      <c r="H7" s="2"/>
      <c r="I7" s="2" t="s">
        <v>59</v>
      </c>
      <c r="J7" s="2"/>
      <c r="K7" s="2" t="s">
        <v>58</v>
      </c>
      <c r="L7" s="2"/>
    </row>
    <row r="8" spans="1:19">
      <c r="E8" s="10">
        <v>2024</v>
      </c>
      <c r="F8" s="2"/>
      <c r="G8" s="10">
        <v>2023</v>
      </c>
      <c r="H8" s="10"/>
      <c r="I8" s="9" t="s">
        <v>60</v>
      </c>
      <c r="J8" s="10"/>
      <c r="K8" s="9" t="s">
        <v>61</v>
      </c>
      <c r="L8" s="15"/>
      <c r="M8" s="9" t="s">
        <v>62</v>
      </c>
    </row>
    <row r="9" spans="1:19" ht="14.85" customHeight="1">
      <c r="A9" s="52" t="s">
        <v>63</v>
      </c>
      <c r="K9" s="71"/>
      <c r="M9" s="71"/>
      <c r="N9" s="50"/>
      <c r="O9" s="48"/>
    </row>
    <row r="10" spans="1:19" ht="12.75" customHeight="1">
      <c r="A10" s="1" t="s">
        <v>64</v>
      </c>
      <c r="G10" s="3"/>
      <c r="H10" s="3"/>
      <c r="I10" s="3"/>
      <c r="J10" s="3"/>
      <c r="K10" s="72"/>
      <c r="L10" s="3"/>
      <c r="M10" s="73"/>
      <c r="N10" s="50"/>
      <c r="O10" s="48"/>
    </row>
    <row r="11" spans="1:19" ht="12.75" customHeight="1">
      <c r="B11" s="1" t="s">
        <v>65</v>
      </c>
      <c r="E11" s="68"/>
      <c r="F11" s="20"/>
      <c r="G11" s="68"/>
      <c r="H11" s="53"/>
      <c r="I11" s="68"/>
      <c r="J11" s="53"/>
      <c r="K11" s="110">
        <f>+G11+I11</f>
        <v>0</v>
      </c>
      <c r="L11" s="53"/>
      <c r="M11" s="110">
        <f t="shared" ref="M11:M30" si="0">E11-K11</f>
        <v>0</v>
      </c>
      <c r="N11" s="90" t="s">
        <v>66</v>
      </c>
      <c r="O11" s="48"/>
    </row>
    <row r="12" spans="1:19" ht="12.75" customHeight="1">
      <c r="B12" s="1" t="s">
        <v>67</v>
      </c>
      <c r="E12" s="69"/>
      <c r="F12" s="20"/>
      <c r="G12" s="69"/>
      <c r="H12" s="54"/>
      <c r="I12" s="69"/>
      <c r="J12" s="54"/>
      <c r="K12" s="105">
        <f>+G12+I12</f>
        <v>0</v>
      </c>
      <c r="L12" s="54"/>
      <c r="M12" s="105">
        <f t="shared" si="0"/>
        <v>0</v>
      </c>
      <c r="N12" s="90" t="s">
        <v>66</v>
      </c>
      <c r="O12" s="48"/>
    </row>
    <row r="13" spans="1:19" ht="12.75" customHeight="1">
      <c r="B13" s="1" t="s">
        <v>68</v>
      </c>
      <c r="E13" s="69"/>
      <c r="F13" s="69"/>
      <c r="G13" s="69"/>
      <c r="H13" s="69"/>
      <c r="I13" s="69"/>
      <c r="J13" s="69"/>
      <c r="K13" s="105">
        <f t="shared" ref="K13:K30" si="1">+G13+I13</f>
        <v>0</v>
      </c>
      <c r="L13" s="69"/>
      <c r="M13" s="105">
        <f t="shared" si="0"/>
        <v>0</v>
      </c>
      <c r="N13" s="90" t="s">
        <v>66</v>
      </c>
      <c r="O13" s="48"/>
      <c r="S13" s="68"/>
    </row>
    <row r="14" spans="1:19" ht="12.75" customHeight="1">
      <c r="B14" s="1" t="s">
        <v>69</v>
      </c>
      <c r="E14" s="69"/>
      <c r="F14" s="69"/>
      <c r="G14" s="69"/>
      <c r="H14" s="69"/>
      <c r="I14" s="69"/>
      <c r="J14" s="69"/>
      <c r="K14" s="105">
        <f t="shared" si="1"/>
        <v>0</v>
      </c>
      <c r="L14" s="69"/>
      <c r="M14" s="105">
        <f t="shared" si="0"/>
        <v>0</v>
      </c>
      <c r="N14" s="90" t="s">
        <v>70</v>
      </c>
      <c r="O14" s="48"/>
    </row>
    <row r="15" spans="1:19" ht="12.75" customHeight="1">
      <c r="B15" s="1" t="s">
        <v>71</v>
      </c>
      <c r="E15" s="69"/>
      <c r="F15" s="69"/>
      <c r="G15" s="69"/>
      <c r="H15" s="69"/>
      <c r="I15" s="69"/>
      <c r="J15" s="69"/>
      <c r="K15" s="105">
        <f t="shared" si="1"/>
        <v>0</v>
      </c>
      <c r="L15" s="69"/>
      <c r="M15" s="105">
        <f t="shared" si="0"/>
        <v>0</v>
      </c>
      <c r="N15" s="90" t="s">
        <v>70</v>
      </c>
      <c r="O15" s="48"/>
    </row>
    <row r="16" spans="1:19" ht="12.75" customHeight="1">
      <c r="B16" s="1" t="s">
        <v>72</v>
      </c>
      <c r="E16" s="69"/>
      <c r="F16" s="69"/>
      <c r="G16" s="69"/>
      <c r="H16" s="69"/>
      <c r="I16" s="69"/>
      <c r="J16" s="69"/>
      <c r="K16" s="105">
        <f t="shared" si="1"/>
        <v>0</v>
      </c>
      <c r="L16" s="69"/>
      <c r="M16" s="105">
        <f t="shared" si="0"/>
        <v>0</v>
      </c>
      <c r="N16" s="90" t="s">
        <v>73</v>
      </c>
      <c r="O16" s="48"/>
    </row>
    <row r="17" spans="2:15" ht="12.75" customHeight="1">
      <c r="B17" s="1" t="s">
        <v>74</v>
      </c>
      <c r="E17" s="69"/>
      <c r="F17" s="69"/>
      <c r="G17" s="69"/>
      <c r="H17" s="69"/>
      <c r="I17" s="69"/>
      <c r="J17" s="69"/>
      <c r="K17" s="105">
        <f t="shared" si="1"/>
        <v>0</v>
      </c>
      <c r="L17" s="69"/>
      <c r="M17" s="105">
        <f t="shared" si="0"/>
        <v>0</v>
      </c>
      <c r="N17" s="90" t="s">
        <v>70</v>
      </c>
      <c r="O17" s="48"/>
    </row>
    <row r="18" spans="2:15" ht="12.75" customHeight="1">
      <c r="B18" s="1" t="s">
        <v>75</v>
      </c>
      <c r="E18" s="69"/>
      <c r="F18" s="69"/>
      <c r="G18" s="69"/>
      <c r="H18" s="69"/>
      <c r="I18" s="69"/>
      <c r="J18" s="69"/>
      <c r="K18" s="105">
        <f t="shared" si="1"/>
        <v>0</v>
      </c>
      <c r="L18" s="69"/>
      <c r="M18" s="105">
        <f t="shared" si="0"/>
        <v>0</v>
      </c>
      <c r="N18" s="90" t="s">
        <v>70</v>
      </c>
      <c r="O18" s="48"/>
    </row>
    <row r="19" spans="2:15" ht="12.75" customHeight="1">
      <c r="B19" s="1" t="s">
        <v>76</v>
      </c>
      <c r="E19" s="69"/>
      <c r="F19" s="69"/>
      <c r="G19" s="69"/>
      <c r="H19" s="69"/>
      <c r="I19" s="69"/>
      <c r="J19" s="69"/>
      <c r="K19" s="105">
        <f t="shared" si="1"/>
        <v>0</v>
      </c>
      <c r="L19" s="69"/>
      <c r="M19" s="105">
        <f t="shared" si="0"/>
        <v>0</v>
      </c>
      <c r="N19" s="90" t="s">
        <v>77</v>
      </c>
      <c r="O19" s="48"/>
    </row>
    <row r="20" spans="2:15" ht="12.75" customHeight="1">
      <c r="B20" s="1" t="s">
        <v>78</v>
      </c>
      <c r="E20" s="69"/>
      <c r="F20" s="69"/>
      <c r="G20" s="69"/>
      <c r="H20" s="69"/>
      <c r="I20" s="69"/>
      <c r="J20" s="69"/>
      <c r="K20" s="105">
        <f t="shared" si="1"/>
        <v>0</v>
      </c>
      <c r="L20" s="69"/>
      <c r="M20" s="105">
        <f t="shared" si="0"/>
        <v>0</v>
      </c>
      <c r="N20" s="90" t="s">
        <v>79</v>
      </c>
      <c r="O20" s="48"/>
    </row>
    <row r="21" spans="2:15" ht="12.75" customHeight="1">
      <c r="B21" s="1" t="s">
        <v>80</v>
      </c>
      <c r="E21" s="69"/>
      <c r="F21" s="69"/>
      <c r="G21" s="69"/>
      <c r="H21" s="69"/>
      <c r="I21" s="69"/>
      <c r="J21" s="69"/>
      <c r="K21" s="105">
        <f t="shared" si="1"/>
        <v>0</v>
      </c>
      <c r="L21" s="69"/>
      <c r="M21" s="105">
        <f t="shared" si="0"/>
        <v>0</v>
      </c>
      <c r="N21" s="90" t="s">
        <v>81</v>
      </c>
      <c r="O21" s="48"/>
    </row>
    <row r="22" spans="2:15" ht="12.75" customHeight="1">
      <c r="B22" s="1" t="s">
        <v>82</v>
      </c>
      <c r="E22" s="69"/>
      <c r="F22" s="69"/>
      <c r="G22" s="69"/>
      <c r="H22" s="69"/>
      <c r="I22" s="69"/>
      <c r="J22" s="69"/>
      <c r="K22" s="105">
        <f t="shared" si="1"/>
        <v>0</v>
      </c>
      <c r="L22" s="69"/>
      <c r="M22" s="105">
        <f t="shared" si="0"/>
        <v>0</v>
      </c>
      <c r="N22" s="90" t="s">
        <v>70</v>
      </c>
      <c r="O22" s="48"/>
    </row>
    <row r="23" spans="2:15" ht="12.75" customHeight="1">
      <c r="B23" s="1" t="s">
        <v>83</v>
      </c>
      <c r="E23" s="69"/>
      <c r="F23" s="69"/>
      <c r="G23" s="69"/>
      <c r="H23" s="69"/>
      <c r="I23" s="69"/>
      <c r="J23" s="69"/>
      <c r="K23" s="105">
        <f t="shared" si="1"/>
        <v>0</v>
      </c>
      <c r="L23" s="69"/>
      <c r="M23" s="105">
        <f t="shared" si="0"/>
        <v>0</v>
      </c>
      <c r="N23" s="90" t="s">
        <v>84</v>
      </c>
      <c r="O23" s="48"/>
    </row>
    <row r="24" spans="2:15" ht="12.75" customHeight="1">
      <c r="B24" s="1" t="s">
        <v>85</v>
      </c>
      <c r="E24" s="69"/>
      <c r="F24" s="69"/>
      <c r="G24" s="69"/>
      <c r="H24" s="69"/>
      <c r="I24" s="69"/>
      <c r="J24" s="69"/>
      <c r="K24" s="105">
        <f t="shared" si="1"/>
        <v>0</v>
      </c>
      <c r="L24" s="69"/>
      <c r="M24" s="105">
        <f t="shared" si="0"/>
        <v>0</v>
      </c>
      <c r="N24" s="90" t="s">
        <v>86</v>
      </c>
      <c r="O24" s="48"/>
    </row>
    <row r="25" spans="2:15" ht="12.75" customHeight="1">
      <c r="B25" s="1" t="s">
        <v>87</v>
      </c>
      <c r="E25" s="69"/>
      <c r="F25" s="69"/>
      <c r="G25" s="69"/>
      <c r="H25" s="69"/>
      <c r="I25" s="69"/>
      <c r="J25" s="69"/>
      <c r="K25" s="105">
        <f t="shared" si="1"/>
        <v>0</v>
      </c>
      <c r="L25" s="69"/>
      <c r="M25" s="105">
        <f t="shared" si="0"/>
        <v>0</v>
      </c>
      <c r="N25" s="90" t="s">
        <v>88</v>
      </c>
      <c r="O25" s="48"/>
    </row>
    <row r="26" spans="2:15" ht="12.75" customHeight="1">
      <c r="B26" s="1" t="s">
        <v>89</v>
      </c>
      <c r="E26" s="69"/>
      <c r="F26" s="69"/>
      <c r="G26" s="69"/>
      <c r="H26" s="69"/>
      <c r="I26" s="69"/>
      <c r="J26" s="69"/>
      <c r="K26" s="105">
        <f t="shared" si="1"/>
        <v>0</v>
      </c>
      <c r="L26" s="69"/>
      <c r="M26" s="105">
        <f t="shared" si="0"/>
        <v>0</v>
      </c>
      <c r="N26" s="90" t="s">
        <v>90</v>
      </c>
      <c r="O26" s="48"/>
    </row>
    <row r="27" spans="2:15" ht="12.75" customHeight="1">
      <c r="B27" s="1" t="s">
        <v>91</v>
      </c>
      <c r="E27" s="69"/>
      <c r="F27" s="69"/>
      <c r="G27" s="69"/>
      <c r="H27" s="69"/>
      <c r="I27" s="69"/>
      <c r="J27" s="69"/>
      <c r="K27" s="105">
        <f t="shared" si="1"/>
        <v>0</v>
      </c>
      <c r="L27" s="69"/>
      <c r="M27" s="105">
        <f t="shared" si="0"/>
        <v>0</v>
      </c>
      <c r="N27" s="90" t="s">
        <v>70</v>
      </c>
      <c r="O27" s="48"/>
    </row>
    <row r="28" spans="2:15" ht="12.75" customHeight="1">
      <c r="B28" s="1" t="s">
        <v>92</v>
      </c>
      <c r="E28" s="69"/>
      <c r="F28" s="69"/>
      <c r="G28" s="69"/>
      <c r="H28" s="69"/>
      <c r="I28" s="69"/>
      <c r="J28" s="69"/>
      <c r="K28" s="105">
        <f>+G28+I28</f>
        <v>0</v>
      </c>
      <c r="L28" s="69"/>
      <c r="M28" s="105">
        <f t="shared" si="0"/>
        <v>0</v>
      </c>
      <c r="N28" s="90" t="s">
        <v>93</v>
      </c>
      <c r="O28" s="48"/>
    </row>
    <row r="29" spans="2:15" ht="12.75" customHeight="1">
      <c r="B29" s="1" t="s">
        <v>94</v>
      </c>
      <c r="E29" s="69"/>
      <c r="F29" s="69"/>
      <c r="G29" s="69"/>
      <c r="H29" s="69"/>
      <c r="I29" s="69"/>
      <c r="J29" s="69"/>
      <c r="K29" s="105">
        <f>+G29+I29</f>
        <v>0</v>
      </c>
      <c r="L29" s="69"/>
      <c r="M29" s="105">
        <f>E29-K29</f>
        <v>0</v>
      </c>
      <c r="N29" s="90" t="s">
        <v>95</v>
      </c>
      <c r="O29" s="48"/>
    </row>
    <row r="30" spans="2:15" ht="12.75" customHeight="1">
      <c r="B30" s="1" t="s">
        <v>96</v>
      </c>
      <c r="E30" s="70"/>
      <c r="F30" s="69"/>
      <c r="G30" s="70"/>
      <c r="H30" s="69"/>
      <c r="I30" s="70"/>
      <c r="J30" s="69"/>
      <c r="K30" s="107">
        <f t="shared" si="1"/>
        <v>0</v>
      </c>
      <c r="L30" s="69"/>
      <c r="M30" s="107">
        <f t="shared" si="0"/>
        <v>0</v>
      </c>
      <c r="N30" s="90" t="s">
        <v>97</v>
      </c>
      <c r="O30" s="48"/>
    </row>
    <row r="31" spans="2:15" ht="12.75" customHeight="1">
      <c r="D31" s="1" t="s">
        <v>98</v>
      </c>
      <c r="E31" s="107">
        <f>SUM(E11:E30)</f>
        <v>0</v>
      </c>
      <c r="F31" s="69"/>
      <c r="G31" s="107">
        <f>SUM(G11:G30)</f>
        <v>0</v>
      </c>
      <c r="H31" s="69"/>
      <c r="I31" s="107">
        <f>SUM(I11:I30)</f>
        <v>0</v>
      </c>
      <c r="J31" s="69"/>
      <c r="K31" s="107">
        <f>SUM(K11:K30)</f>
        <v>0</v>
      </c>
      <c r="L31" s="69"/>
      <c r="M31" s="107">
        <f>SUM(M11:M30)</f>
        <v>0</v>
      </c>
      <c r="N31" s="90"/>
      <c r="O31" s="48"/>
    </row>
    <row r="32" spans="2:15" ht="5.0999999999999996" customHeight="1">
      <c r="E32" s="19"/>
      <c r="F32" s="19"/>
      <c r="G32" s="19"/>
      <c r="H32" s="19"/>
      <c r="I32" s="19"/>
      <c r="J32" s="19"/>
      <c r="K32" s="74"/>
      <c r="L32" s="19"/>
      <c r="M32" s="74"/>
      <c r="N32" s="90"/>
      <c r="O32" s="48"/>
    </row>
    <row r="33" spans="1:15" ht="12.75" customHeight="1">
      <c r="A33" s="1" t="s">
        <v>99</v>
      </c>
      <c r="E33" s="19"/>
      <c r="F33" s="19"/>
      <c r="G33" s="19"/>
      <c r="H33" s="19"/>
      <c r="I33" s="19"/>
      <c r="J33" s="19"/>
      <c r="K33" s="74"/>
      <c r="L33" s="19"/>
      <c r="M33" s="74"/>
      <c r="N33" s="90"/>
      <c r="O33" s="48"/>
    </row>
    <row r="34" spans="1:15" ht="12.75" customHeight="1">
      <c r="B34" s="1" t="s">
        <v>100</v>
      </c>
      <c r="E34" s="69"/>
      <c r="F34" s="69"/>
      <c r="G34" s="69"/>
      <c r="H34" s="69"/>
      <c r="I34" s="69"/>
      <c r="J34" s="69"/>
      <c r="K34" s="105">
        <f t="shared" ref="K34:K44" si="2">+G34+I34</f>
        <v>0</v>
      </c>
      <c r="L34" s="69"/>
      <c r="M34" s="105">
        <f t="shared" ref="M34:M44" si="3">E34-K34</f>
        <v>0</v>
      </c>
      <c r="N34" s="90" t="s">
        <v>66</v>
      </c>
      <c r="O34" s="48"/>
    </row>
    <row r="35" spans="1:15" ht="12.75" customHeight="1">
      <c r="B35" s="1" t="s">
        <v>69</v>
      </c>
      <c r="E35" s="69"/>
      <c r="F35" s="69"/>
      <c r="G35" s="69"/>
      <c r="H35" s="69"/>
      <c r="I35" s="69"/>
      <c r="J35" s="69"/>
      <c r="K35" s="105">
        <f t="shared" si="2"/>
        <v>0</v>
      </c>
      <c r="L35" s="69"/>
      <c r="M35" s="105">
        <f t="shared" si="3"/>
        <v>0</v>
      </c>
      <c r="N35" s="90" t="s">
        <v>70</v>
      </c>
      <c r="O35" s="48"/>
    </row>
    <row r="36" spans="1:15" ht="12.75" customHeight="1">
      <c r="B36" s="1" t="s">
        <v>101</v>
      </c>
      <c r="E36" s="69"/>
      <c r="F36" s="69"/>
      <c r="G36" s="69"/>
      <c r="H36" s="69"/>
      <c r="I36" s="69"/>
      <c r="J36" s="69"/>
      <c r="K36" s="105">
        <f t="shared" si="2"/>
        <v>0</v>
      </c>
      <c r="L36" s="69"/>
      <c r="M36" s="105">
        <f t="shared" si="3"/>
        <v>0</v>
      </c>
      <c r="N36" s="90" t="s">
        <v>70</v>
      </c>
      <c r="O36" s="48"/>
    </row>
    <row r="37" spans="1:15" ht="12.75" customHeight="1">
      <c r="B37" s="1" t="s">
        <v>80</v>
      </c>
      <c r="E37" s="69"/>
      <c r="F37" s="69"/>
      <c r="G37" s="69"/>
      <c r="H37" s="69"/>
      <c r="I37" s="69"/>
      <c r="J37" s="69"/>
      <c r="K37" s="105">
        <f t="shared" si="2"/>
        <v>0</v>
      </c>
      <c r="L37" s="69"/>
      <c r="M37" s="105">
        <f t="shared" si="3"/>
        <v>0</v>
      </c>
      <c r="N37" s="90" t="s">
        <v>102</v>
      </c>
      <c r="O37" s="48"/>
    </row>
    <row r="38" spans="1:15" ht="12.75" customHeight="1">
      <c r="B38" s="1" t="s">
        <v>87</v>
      </c>
      <c r="E38" s="69"/>
      <c r="F38" s="69"/>
      <c r="G38" s="69"/>
      <c r="H38" s="69"/>
      <c r="I38" s="69"/>
      <c r="J38" s="69"/>
      <c r="K38" s="105">
        <f t="shared" si="2"/>
        <v>0</v>
      </c>
      <c r="L38" s="69"/>
      <c r="M38" s="105">
        <f t="shared" si="3"/>
        <v>0</v>
      </c>
      <c r="N38" s="90" t="s">
        <v>103</v>
      </c>
      <c r="O38" s="48"/>
    </row>
    <row r="39" spans="1:15" ht="12.75" customHeight="1">
      <c r="B39" s="1" t="s">
        <v>89</v>
      </c>
      <c r="E39" s="69"/>
      <c r="F39" s="69"/>
      <c r="G39" s="69"/>
      <c r="H39" s="69"/>
      <c r="I39" s="69"/>
      <c r="J39" s="69"/>
      <c r="K39" s="105">
        <f t="shared" si="2"/>
        <v>0</v>
      </c>
      <c r="L39" s="69"/>
      <c r="M39" s="105">
        <f t="shared" si="3"/>
        <v>0</v>
      </c>
      <c r="N39" s="90" t="s">
        <v>104</v>
      </c>
      <c r="O39" s="48"/>
    </row>
    <row r="40" spans="1:15" ht="12.75" customHeight="1">
      <c r="B40" s="1" t="s">
        <v>91</v>
      </c>
      <c r="E40" s="69"/>
      <c r="F40" s="69"/>
      <c r="G40" s="69"/>
      <c r="H40" s="69"/>
      <c r="I40" s="69"/>
      <c r="J40" s="69"/>
      <c r="K40" s="105">
        <f t="shared" si="2"/>
        <v>0</v>
      </c>
      <c r="L40" s="69"/>
      <c r="M40" s="105">
        <f t="shared" si="3"/>
        <v>0</v>
      </c>
      <c r="N40" s="90" t="s">
        <v>70</v>
      </c>
      <c r="O40" s="48"/>
    </row>
    <row r="41" spans="1:15" ht="12.75" customHeight="1">
      <c r="B41" s="1" t="s">
        <v>96</v>
      </c>
      <c r="E41" s="69"/>
      <c r="F41" s="69"/>
      <c r="G41" s="69"/>
      <c r="H41" s="69"/>
      <c r="I41" s="69"/>
      <c r="J41" s="69"/>
      <c r="K41" s="105">
        <f t="shared" si="2"/>
        <v>0</v>
      </c>
      <c r="L41" s="69"/>
      <c r="M41" s="105">
        <f t="shared" si="3"/>
        <v>0</v>
      </c>
      <c r="N41" s="90" t="s">
        <v>105</v>
      </c>
      <c r="O41" s="48"/>
    </row>
    <row r="42" spans="1:15" ht="12.75" customHeight="1">
      <c r="B42" s="1" t="s">
        <v>94</v>
      </c>
      <c r="E42" s="69"/>
      <c r="F42" s="69"/>
      <c r="G42" s="69"/>
      <c r="H42" s="69"/>
      <c r="I42" s="69"/>
      <c r="J42" s="69"/>
      <c r="K42" s="105">
        <f>+G42+I42</f>
        <v>0</v>
      </c>
      <c r="L42" s="69"/>
      <c r="M42" s="105">
        <f t="shared" si="3"/>
        <v>0</v>
      </c>
      <c r="N42" s="90" t="s">
        <v>95</v>
      </c>
      <c r="O42" s="48"/>
    </row>
    <row r="43" spans="1:15" ht="12.75" customHeight="1">
      <c r="B43" s="1" t="s">
        <v>106</v>
      </c>
      <c r="E43" s="69"/>
      <c r="F43" s="69"/>
      <c r="G43" s="69"/>
      <c r="H43" s="69"/>
      <c r="I43" s="69"/>
      <c r="J43" s="69"/>
      <c r="K43" s="105">
        <f t="shared" si="2"/>
        <v>0</v>
      </c>
      <c r="L43" s="69"/>
      <c r="M43" s="105">
        <f t="shared" si="3"/>
        <v>0</v>
      </c>
      <c r="N43" s="90" t="s">
        <v>107</v>
      </c>
      <c r="O43" s="48"/>
    </row>
    <row r="44" spans="1:15" ht="12.75" customHeight="1">
      <c r="B44" s="1" t="s">
        <v>108</v>
      </c>
      <c r="E44" s="70"/>
      <c r="F44" s="69"/>
      <c r="G44" s="70"/>
      <c r="H44" s="69"/>
      <c r="I44" s="70"/>
      <c r="J44" s="69"/>
      <c r="K44" s="107">
        <f t="shared" si="2"/>
        <v>0</v>
      </c>
      <c r="L44" s="69"/>
      <c r="M44" s="107">
        <f t="shared" si="3"/>
        <v>0</v>
      </c>
      <c r="N44" s="90" t="s">
        <v>107</v>
      </c>
      <c r="O44" s="48"/>
    </row>
    <row r="45" spans="1:15" ht="12.75" customHeight="1">
      <c r="D45" s="1" t="s">
        <v>109</v>
      </c>
      <c r="E45" s="107">
        <f>SUM(E34:E44)</f>
        <v>0</v>
      </c>
      <c r="F45" s="69"/>
      <c r="G45" s="107">
        <f>SUM(G34:G44)</f>
        <v>0</v>
      </c>
      <c r="H45" s="69"/>
      <c r="I45" s="107">
        <f>SUM(I34:I44)</f>
        <v>0</v>
      </c>
      <c r="J45" s="69"/>
      <c r="K45" s="107">
        <f>SUM(K34:K44)</f>
        <v>0</v>
      </c>
      <c r="L45" s="69"/>
      <c r="M45" s="107">
        <f>SUM(M34:M44)</f>
        <v>0</v>
      </c>
      <c r="N45" s="90"/>
      <c r="O45" s="48"/>
    </row>
    <row r="46" spans="1:15" ht="12.75" customHeight="1">
      <c r="D46" s="1" t="s">
        <v>110</v>
      </c>
      <c r="E46" s="107">
        <f>E31+E45</f>
        <v>0</v>
      </c>
      <c r="F46" s="69"/>
      <c r="G46" s="107">
        <f>G31+G45</f>
        <v>0</v>
      </c>
      <c r="H46" s="69"/>
      <c r="I46" s="107">
        <f>I31+I45</f>
        <v>0</v>
      </c>
      <c r="J46" s="69"/>
      <c r="K46" s="107">
        <f>K31+K45</f>
        <v>0</v>
      </c>
      <c r="L46" s="69"/>
      <c r="M46" s="107">
        <f>M31+M45</f>
        <v>0</v>
      </c>
      <c r="N46" s="90"/>
      <c r="O46" s="48"/>
    </row>
    <row r="47" spans="1:15" ht="5.0999999999999996" customHeight="1">
      <c r="E47" s="19"/>
      <c r="F47" s="20"/>
      <c r="G47" s="19"/>
      <c r="H47" s="19"/>
      <c r="I47" s="19"/>
      <c r="J47" s="19"/>
      <c r="K47" s="74"/>
      <c r="L47" s="19"/>
      <c r="M47" s="74"/>
      <c r="N47" s="90"/>
      <c r="O47" s="48"/>
    </row>
    <row r="48" spans="1:15" ht="14.85" customHeight="1">
      <c r="A48" s="52" t="s">
        <v>111</v>
      </c>
      <c r="E48" s="19"/>
      <c r="F48" s="20"/>
      <c r="G48" s="19"/>
      <c r="H48" s="19"/>
      <c r="I48" s="19"/>
      <c r="J48" s="19"/>
      <c r="K48" s="74"/>
      <c r="L48" s="19"/>
      <c r="M48" s="74"/>
      <c r="N48" s="90"/>
      <c r="O48" s="48"/>
    </row>
    <row r="49" spans="1:15" ht="14.85" customHeight="1">
      <c r="A49" s="52"/>
      <c r="B49" s="1" t="s">
        <v>112</v>
      </c>
      <c r="E49" s="54"/>
      <c r="F49" s="53"/>
      <c r="G49" s="54"/>
      <c r="H49" s="54"/>
      <c r="I49" s="69"/>
      <c r="J49" s="19"/>
      <c r="K49" s="105">
        <f>+G49+I49</f>
        <v>0</v>
      </c>
      <c r="L49" s="19"/>
      <c r="M49" s="105">
        <f>E49-K49</f>
        <v>0</v>
      </c>
      <c r="N49" s="90" t="s">
        <v>70</v>
      </c>
      <c r="O49" s="48"/>
    </row>
    <row r="50" spans="1:15" ht="14.85" customHeight="1">
      <c r="A50" s="52"/>
      <c r="B50" s="1" t="s">
        <v>113</v>
      </c>
      <c r="E50" s="54"/>
      <c r="F50" s="53"/>
      <c r="G50" s="54"/>
      <c r="H50" s="54"/>
      <c r="I50" s="69"/>
      <c r="J50" s="19"/>
      <c r="K50" s="105">
        <f>+G50+I50</f>
        <v>0</v>
      </c>
      <c r="L50" s="19"/>
      <c r="M50" s="105">
        <f>E50-K50</f>
        <v>0</v>
      </c>
      <c r="N50" s="90" t="s">
        <v>95</v>
      </c>
      <c r="O50" s="48"/>
    </row>
    <row r="51" spans="1:15" ht="14.85" customHeight="1">
      <c r="A51" s="52"/>
      <c r="B51" s="1" t="s">
        <v>114</v>
      </c>
      <c r="E51" s="54"/>
      <c r="F51" s="53"/>
      <c r="G51" s="54"/>
      <c r="H51" s="54"/>
      <c r="I51" s="69"/>
      <c r="J51" s="19"/>
      <c r="K51" s="105">
        <f>+G51+I51</f>
        <v>0</v>
      </c>
      <c r="L51" s="19"/>
      <c r="M51" s="105">
        <f>E51-K51</f>
        <v>0</v>
      </c>
      <c r="N51" s="90" t="s">
        <v>115</v>
      </c>
      <c r="O51" s="48"/>
    </row>
    <row r="52" spans="1:15" ht="12.75" customHeight="1">
      <c r="A52" s="52"/>
      <c r="B52" s="1" t="s">
        <v>116</v>
      </c>
      <c r="E52" s="70"/>
      <c r="F52" s="69"/>
      <c r="G52" s="70"/>
      <c r="H52" s="69"/>
      <c r="I52" s="70"/>
      <c r="J52" s="69"/>
      <c r="K52" s="107">
        <f>+G52+I52</f>
        <v>0</v>
      </c>
      <c r="L52" s="69"/>
      <c r="M52" s="107">
        <f>E52-K52</f>
        <v>0</v>
      </c>
      <c r="N52" s="90" t="s">
        <v>70</v>
      </c>
      <c r="O52" s="48"/>
    </row>
    <row r="53" spans="1:15" ht="12.75" customHeight="1">
      <c r="A53" s="52"/>
      <c r="D53" s="1" t="s">
        <v>117</v>
      </c>
      <c r="E53" s="212">
        <f>SUM(E49:E52)</f>
        <v>0</v>
      </c>
      <c r="F53" s="211"/>
      <c r="G53" s="212">
        <f>SUM(G49:G52)</f>
        <v>0</v>
      </c>
      <c r="H53" s="211"/>
      <c r="I53" s="212">
        <f>SUM(I49:I52)</f>
        <v>0</v>
      </c>
      <c r="J53" s="69"/>
      <c r="K53" s="106">
        <f>SUM(K49:K52)</f>
        <v>0</v>
      </c>
      <c r="L53" s="69"/>
      <c r="M53" s="106">
        <f>SUM(M49:M52)</f>
        <v>0</v>
      </c>
      <c r="N53" s="90"/>
      <c r="O53" s="48"/>
    </row>
    <row r="54" spans="1:15" ht="5.0999999999999996" customHeight="1">
      <c r="K54" s="71"/>
      <c r="M54" s="71"/>
      <c r="N54" s="90"/>
      <c r="O54" s="48"/>
    </row>
    <row r="55" spans="1:15" ht="14.85" customHeight="1">
      <c r="A55" s="52" t="s">
        <v>118</v>
      </c>
      <c r="K55" s="71"/>
      <c r="M55" s="71"/>
      <c r="N55" s="90"/>
      <c r="O55" s="48"/>
    </row>
    <row r="56" spans="1:15" ht="12.75" customHeight="1">
      <c r="A56" s="1" t="s">
        <v>119</v>
      </c>
      <c r="K56" s="71"/>
      <c r="M56" s="71"/>
      <c r="N56" s="90"/>
      <c r="O56" s="48"/>
    </row>
    <row r="57" spans="1:15" ht="12.75" customHeight="1">
      <c r="B57" s="1" t="s">
        <v>120</v>
      </c>
      <c r="E57" s="69"/>
      <c r="F57" s="69"/>
      <c r="G57" s="69"/>
      <c r="H57" s="69"/>
      <c r="I57" s="69"/>
      <c r="J57" s="69"/>
      <c r="K57" s="105">
        <f t="shared" ref="K57:K79" si="4">+G57+I57</f>
        <v>0</v>
      </c>
      <c r="L57" s="69"/>
      <c r="M57" s="105">
        <f t="shared" ref="M57:M79" si="5">E57-K57</f>
        <v>0</v>
      </c>
      <c r="N57" s="90" t="s">
        <v>121</v>
      </c>
      <c r="O57" s="48"/>
    </row>
    <row r="58" spans="1:15" ht="12.75" customHeight="1">
      <c r="B58" s="1" t="s">
        <v>122</v>
      </c>
      <c r="E58" s="69"/>
      <c r="F58" s="69"/>
      <c r="G58" s="69"/>
      <c r="H58" s="69"/>
      <c r="I58" s="69"/>
      <c r="J58" s="69"/>
      <c r="K58" s="105">
        <f t="shared" si="4"/>
        <v>0</v>
      </c>
      <c r="L58" s="69"/>
      <c r="M58" s="105">
        <f t="shared" si="5"/>
        <v>0</v>
      </c>
      <c r="N58" s="90" t="s">
        <v>123</v>
      </c>
      <c r="O58" s="48"/>
    </row>
    <row r="59" spans="1:15" ht="12.75" customHeight="1">
      <c r="B59" s="1" t="s">
        <v>124</v>
      </c>
      <c r="E59" s="69"/>
      <c r="F59" s="69"/>
      <c r="G59" s="69"/>
      <c r="H59" s="69"/>
      <c r="I59" s="69"/>
      <c r="J59" s="69"/>
      <c r="K59" s="105">
        <f t="shared" si="4"/>
        <v>0</v>
      </c>
      <c r="L59" s="69"/>
      <c r="M59" s="105">
        <f t="shared" si="5"/>
        <v>0</v>
      </c>
      <c r="N59" s="90"/>
      <c r="O59" s="48"/>
    </row>
    <row r="60" spans="1:15" ht="12.75" customHeight="1">
      <c r="B60" s="1" t="s">
        <v>125</v>
      </c>
      <c r="E60" s="69"/>
      <c r="F60" s="69"/>
      <c r="G60" s="69"/>
      <c r="H60" s="69"/>
      <c r="I60" s="69"/>
      <c r="J60" s="69"/>
      <c r="K60" s="105">
        <f t="shared" si="4"/>
        <v>0</v>
      </c>
      <c r="L60" s="69"/>
      <c r="M60" s="105">
        <f t="shared" si="5"/>
        <v>0</v>
      </c>
      <c r="N60" s="90" t="s">
        <v>70</v>
      </c>
      <c r="O60" s="48"/>
    </row>
    <row r="61" spans="1:15" ht="12.75" customHeight="1">
      <c r="B61" s="1" t="s">
        <v>126</v>
      </c>
      <c r="E61" s="69"/>
      <c r="F61" s="69"/>
      <c r="G61" s="69"/>
      <c r="H61" s="69"/>
      <c r="I61" s="69"/>
      <c r="J61" s="69"/>
      <c r="K61" s="105">
        <f>+G61+I61</f>
        <v>0</v>
      </c>
      <c r="L61" s="69"/>
      <c r="M61" s="105">
        <f>E61-K61</f>
        <v>0</v>
      </c>
      <c r="N61" s="90" t="s">
        <v>127</v>
      </c>
      <c r="O61" s="48"/>
    </row>
    <row r="62" spans="1:15" ht="12.75" customHeight="1">
      <c r="B62" s="1" t="s">
        <v>128</v>
      </c>
      <c r="E62" s="69"/>
      <c r="F62" s="69"/>
      <c r="G62" s="69"/>
      <c r="H62" s="69"/>
      <c r="I62" s="69"/>
      <c r="J62" s="69"/>
      <c r="K62" s="105">
        <f>+G62+I62</f>
        <v>0</v>
      </c>
      <c r="L62" s="69"/>
      <c r="M62" s="105">
        <f>E62-K62</f>
        <v>0</v>
      </c>
      <c r="N62" s="90" t="s">
        <v>129</v>
      </c>
      <c r="O62" s="48"/>
    </row>
    <row r="63" spans="1:15" ht="12.75" customHeight="1">
      <c r="B63" s="1" t="s">
        <v>130</v>
      </c>
      <c r="E63" s="69"/>
      <c r="F63" s="69"/>
      <c r="G63" s="69"/>
      <c r="H63" s="69"/>
      <c r="I63" s="69"/>
      <c r="J63" s="69"/>
      <c r="K63" s="105">
        <f t="shared" si="4"/>
        <v>0</v>
      </c>
      <c r="L63" s="69"/>
      <c r="M63" s="105">
        <f t="shared" si="5"/>
        <v>0</v>
      </c>
      <c r="N63" s="90" t="s">
        <v>131</v>
      </c>
      <c r="O63" s="48"/>
    </row>
    <row r="64" spans="1:15" ht="12.75" customHeight="1">
      <c r="B64" s="1" t="s">
        <v>132</v>
      </c>
      <c r="E64" s="69"/>
      <c r="F64" s="69"/>
      <c r="G64" s="69"/>
      <c r="H64" s="69"/>
      <c r="I64" s="69"/>
      <c r="J64" s="69"/>
      <c r="K64" s="105">
        <f t="shared" si="4"/>
        <v>0</v>
      </c>
      <c r="L64" s="69"/>
      <c r="M64" s="105">
        <f t="shared" si="5"/>
        <v>0</v>
      </c>
      <c r="N64" s="90" t="s">
        <v>133</v>
      </c>
      <c r="O64" s="48"/>
    </row>
    <row r="65" spans="2:15" ht="12.75" customHeight="1">
      <c r="B65" s="1" t="s">
        <v>134</v>
      </c>
      <c r="E65" s="69"/>
      <c r="F65" s="69"/>
      <c r="G65" s="69"/>
      <c r="H65" s="69"/>
      <c r="I65" s="69"/>
      <c r="J65" s="69"/>
      <c r="K65" s="105">
        <f t="shared" si="4"/>
        <v>0</v>
      </c>
      <c r="L65" s="69"/>
      <c r="M65" s="105">
        <f t="shared" si="5"/>
        <v>0</v>
      </c>
      <c r="N65" s="90" t="s">
        <v>135</v>
      </c>
      <c r="O65" s="48"/>
    </row>
    <row r="66" spans="2:15" ht="12.75" customHeight="1">
      <c r="B66" s="1" t="s">
        <v>136</v>
      </c>
      <c r="E66" s="69"/>
      <c r="F66" s="69"/>
      <c r="G66" s="69"/>
      <c r="H66" s="69"/>
      <c r="I66" s="69"/>
      <c r="J66" s="69"/>
      <c r="K66" s="105">
        <f t="shared" si="4"/>
        <v>0</v>
      </c>
      <c r="L66" s="69"/>
      <c r="M66" s="105">
        <f t="shared" si="5"/>
        <v>0</v>
      </c>
      <c r="N66" s="90" t="s">
        <v>137</v>
      </c>
      <c r="O66" s="48"/>
    </row>
    <row r="67" spans="2:15" ht="12.75" customHeight="1">
      <c r="B67" s="1" t="s">
        <v>138</v>
      </c>
      <c r="E67" s="69"/>
      <c r="F67" s="69"/>
      <c r="G67" s="69"/>
      <c r="H67" s="69"/>
      <c r="I67" s="69"/>
      <c r="J67" s="69"/>
      <c r="K67" s="105">
        <f>+G67+I67</f>
        <v>0</v>
      </c>
      <c r="L67" s="69"/>
      <c r="M67" s="105">
        <f>E67-K67</f>
        <v>0</v>
      </c>
      <c r="N67" s="90" t="s">
        <v>139</v>
      </c>
      <c r="O67" s="205"/>
    </row>
    <row r="68" spans="2:15" ht="12.75" customHeight="1">
      <c r="B68" s="1" t="s">
        <v>140</v>
      </c>
      <c r="E68" s="69"/>
      <c r="F68" s="69"/>
      <c r="G68" s="69"/>
      <c r="H68" s="69"/>
      <c r="I68" s="69"/>
      <c r="J68" s="69"/>
      <c r="K68" s="105">
        <f t="shared" si="4"/>
        <v>0</v>
      </c>
      <c r="L68" s="69"/>
      <c r="M68" s="105">
        <f t="shared" si="5"/>
        <v>0</v>
      </c>
      <c r="N68" s="90"/>
      <c r="O68" s="48"/>
    </row>
    <row r="69" spans="2:15" ht="12.75" customHeight="1">
      <c r="B69" s="1" t="s">
        <v>141</v>
      </c>
      <c r="E69" s="69"/>
      <c r="F69" s="69"/>
      <c r="G69" s="69"/>
      <c r="H69" s="69"/>
      <c r="I69" s="69"/>
      <c r="J69" s="69"/>
      <c r="K69" s="105">
        <f t="shared" si="4"/>
        <v>0</v>
      </c>
      <c r="L69" s="69"/>
      <c r="M69" s="105">
        <f t="shared" si="5"/>
        <v>0</v>
      </c>
      <c r="N69" s="90" t="s">
        <v>142</v>
      </c>
      <c r="O69" s="48"/>
    </row>
    <row r="70" spans="2:15" ht="12.75" customHeight="1">
      <c r="B70" s="1" t="s">
        <v>143</v>
      </c>
      <c r="E70" s="69"/>
      <c r="F70" s="69"/>
      <c r="G70" s="69"/>
      <c r="H70" s="69"/>
      <c r="I70" s="69"/>
      <c r="J70" s="69"/>
      <c r="K70" s="105">
        <f t="shared" si="4"/>
        <v>0</v>
      </c>
      <c r="L70" s="69"/>
      <c r="M70" s="105">
        <f t="shared" si="5"/>
        <v>0</v>
      </c>
      <c r="N70" s="90" t="s">
        <v>142</v>
      </c>
      <c r="O70" s="48"/>
    </row>
    <row r="71" spans="2:15" ht="12.75" customHeight="1">
      <c r="B71" s="1" t="s">
        <v>144</v>
      </c>
      <c r="E71" s="69"/>
      <c r="F71" s="69"/>
      <c r="G71" s="69"/>
      <c r="H71" s="69"/>
      <c r="I71" s="69"/>
      <c r="J71" s="69"/>
      <c r="K71" s="105">
        <f t="shared" si="4"/>
        <v>0</v>
      </c>
      <c r="L71" s="69"/>
      <c r="M71" s="105">
        <f t="shared" si="5"/>
        <v>0</v>
      </c>
      <c r="N71" s="90" t="s">
        <v>142</v>
      </c>
      <c r="O71" s="48"/>
    </row>
    <row r="72" spans="2:15" ht="12.75" customHeight="1">
      <c r="B72" s="1" t="s">
        <v>145</v>
      </c>
      <c r="E72" s="69"/>
      <c r="F72" s="69"/>
      <c r="G72" s="69"/>
      <c r="H72" s="69"/>
      <c r="I72" s="69"/>
      <c r="J72" s="69"/>
      <c r="K72" s="105">
        <f t="shared" si="4"/>
        <v>0</v>
      </c>
      <c r="L72" s="69"/>
      <c r="M72" s="105">
        <f t="shared" si="5"/>
        <v>0</v>
      </c>
      <c r="N72" s="90" t="s">
        <v>146</v>
      </c>
      <c r="O72" s="48"/>
    </row>
    <row r="73" spans="2:15" ht="12.75" customHeight="1">
      <c r="B73" s="1" t="s">
        <v>147</v>
      </c>
      <c r="E73" s="69"/>
      <c r="F73" s="69"/>
      <c r="G73" s="69"/>
      <c r="H73" s="69"/>
      <c r="I73" s="69"/>
      <c r="J73" s="69"/>
      <c r="K73" s="105">
        <f t="shared" si="4"/>
        <v>0</v>
      </c>
      <c r="L73" s="69"/>
      <c r="M73" s="105">
        <f t="shared" si="5"/>
        <v>0</v>
      </c>
      <c r="N73" s="90" t="s">
        <v>148</v>
      </c>
      <c r="O73" s="48"/>
    </row>
    <row r="74" spans="2:15" ht="12.75" customHeight="1">
      <c r="B74" s="1" t="s">
        <v>149</v>
      </c>
      <c r="E74" s="69"/>
      <c r="F74" s="69"/>
      <c r="G74" s="69"/>
      <c r="H74" s="69"/>
      <c r="I74" s="69"/>
      <c r="J74" s="69"/>
      <c r="K74" s="105">
        <f t="shared" si="4"/>
        <v>0</v>
      </c>
      <c r="L74" s="69"/>
      <c r="M74" s="105">
        <f t="shared" si="5"/>
        <v>0</v>
      </c>
      <c r="N74" s="90" t="s">
        <v>142</v>
      </c>
      <c r="O74" s="48"/>
    </row>
    <row r="75" spans="2:15" ht="12.75" customHeight="1">
      <c r="B75" s="1" t="s">
        <v>150</v>
      </c>
      <c r="E75" s="69"/>
      <c r="F75" s="69"/>
      <c r="G75" s="69"/>
      <c r="H75" s="69"/>
      <c r="I75" s="69"/>
      <c r="J75" s="69"/>
      <c r="K75" s="105">
        <f t="shared" si="4"/>
        <v>0</v>
      </c>
      <c r="L75" s="69"/>
      <c r="M75" s="105">
        <f t="shared" si="5"/>
        <v>0</v>
      </c>
      <c r="N75" s="90" t="s">
        <v>142</v>
      </c>
      <c r="O75" s="48"/>
    </row>
    <row r="76" spans="2:15" ht="12.75" customHeight="1">
      <c r="B76" s="1" t="s">
        <v>151</v>
      </c>
      <c r="E76" s="69"/>
      <c r="F76" s="69"/>
      <c r="G76" s="69"/>
      <c r="H76" s="69"/>
      <c r="I76" s="69"/>
      <c r="J76" s="69"/>
      <c r="K76" s="105">
        <f>+G76+I76</f>
        <v>0</v>
      </c>
      <c r="L76" s="69"/>
      <c r="M76" s="105">
        <f>E76-K76</f>
        <v>0</v>
      </c>
      <c r="N76" s="90" t="s">
        <v>142</v>
      </c>
      <c r="O76" s="48"/>
    </row>
    <row r="77" spans="2:15" ht="12.75" customHeight="1">
      <c r="B77" s="1" t="s">
        <v>152</v>
      </c>
      <c r="E77" s="69"/>
      <c r="F77" s="69"/>
      <c r="G77" s="69"/>
      <c r="H77" s="69"/>
      <c r="I77" s="69"/>
      <c r="J77" s="69"/>
      <c r="K77" s="105">
        <f t="shared" si="4"/>
        <v>0</v>
      </c>
      <c r="L77" s="69"/>
      <c r="M77" s="105">
        <f t="shared" si="5"/>
        <v>0</v>
      </c>
      <c r="N77" s="90" t="s">
        <v>142</v>
      </c>
      <c r="O77" s="48"/>
    </row>
    <row r="78" spans="2:15" ht="12.75" customHeight="1">
      <c r="B78" s="1" t="s">
        <v>153</v>
      </c>
      <c r="E78" s="69"/>
      <c r="F78" s="69"/>
      <c r="G78" s="69"/>
      <c r="H78" s="69"/>
      <c r="I78" s="69"/>
      <c r="J78" s="69"/>
      <c r="K78" s="105">
        <f>+G78+I78</f>
        <v>0</v>
      </c>
      <c r="L78" s="69"/>
      <c r="M78" s="105">
        <f>E78-K78</f>
        <v>0</v>
      </c>
      <c r="N78" s="90" t="s">
        <v>142</v>
      </c>
      <c r="O78" s="48"/>
    </row>
    <row r="79" spans="2:15" ht="12.75" customHeight="1">
      <c r="B79" s="1" t="s">
        <v>154</v>
      </c>
      <c r="E79" s="70"/>
      <c r="F79" s="69"/>
      <c r="G79" s="70"/>
      <c r="H79" s="69"/>
      <c r="I79" s="70"/>
      <c r="J79" s="69"/>
      <c r="K79" s="107">
        <f t="shared" si="4"/>
        <v>0</v>
      </c>
      <c r="L79" s="69"/>
      <c r="M79" s="107">
        <f t="shared" si="5"/>
        <v>0</v>
      </c>
      <c r="N79" s="90" t="s">
        <v>70</v>
      </c>
      <c r="O79" s="48"/>
    </row>
    <row r="80" spans="2:15" ht="12.75" customHeight="1">
      <c r="D80" s="1" t="s">
        <v>155</v>
      </c>
      <c r="E80" s="107">
        <f>SUM(E57:E79)</f>
        <v>0</v>
      </c>
      <c r="F80" s="69"/>
      <c r="G80" s="107">
        <f>SUM(G57:G79)</f>
        <v>0</v>
      </c>
      <c r="H80" s="69"/>
      <c r="I80" s="107">
        <f>SUM(I57:I79)</f>
        <v>0</v>
      </c>
      <c r="J80" s="69"/>
      <c r="K80" s="107">
        <f>SUM(K57:K79)</f>
        <v>0</v>
      </c>
      <c r="L80" s="69"/>
      <c r="M80" s="107">
        <f>SUM(M57:M79)</f>
        <v>0</v>
      </c>
      <c r="N80" s="90"/>
      <c r="O80" s="48"/>
    </row>
    <row r="81" spans="1:15" ht="5.0999999999999996" customHeight="1">
      <c r="E81" s="19"/>
      <c r="F81" s="19"/>
      <c r="G81" s="19"/>
      <c r="H81" s="19"/>
      <c r="I81" s="19"/>
      <c r="J81" s="19"/>
      <c r="K81" s="74"/>
      <c r="L81" s="19"/>
      <c r="M81" s="74"/>
      <c r="N81" s="90"/>
      <c r="O81" s="48"/>
    </row>
    <row r="82" spans="1:15" ht="12.75" customHeight="1">
      <c r="A82" s="1" t="s">
        <v>156</v>
      </c>
      <c r="E82" s="19"/>
      <c r="F82" s="19"/>
      <c r="G82" s="19"/>
      <c r="H82" s="19"/>
      <c r="I82" s="19"/>
      <c r="J82" s="19"/>
      <c r="K82" s="74"/>
      <c r="L82" s="19"/>
      <c r="M82" s="74"/>
      <c r="N82" s="90"/>
      <c r="O82" s="48"/>
    </row>
    <row r="83" spans="1:15" ht="12.75" customHeight="1">
      <c r="B83" s="1" t="s">
        <v>157</v>
      </c>
      <c r="E83" s="69"/>
      <c r="F83" s="69"/>
      <c r="G83" s="69"/>
      <c r="H83" s="69"/>
      <c r="I83" s="69"/>
      <c r="J83" s="69"/>
      <c r="K83" s="105">
        <f t="shared" ref="K83:K97" si="6">+G83+I83</f>
        <v>0</v>
      </c>
      <c r="L83" s="69"/>
      <c r="M83" s="105">
        <f t="shared" ref="M83:M97" si="7">E83-K83</f>
        <v>0</v>
      </c>
      <c r="N83" s="90" t="s">
        <v>158</v>
      </c>
      <c r="O83" s="48"/>
    </row>
    <row r="84" spans="1:15" ht="12.75" customHeight="1">
      <c r="B84" s="1" t="s">
        <v>124</v>
      </c>
      <c r="E84" s="69"/>
      <c r="F84" s="69"/>
      <c r="G84" s="69"/>
      <c r="H84" s="69"/>
      <c r="I84" s="69"/>
      <c r="J84" s="69"/>
      <c r="K84" s="105">
        <f t="shared" si="6"/>
        <v>0</v>
      </c>
      <c r="L84" s="69"/>
      <c r="M84" s="105">
        <f t="shared" si="7"/>
        <v>0</v>
      </c>
      <c r="N84" s="90" t="s">
        <v>142</v>
      </c>
      <c r="O84" s="48"/>
    </row>
    <row r="85" spans="1:15" ht="12.75" customHeight="1">
      <c r="B85" s="1" t="s">
        <v>141</v>
      </c>
      <c r="E85" s="69"/>
      <c r="F85" s="69"/>
      <c r="G85" s="69"/>
      <c r="H85" s="69"/>
      <c r="I85" s="69"/>
      <c r="J85" s="69"/>
      <c r="K85" s="105">
        <f t="shared" si="6"/>
        <v>0</v>
      </c>
      <c r="L85" s="69"/>
      <c r="M85" s="105">
        <f t="shared" si="7"/>
        <v>0</v>
      </c>
      <c r="N85" s="90" t="s">
        <v>142</v>
      </c>
      <c r="O85" s="48"/>
    </row>
    <row r="86" spans="1:15" ht="12.75" customHeight="1">
      <c r="B86" s="1" t="s">
        <v>159</v>
      </c>
      <c r="E86" s="69"/>
      <c r="F86" s="69"/>
      <c r="G86" s="69"/>
      <c r="H86" s="69"/>
      <c r="I86" s="69"/>
      <c r="J86" s="69"/>
      <c r="K86" s="105">
        <f t="shared" si="6"/>
        <v>0</v>
      </c>
      <c r="L86" s="69"/>
      <c r="M86" s="105">
        <f t="shared" si="7"/>
        <v>0</v>
      </c>
      <c r="N86" s="90" t="s">
        <v>142</v>
      </c>
      <c r="O86" s="48"/>
    </row>
    <row r="87" spans="1:15" ht="12.75" customHeight="1">
      <c r="B87" s="1" t="s">
        <v>144</v>
      </c>
      <c r="E87" s="69"/>
      <c r="F87" s="69"/>
      <c r="G87" s="69"/>
      <c r="H87" s="69"/>
      <c r="I87" s="69"/>
      <c r="J87" s="69"/>
      <c r="K87" s="105">
        <f t="shared" si="6"/>
        <v>0</v>
      </c>
      <c r="L87" s="69"/>
      <c r="M87" s="105">
        <f t="shared" si="7"/>
        <v>0</v>
      </c>
      <c r="N87" s="90" t="s">
        <v>142</v>
      </c>
      <c r="O87" s="48"/>
    </row>
    <row r="88" spans="1:15" ht="12.75" customHeight="1">
      <c r="B88" s="1" t="s">
        <v>160</v>
      </c>
      <c r="E88" s="69"/>
      <c r="F88" s="69"/>
      <c r="G88" s="69"/>
      <c r="H88" s="69"/>
      <c r="I88" s="69"/>
      <c r="J88" s="69"/>
      <c r="K88" s="105">
        <f t="shared" si="6"/>
        <v>0</v>
      </c>
      <c r="L88" s="69"/>
      <c r="M88" s="105">
        <f t="shared" si="7"/>
        <v>0</v>
      </c>
      <c r="N88" s="90" t="s">
        <v>142</v>
      </c>
      <c r="O88" s="48"/>
    </row>
    <row r="89" spans="1:15" ht="12.75" customHeight="1">
      <c r="B89" s="1" t="s">
        <v>161</v>
      </c>
      <c r="E89" s="69"/>
      <c r="F89" s="69"/>
      <c r="G89" s="69"/>
      <c r="H89" s="69"/>
      <c r="I89" s="69"/>
      <c r="J89" s="69"/>
      <c r="K89" s="105">
        <f t="shared" si="6"/>
        <v>0</v>
      </c>
      <c r="L89" s="69"/>
      <c r="M89" s="105">
        <f t="shared" si="7"/>
        <v>0</v>
      </c>
      <c r="N89" s="90"/>
      <c r="O89" s="48"/>
    </row>
    <row r="90" spans="1:15" ht="12.75" customHeight="1">
      <c r="B90" s="1" t="s">
        <v>162</v>
      </c>
      <c r="E90" s="69"/>
      <c r="F90" s="69"/>
      <c r="G90" s="69"/>
      <c r="H90" s="69"/>
      <c r="I90" s="69"/>
      <c r="J90" s="69"/>
      <c r="K90" s="105">
        <f t="shared" si="6"/>
        <v>0</v>
      </c>
      <c r="L90" s="69"/>
      <c r="M90" s="105">
        <f t="shared" si="7"/>
        <v>0</v>
      </c>
      <c r="N90" s="90"/>
      <c r="O90" s="48"/>
    </row>
    <row r="91" spans="1:15" ht="12.75" customHeight="1">
      <c r="B91" s="1" t="s">
        <v>145</v>
      </c>
      <c r="E91" s="69"/>
      <c r="F91" s="69"/>
      <c r="G91" s="69"/>
      <c r="H91" s="69"/>
      <c r="I91" s="69"/>
      <c r="J91" s="69"/>
      <c r="K91" s="105">
        <f t="shared" si="6"/>
        <v>0</v>
      </c>
      <c r="L91" s="69"/>
      <c r="M91" s="105">
        <f t="shared" si="7"/>
        <v>0</v>
      </c>
      <c r="N91" s="90"/>
      <c r="O91" s="48"/>
    </row>
    <row r="92" spans="1:15" ht="12.75" customHeight="1">
      <c r="B92" s="1" t="s">
        <v>149</v>
      </c>
      <c r="E92" s="69"/>
      <c r="F92" s="69"/>
      <c r="G92" s="69"/>
      <c r="H92" s="69"/>
      <c r="I92" s="69"/>
      <c r="J92" s="69"/>
      <c r="K92" s="105">
        <f t="shared" si="6"/>
        <v>0</v>
      </c>
      <c r="L92" s="69"/>
      <c r="M92" s="105">
        <f t="shared" si="7"/>
        <v>0</v>
      </c>
      <c r="N92" s="90" t="s">
        <v>142</v>
      </c>
      <c r="O92" s="48"/>
    </row>
    <row r="93" spans="1:15" ht="12.75" customHeight="1">
      <c r="B93" s="1" t="s">
        <v>150</v>
      </c>
      <c r="E93" s="69"/>
      <c r="F93" s="69"/>
      <c r="G93" s="69"/>
      <c r="H93" s="69"/>
      <c r="I93" s="69"/>
      <c r="J93" s="69"/>
      <c r="K93" s="105">
        <f t="shared" si="6"/>
        <v>0</v>
      </c>
      <c r="L93" s="69"/>
      <c r="M93" s="105">
        <f t="shared" si="7"/>
        <v>0</v>
      </c>
      <c r="N93" s="90" t="s">
        <v>142</v>
      </c>
      <c r="O93" s="48"/>
    </row>
    <row r="94" spans="1:15" ht="12.75" customHeight="1">
      <c r="B94" s="1" t="s">
        <v>151</v>
      </c>
      <c r="E94" s="69"/>
      <c r="F94" s="69"/>
      <c r="G94" s="69"/>
      <c r="H94" s="69"/>
      <c r="I94" s="69"/>
      <c r="J94" s="69"/>
      <c r="K94" s="105">
        <f>+G94+I94</f>
        <v>0</v>
      </c>
      <c r="L94" s="69"/>
      <c r="M94" s="105">
        <f>E94-K94</f>
        <v>0</v>
      </c>
      <c r="N94" s="90" t="s">
        <v>142</v>
      </c>
      <c r="O94" s="48"/>
    </row>
    <row r="95" spans="1:15" ht="12.75" customHeight="1">
      <c r="B95" s="1" t="s">
        <v>152</v>
      </c>
      <c r="E95" s="69"/>
      <c r="F95" s="69"/>
      <c r="G95" s="69"/>
      <c r="H95" s="69"/>
      <c r="I95" s="69"/>
      <c r="J95" s="69"/>
      <c r="K95" s="105">
        <f t="shared" si="6"/>
        <v>0</v>
      </c>
      <c r="L95" s="69"/>
      <c r="M95" s="105">
        <f t="shared" si="7"/>
        <v>0</v>
      </c>
      <c r="N95" s="90" t="s">
        <v>142</v>
      </c>
      <c r="O95" s="48"/>
    </row>
    <row r="96" spans="1:15" ht="12.75" customHeight="1">
      <c r="B96" s="1" t="s">
        <v>153</v>
      </c>
      <c r="E96" s="69"/>
      <c r="F96" s="69"/>
      <c r="G96" s="69"/>
      <c r="H96" s="69"/>
      <c r="I96" s="69"/>
      <c r="J96" s="69"/>
      <c r="K96" s="105">
        <f>+G96+I96</f>
        <v>0</v>
      </c>
      <c r="L96" s="69"/>
      <c r="M96" s="105">
        <f>E96-K96</f>
        <v>0</v>
      </c>
      <c r="N96" s="90" t="s">
        <v>142</v>
      </c>
      <c r="O96" s="48"/>
    </row>
    <row r="97" spans="1:15" ht="12.75" customHeight="1">
      <c r="B97" s="1" t="s">
        <v>163</v>
      </c>
      <c r="E97" s="70"/>
      <c r="F97" s="69"/>
      <c r="G97" s="70"/>
      <c r="H97" s="69"/>
      <c r="I97" s="70"/>
      <c r="J97" s="69"/>
      <c r="K97" s="107">
        <f t="shared" si="6"/>
        <v>0</v>
      </c>
      <c r="L97" s="69"/>
      <c r="M97" s="107">
        <f t="shared" si="7"/>
        <v>0</v>
      </c>
      <c r="N97" s="90" t="s">
        <v>142</v>
      </c>
      <c r="O97" s="48"/>
    </row>
    <row r="98" spans="1:15" ht="12.75" customHeight="1">
      <c r="D98" s="1" t="s">
        <v>164</v>
      </c>
      <c r="E98" s="107">
        <f>SUM(E83:E97)</f>
        <v>0</v>
      </c>
      <c r="F98" s="69"/>
      <c r="G98" s="107">
        <f>SUM(G83:G97)</f>
        <v>0</v>
      </c>
      <c r="H98" s="69"/>
      <c r="I98" s="107">
        <f>SUM(I83:I97)</f>
        <v>0</v>
      </c>
      <c r="J98" s="69"/>
      <c r="K98" s="107">
        <f>SUM(K83:K97)</f>
        <v>0</v>
      </c>
      <c r="L98" s="69"/>
      <c r="M98" s="107">
        <f>SUM(M83:M97)</f>
        <v>0</v>
      </c>
      <c r="N98" s="90"/>
      <c r="O98" s="48"/>
    </row>
    <row r="99" spans="1:15" ht="12.75" customHeight="1">
      <c r="D99" s="1" t="s">
        <v>165</v>
      </c>
      <c r="E99" s="107">
        <f>E80+E98</f>
        <v>0</v>
      </c>
      <c r="F99" s="69"/>
      <c r="G99" s="107">
        <f>G80+G98</f>
        <v>0</v>
      </c>
      <c r="H99" s="69"/>
      <c r="I99" s="107">
        <f>I80+I98</f>
        <v>0</v>
      </c>
      <c r="J99" s="69"/>
      <c r="K99" s="107">
        <f>K80+K98</f>
        <v>0</v>
      </c>
      <c r="L99" s="69"/>
      <c r="M99" s="107">
        <f>M80+M98</f>
        <v>0</v>
      </c>
      <c r="N99" s="90"/>
      <c r="O99" s="48"/>
    </row>
    <row r="100" spans="1:15" ht="5.0999999999999996" customHeight="1">
      <c r="E100" s="19"/>
      <c r="F100" s="19"/>
      <c r="G100" s="19"/>
      <c r="H100" s="19"/>
      <c r="I100" s="19"/>
      <c r="J100" s="19"/>
      <c r="K100" s="74"/>
      <c r="L100" s="19"/>
      <c r="M100" s="74"/>
      <c r="N100" s="90"/>
      <c r="O100" s="48"/>
    </row>
    <row r="101" spans="1:15" ht="14.85" customHeight="1">
      <c r="A101" s="52" t="s">
        <v>166</v>
      </c>
      <c r="E101" s="19"/>
      <c r="F101" s="19"/>
      <c r="G101" s="19"/>
      <c r="H101" s="19"/>
      <c r="I101" s="19"/>
      <c r="J101" s="19"/>
      <c r="K101" s="74"/>
      <c r="L101" s="19"/>
      <c r="M101" s="74"/>
      <c r="N101" s="90"/>
      <c r="O101" s="48"/>
    </row>
    <row r="102" spans="1:15" ht="14.85" customHeight="1">
      <c r="A102" s="52"/>
      <c r="B102" s="1" t="s">
        <v>167</v>
      </c>
      <c r="E102" s="54"/>
      <c r="F102" s="54"/>
      <c r="G102" s="54"/>
      <c r="H102" s="54"/>
      <c r="I102" s="69"/>
      <c r="J102" s="19"/>
      <c r="K102" s="105">
        <f>+G102+I102</f>
        <v>0</v>
      </c>
      <c r="L102" s="69"/>
      <c r="M102" s="105">
        <f>E102-K102</f>
        <v>0</v>
      </c>
      <c r="N102" s="90" t="s">
        <v>168</v>
      </c>
      <c r="O102" s="48"/>
    </row>
    <row r="103" spans="1:15" ht="12.75" customHeight="1">
      <c r="A103" s="52"/>
      <c r="B103" s="1" t="s">
        <v>169</v>
      </c>
      <c r="E103" s="69"/>
      <c r="F103" s="69"/>
      <c r="G103" s="69"/>
      <c r="H103" s="69"/>
      <c r="I103" s="69"/>
      <c r="J103" s="69"/>
      <c r="K103" s="105">
        <f>+G103+I103</f>
        <v>0</v>
      </c>
      <c r="L103" s="69"/>
      <c r="M103" s="105">
        <f>E103-K103</f>
        <v>0</v>
      </c>
      <c r="N103" s="90" t="s">
        <v>170</v>
      </c>
      <c r="O103" s="48"/>
    </row>
    <row r="104" spans="1:15" ht="12.75" customHeight="1">
      <c r="A104" s="52"/>
      <c r="B104" s="1" t="s">
        <v>171</v>
      </c>
      <c r="E104" s="69"/>
      <c r="F104" s="69"/>
      <c r="G104" s="69"/>
      <c r="H104" s="69"/>
      <c r="I104" s="69"/>
      <c r="J104" s="69"/>
      <c r="K104" s="105">
        <f>+G104+I104</f>
        <v>0</v>
      </c>
      <c r="L104" s="69"/>
      <c r="M104" s="105">
        <f>E104-K104</f>
        <v>0</v>
      </c>
      <c r="N104" s="90" t="s">
        <v>172</v>
      </c>
      <c r="O104" s="48"/>
    </row>
    <row r="105" spans="1:15" ht="12.75" customHeight="1">
      <c r="A105" s="52"/>
      <c r="B105" s="1" t="s">
        <v>173</v>
      </c>
      <c r="E105" s="249"/>
      <c r="G105" s="249"/>
      <c r="I105" s="249"/>
      <c r="K105" s="107">
        <f>+G105+I105</f>
        <v>0</v>
      </c>
      <c r="M105" s="107">
        <f>E105-K105</f>
        <v>0</v>
      </c>
      <c r="N105" s="90" t="s">
        <v>174</v>
      </c>
      <c r="O105" s="234"/>
    </row>
    <row r="106" spans="1:15" ht="12.75" customHeight="1">
      <c r="A106" s="52"/>
      <c r="D106" s="1" t="s">
        <v>175</v>
      </c>
      <c r="E106" s="107">
        <f>SUM(E102:E105)</f>
        <v>0</v>
      </c>
      <c r="F106" s="69"/>
      <c r="G106" s="107">
        <f>SUM(G102:G105)</f>
        <v>0</v>
      </c>
      <c r="H106" s="69"/>
      <c r="I106" s="107">
        <f>SUM(I102:I105)</f>
        <v>0</v>
      </c>
      <c r="J106" s="69"/>
      <c r="K106" s="107">
        <f>SUM(K102:K105)</f>
        <v>0</v>
      </c>
      <c r="L106" s="69"/>
      <c r="M106" s="107">
        <f>SUM(M102:M105)</f>
        <v>0</v>
      </c>
      <c r="N106" s="90"/>
      <c r="O106" s="48"/>
    </row>
    <row r="107" spans="1:15" ht="18" customHeight="1">
      <c r="E107" s="69"/>
      <c r="F107" s="69"/>
      <c r="G107" s="69"/>
      <c r="H107" s="69"/>
      <c r="I107" s="69"/>
      <c r="J107" s="69"/>
      <c r="K107" s="75"/>
      <c r="L107" s="69"/>
      <c r="M107" s="75"/>
      <c r="N107" s="90"/>
      <c r="O107" s="48"/>
    </row>
    <row r="108" spans="1:15" ht="14.85" customHeight="1">
      <c r="A108" s="52" t="s">
        <v>176</v>
      </c>
      <c r="E108" s="213"/>
      <c r="F108" s="69"/>
      <c r="G108" s="213"/>
      <c r="H108" s="69"/>
      <c r="I108" s="213"/>
      <c r="J108" s="69"/>
      <c r="K108" s="105"/>
      <c r="L108" s="69"/>
      <c r="M108" s="105"/>
      <c r="N108" s="90"/>
      <c r="O108" s="48"/>
    </row>
    <row r="109" spans="1:15" ht="12.75" customHeight="1" thickBot="1">
      <c r="D109" s="1" t="s">
        <v>177</v>
      </c>
      <c r="E109" s="111">
        <f>+E46+E53-E99-E106</f>
        <v>0</v>
      </c>
      <c r="F109" s="68"/>
      <c r="G109" s="111">
        <f>+G46+G53-G99-G106</f>
        <v>0</v>
      </c>
      <c r="H109" s="68"/>
      <c r="I109" s="111">
        <f>+I46+I53-I99-I106</f>
        <v>0</v>
      </c>
      <c r="J109" s="68"/>
      <c r="K109" s="111">
        <f>+K46+K53-K99-K106</f>
        <v>0</v>
      </c>
      <c r="L109" s="68"/>
      <c r="M109" s="111">
        <f>+M46+M53-M99-M106</f>
        <v>0</v>
      </c>
      <c r="N109" s="90"/>
      <c r="O109" s="48"/>
    </row>
    <row r="110" spans="1:15" ht="3.95" customHeight="1" thickTop="1">
      <c r="A110" s="49"/>
      <c r="B110" s="49"/>
      <c r="C110" s="49"/>
      <c r="D110" s="49"/>
      <c r="E110" s="49"/>
      <c r="F110" s="49"/>
      <c r="G110" s="49"/>
      <c r="H110" s="49"/>
      <c r="I110" s="49"/>
      <c r="J110" s="49"/>
      <c r="K110" s="59"/>
      <c r="L110" s="59"/>
      <c r="M110" s="49"/>
    </row>
    <row r="111" spans="1:15" ht="3.95" customHeight="1">
      <c r="A111" s="49"/>
      <c r="B111" s="49"/>
      <c r="C111" s="49"/>
      <c r="D111" s="49"/>
      <c r="E111" s="49"/>
      <c r="F111" s="49"/>
      <c r="G111" s="49"/>
      <c r="H111" s="49"/>
      <c r="I111" s="49"/>
      <c r="J111" s="49"/>
      <c r="K111" s="59"/>
      <c r="L111" s="59"/>
      <c r="M111" s="49"/>
    </row>
    <row r="112" spans="1:15" ht="12.75" customHeight="1">
      <c r="A112" s="5"/>
      <c r="B112" s="6"/>
      <c r="C112" s="6"/>
      <c r="D112" s="6"/>
      <c r="E112" s="6"/>
      <c r="F112" s="6"/>
      <c r="G112" s="6"/>
      <c r="H112" s="6"/>
      <c r="I112" s="6"/>
      <c r="J112" s="6"/>
      <c r="K112" s="6"/>
      <c r="L112" s="6"/>
      <c r="M112" s="58"/>
    </row>
    <row r="113" spans="1:7">
      <c r="A113" s="101" t="s">
        <v>178</v>
      </c>
    </row>
    <row r="114" spans="1:7" ht="6" hidden="1" customHeight="1"/>
    <row r="115" spans="1:7">
      <c r="A115" s="2" t="s">
        <v>179</v>
      </c>
      <c r="B115" s="1" t="s">
        <v>180</v>
      </c>
    </row>
    <row r="116" spans="1:7">
      <c r="B116" s="1" t="s">
        <v>181</v>
      </c>
      <c r="E116" s="24" t="str">
        <f>IF(ROUND((E46+E53-E99-E106),2)=E109,"OK","ERROR")</f>
        <v>OK</v>
      </c>
      <c r="G116" s="24" t="str">
        <f>IF(ROUND((G46+G53-G99-G106),2)=G109,"OK","ERROR")</f>
        <v>OK</v>
      </c>
    </row>
  </sheetData>
  <sheetProtection algorithmName="SHA-512" hashValue="V1qWyJAvn0E+JD/wim5/HCjQnzuepnr4ZhBrwjoPR6zu8wMBJQhO9i8i8289oJSI+l6UeaKcqWDx499GDaBcOQ==" saltValue="t3Q7hwCPsfxi7Bl37UIO3g==" spinCount="100000" sheet="1" autoFilter="0"/>
  <mergeCells count="3">
    <mergeCell ref="A2:M2"/>
    <mergeCell ref="A3:M3"/>
    <mergeCell ref="A4:M4"/>
  </mergeCells>
  <phoneticPr fontId="0" type="noConversion"/>
  <conditionalFormatting sqref="E116">
    <cfRule type="cellIs" dxfId="83" priority="2" stopIfTrue="1" operator="equal">
      <formula>"ERROR"</formula>
    </cfRule>
  </conditionalFormatting>
  <conditionalFormatting sqref="G116">
    <cfRule type="cellIs" dxfId="82" priority="1" stopIfTrue="1" operator="equal">
      <formula>"ERROR"</formula>
    </cfRule>
  </conditionalFormatting>
  <pageMargins left="0.4" right="0.4" top="0.5" bottom="0.5" header="0.5" footer="0.25"/>
  <pageSetup scale="83" fitToHeight="0" orientation="landscape" r:id="rId1"/>
  <headerFooter alignWithMargins="0">
    <oddFooter>Page &amp;P of &amp;N</oddFooter>
  </headerFooter>
  <rowBreaks count="2" manualBreakCount="2">
    <brk id="46" max="13" man="1"/>
    <brk id="80"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H67"/>
  <sheetViews>
    <sheetView zoomScaleNormal="100" workbookViewId="0">
      <selection activeCell="E10" sqref="E10"/>
    </sheetView>
  </sheetViews>
  <sheetFormatPr defaultRowHeight="12.75"/>
  <cols>
    <col min="1" max="3" width="2.7109375" customWidth="1"/>
    <col min="4" max="4" width="55.28515625" customWidth="1"/>
    <col min="5" max="5" width="20.7109375" customWidth="1"/>
    <col min="6" max="6" width="4.7109375" customWidth="1"/>
    <col min="8" max="8" width="15.42578125" bestFit="1" customWidth="1"/>
  </cols>
  <sheetData>
    <row r="1" spans="1:8" ht="19.5">
      <c r="A1" s="6"/>
      <c r="B1" s="6"/>
      <c r="C1" s="6"/>
      <c r="D1" s="6"/>
      <c r="E1" s="7" t="s">
        <v>182</v>
      </c>
    </row>
    <row r="2" spans="1:8" ht="12.75" customHeight="1">
      <c r="A2" s="5"/>
      <c r="B2" s="6"/>
      <c r="C2" s="6"/>
      <c r="D2" s="6"/>
      <c r="E2" s="6"/>
      <c r="F2" s="6"/>
    </row>
    <row r="3" spans="1:8" ht="20.25">
      <c r="A3" s="285" t="str">
        <f>Info!C4</f>
        <v>Select Proprietary Fund (Click Here)</v>
      </c>
      <c r="B3" s="285"/>
      <c r="C3" s="285"/>
      <c r="D3" s="285"/>
      <c r="E3" s="285"/>
      <c r="F3" s="268"/>
    </row>
    <row r="4" spans="1:8" ht="20.25">
      <c r="A4" s="285" t="s">
        <v>183</v>
      </c>
      <c r="B4" s="285"/>
      <c r="C4" s="285"/>
      <c r="D4" s="285"/>
      <c r="E4" s="285"/>
      <c r="F4" s="268"/>
    </row>
    <row r="5" spans="1:8" ht="20.25">
      <c r="A5" s="285" t="s">
        <v>184</v>
      </c>
      <c r="B5" s="285"/>
      <c r="C5" s="285"/>
      <c r="D5" s="285"/>
      <c r="E5" s="285"/>
      <c r="F5" s="268"/>
    </row>
    <row r="6" spans="1:8" ht="12.75" hidden="1" customHeight="1" thickBot="1">
      <c r="A6" s="8"/>
      <c r="B6" s="8"/>
      <c r="C6" s="8"/>
      <c r="D6" s="8"/>
      <c r="E6" s="8"/>
      <c r="F6" s="11"/>
    </row>
    <row r="8" spans="1:8">
      <c r="E8" s="2" t="s">
        <v>185</v>
      </c>
    </row>
    <row r="9" spans="1:8">
      <c r="E9" s="10">
        <v>2024</v>
      </c>
      <c r="F9" s="15"/>
    </row>
    <row r="10" spans="1:8">
      <c r="A10" s="12" t="s">
        <v>186</v>
      </c>
      <c r="F10" s="15"/>
    </row>
    <row r="11" spans="1:8">
      <c r="B11" t="s">
        <v>187</v>
      </c>
      <c r="E11" s="68"/>
      <c r="F11" s="27" t="s">
        <v>188</v>
      </c>
      <c r="H11" s="138"/>
    </row>
    <row r="12" spans="1:8" ht="13.5">
      <c r="B12" s="1" t="s">
        <v>189</v>
      </c>
      <c r="E12" s="69"/>
      <c r="F12" s="27" t="s">
        <v>190</v>
      </c>
      <c r="G12" s="48"/>
    </row>
    <row r="13" spans="1:8">
      <c r="B13" s="1" t="s">
        <v>191</v>
      </c>
      <c r="E13" s="69"/>
      <c r="F13" s="27" t="s">
        <v>192</v>
      </c>
    </row>
    <row r="14" spans="1:8">
      <c r="B14" s="1" t="s">
        <v>193</v>
      </c>
      <c r="E14" s="69"/>
      <c r="F14" s="27" t="s">
        <v>194</v>
      </c>
    </row>
    <row r="15" spans="1:8">
      <c r="B15" s="1" t="s">
        <v>195</v>
      </c>
      <c r="E15" s="69"/>
      <c r="F15" s="27" t="s">
        <v>196</v>
      </c>
    </row>
    <row r="16" spans="1:8">
      <c r="B16" s="1" t="s">
        <v>197</v>
      </c>
      <c r="E16" s="69"/>
      <c r="F16" s="27" t="s">
        <v>198</v>
      </c>
    </row>
    <row r="17" spans="1:6">
      <c r="B17" s="1" t="s">
        <v>199</v>
      </c>
      <c r="E17" s="69"/>
      <c r="F17" s="27" t="s">
        <v>200</v>
      </c>
    </row>
    <row r="18" spans="1:6">
      <c r="B18" s="1" t="s">
        <v>201</v>
      </c>
      <c r="E18" s="69"/>
      <c r="F18" s="27" t="s">
        <v>202</v>
      </c>
    </row>
    <row r="19" spans="1:6">
      <c r="B19" t="s">
        <v>203</v>
      </c>
      <c r="E19" s="70"/>
      <c r="F19" s="27" t="s">
        <v>204</v>
      </c>
    </row>
    <row r="20" spans="1:6">
      <c r="C20" t="s">
        <v>205</v>
      </c>
      <c r="E20" s="107">
        <f>SUM(E11:E19)</f>
        <v>0</v>
      </c>
      <c r="F20" s="27"/>
    </row>
    <row r="21" spans="1:6" ht="9.9499999999999993" customHeight="1">
      <c r="E21" s="17"/>
      <c r="F21" s="27"/>
    </row>
    <row r="22" spans="1:6">
      <c r="A22" s="12" t="s">
        <v>206</v>
      </c>
      <c r="E22" s="17"/>
      <c r="F22" s="27"/>
    </row>
    <row r="23" spans="1:6">
      <c r="B23" s="1" t="s">
        <v>207</v>
      </c>
      <c r="E23" s="69"/>
      <c r="F23" s="27" t="s">
        <v>208</v>
      </c>
    </row>
    <row r="24" spans="1:6">
      <c r="B24" s="1" t="s">
        <v>209</v>
      </c>
      <c r="E24" s="69"/>
      <c r="F24" s="27" t="s">
        <v>210</v>
      </c>
    </row>
    <row r="25" spans="1:6">
      <c r="B25" t="s">
        <v>211</v>
      </c>
      <c r="E25" s="69"/>
      <c r="F25" s="27" t="s">
        <v>212</v>
      </c>
    </row>
    <row r="26" spans="1:6">
      <c r="B26" t="s">
        <v>213</v>
      </c>
      <c r="E26" s="69"/>
      <c r="F26" s="27" t="s">
        <v>214</v>
      </c>
    </row>
    <row r="27" spans="1:6">
      <c r="B27" s="1" t="s">
        <v>215</v>
      </c>
      <c r="E27" s="69"/>
      <c r="F27" s="27" t="s">
        <v>216</v>
      </c>
    </row>
    <row r="28" spans="1:6">
      <c r="B28" t="s">
        <v>217</v>
      </c>
      <c r="E28" s="69"/>
      <c r="F28" s="27" t="s">
        <v>218</v>
      </c>
    </row>
    <row r="29" spans="1:6">
      <c r="B29" s="1" t="s">
        <v>219</v>
      </c>
      <c r="E29" s="69"/>
      <c r="F29" s="27" t="s">
        <v>220</v>
      </c>
    </row>
    <row r="30" spans="1:6">
      <c r="B30" s="1" t="s">
        <v>221</v>
      </c>
      <c r="E30" s="69"/>
      <c r="F30" s="27" t="s">
        <v>222</v>
      </c>
    </row>
    <row r="31" spans="1:6">
      <c r="B31" s="1" t="s">
        <v>223</v>
      </c>
      <c r="E31" s="69"/>
      <c r="F31" s="27" t="s">
        <v>224</v>
      </c>
    </row>
    <row r="32" spans="1:6">
      <c r="B32" s="1" t="s">
        <v>225</v>
      </c>
      <c r="E32" s="69"/>
      <c r="F32" s="27" t="s">
        <v>226</v>
      </c>
    </row>
    <row r="33" spans="1:7" ht="13.5">
      <c r="B33" s="1" t="s">
        <v>227</v>
      </c>
      <c r="E33" s="70"/>
      <c r="F33" s="27" t="s">
        <v>228</v>
      </c>
      <c r="G33" s="48"/>
    </row>
    <row r="34" spans="1:7">
      <c r="C34" t="s">
        <v>229</v>
      </c>
      <c r="E34" s="107">
        <f>SUM(E23:E33)</f>
        <v>0</v>
      </c>
      <c r="F34" s="27"/>
    </row>
    <row r="35" spans="1:7">
      <c r="D35" s="1" t="s">
        <v>230</v>
      </c>
      <c r="E35" s="107">
        <f>E20-E34</f>
        <v>0</v>
      </c>
      <c r="F35" s="27"/>
    </row>
    <row r="36" spans="1:7" ht="9.9499999999999993" customHeight="1">
      <c r="E36" s="17"/>
      <c r="F36" s="27"/>
    </row>
    <row r="37" spans="1:7">
      <c r="A37" s="12" t="s">
        <v>231</v>
      </c>
      <c r="E37" s="17"/>
      <c r="F37" s="27"/>
    </row>
    <row r="38" spans="1:7">
      <c r="B38" s="1" t="s">
        <v>232</v>
      </c>
      <c r="E38" s="69"/>
      <c r="F38" s="27" t="s">
        <v>233</v>
      </c>
    </row>
    <row r="39" spans="1:7">
      <c r="B39" s="1" t="s">
        <v>234</v>
      </c>
      <c r="E39" s="69"/>
      <c r="F39" s="27" t="s">
        <v>235</v>
      </c>
    </row>
    <row r="40" spans="1:7">
      <c r="B40" s="1" t="s">
        <v>236</v>
      </c>
      <c r="E40" s="69"/>
      <c r="F40" s="27" t="s">
        <v>237</v>
      </c>
    </row>
    <row r="41" spans="1:7">
      <c r="B41" s="1" t="s">
        <v>238</v>
      </c>
      <c r="E41" s="69"/>
      <c r="F41" s="27" t="s">
        <v>239</v>
      </c>
    </row>
    <row r="42" spans="1:7">
      <c r="B42" s="1" t="s">
        <v>240</v>
      </c>
      <c r="E42" s="69"/>
      <c r="F42" s="27" t="s">
        <v>241</v>
      </c>
    </row>
    <row r="43" spans="1:7">
      <c r="B43" s="1" t="s">
        <v>242</v>
      </c>
      <c r="E43" s="69"/>
      <c r="F43" s="27" t="s">
        <v>243</v>
      </c>
    </row>
    <row r="44" spans="1:7">
      <c r="B44" s="1" t="s">
        <v>244</v>
      </c>
      <c r="E44" s="69"/>
      <c r="F44" s="27" t="s">
        <v>245</v>
      </c>
    </row>
    <row r="45" spans="1:7">
      <c r="B45" s="1" t="s">
        <v>246</v>
      </c>
      <c r="E45" s="69"/>
      <c r="F45" s="27" t="s">
        <v>70</v>
      </c>
    </row>
    <row r="46" spans="1:7">
      <c r="B46" s="1" t="s">
        <v>247</v>
      </c>
      <c r="E46" s="69"/>
      <c r="F46" s="27" t="s">
        <v>70</v>
      </c>
    </row>
    <row r="47" spans="1:7">
      <c r="B47" s="1" t="s">
        <v>248</v>
      </c>
      <c r="E47" s="69"/>
      <c r="F47" s="27" t="s">
        <v>249</v>
      </c>
    </row>
    <row r="48" spans="1:7">
      <c r="B48" s="1" t="s">
        <v>250</v>
      </c>
      <c r="E48" s="69"/>
      <c r="F48" s="27" t="s">
        <v>251</v>
      </c>
    </row>
    <row r="49" spans="1:7">
      <c r="B49" s="1" t="s">
        <v>252</v>
      </c>
      <c r="E49" s="69"/>
      <c r="F49" s="27" t="s">
        <v>253</v>
      </c>
    </row>
    <row r="50" spans="1:7">
      <c r="B50" s="1" t="s">
        <v>254</v>
      </c>
      <c r="E50" s="70"/>
      <c r="F50" s="27" t="s">
        <v>255</v>
      </c>
    </row>
    <row r="51" spans="1:7">
      <c r="B51" s="1"/>
      <c r="C51" s="1" t="s">
        <v>256</v>
      </c>
      <c r="E51" s="107">
        <f>+SUM(E38:E50)</f>
        <v>0</v>
      </c>
      <c r="F51" s="27"/>
    </row>
    <row r="52" spans="1:7">
      <c r="D52" s="1" t="s">
        <v>257</v>
      </c>
      <c r="E52" s="107">
        <f>E35+E51</f>
        <v>0</v>
      </c>
      <c r="F52" s="27"/>
    </row>
    <row r="53" spans="1:7">
      <c r="B53" t="s">
        <v>258</v>
      </c>
      <c r="E53" s="69"/>
      <c r="F53" s="27" t="s">
        <v>259</v>
      </c>
    </row>
    <row r="54" spans="1:7" ht="13.5">
      <c r="B54" t="s">
        <v>260</v>
      </c>
      <c r="E54" s="69"/>
      <c r="F54" s="27" t="s">
        <v>261</v>
      </c>
      <c r="G54" s="48"/>
    </row>
    <row r="55" spans="1:7">
      <c r="B55" s="1" t="s">
        <v>262</v>
      </c>
      <c r="E55" s="69"/>
      <c r="F55" s="27" t="s">
        <v>70</v>
      </c>
    </row>
    <row r="56" spans="1:7">
      <c r="B56" s="1" t="s">
        <v>263</v>
      </c>
      <c r="E56" s="70"/>
      <c r="F56" s="27" t="s">
        <v>264</v>
      </c>
    </row>
    <row r="57" spans="1:7">
      <c r="D57" t="s">
        <v>265</v>
      </c>
      <c r="E57" s="107">
        <f>SUM(E52:E56)</f>
        <v>0</v>
      </c>
      <c r="F57" s="15"/>
    </row>
    <row r="58" spans="1:7">
      <c r="A58" s="1" t="s">
        <v>266</v>
      </c>
      <c r="E58" s="69"/>
      <c r="F58" s="15"/>
    </row>
    <row r="59" spans="1:7">
      <c r="A59" t="s">
        <v>59</v>
      </c>
      <c r="E59" s="70">
        <v>0</v>
      </c>
      <c r="F59" s="15"/>
    </row>
    <row r="60" spans="1:7" ht="13.5" thickBot="1">
      <c r="A60" t="s">
        <v>267</v>
      </c>
      <c r="E60" s="113">
        <f>SUM(E57:E59)</f>
        <v>0</v>
      </c>
      <c r="F60" s="15"/>
    </row>
    <row r="61" spans="1:7" ht="6" customHeight="1" thickTop="1">
      <c r="E61" s="18"/>
      <c r="F61" s="15"/>
    </row>
    <row r="62" spans="1:7" ht="9.9499999999999993" hidden="1" customHeight="1"/>
    <row r="63" spans="1:7">
      <c r="A63" s="25" t="s">
        <v>268</v>
      </c>
    </row>
    <row r="64" spans="1:7" ht="6" customHeight="1"/>
    <row r="65" spans="1:5">
      <c r="A65" s="15" t="s">
        <v>179</v>
      </c>
      <c r="B65" t="s">
        <v>269</v>
      </c>
      <c r="E65" s="24" t="str">
        <f>IF(E60='Exh A'!E109,"OK","ERROR")</f>
        <v>OK</v>
      </c>
    </row>
    <row r="66" spans="1:5">
      <c r="A66" s="15" t="s">
        <v>179</v>
      </c>
      <c r="B66" s="1" t="s">
        <v>270</v>
      </c>
      <c r="E66" s="24" t="str">
        <f>IF(E58+E59='Exh A'!K109,"OK","ERROR")</f>
        <v>OK</v>
      </c>
    </row>
    <row r="67" spans="1:5">
      <c r="A67" s="15" t="s">
        <v>179</v>
      </c>
      <c r="B67" t="s">
        <v>271</v>
      </c>
      <c r="E67" s="24" t="str">
        <f>IF(E59='Exh A'!I109,"OK","ERROR")</f>
        <v>OK</v>
      </c>
    </row>
  </sheetData>
  <sheetProtection algorithmName="SHA-512" hashValue="HPlOJn35Hgn5hGi6oh2YwM3lnKQJ6Ju8EQQqhm2TfcC3Qn+MIcswy/ItrD1j0EVvKfUDg2WBuOGrJmw0yrtf0g==" saltValue="sLNobsKAkqxi3m0GyZN+yA==" spinCount="100000" sheet="1" autoFilter="0"/>
  <mergeCells count="3">
    <mergeCell ref="A3:E3"/>
    <mergeCell ref="A4:E4"/>
    <mergeCell ref="A5:E5"/>
  </mergeCells>
  <phoneticPr fontId="0" type="noConversion"/>
  <conditionalFormatting sqref="E65:E67">
    <cfRule type="cellIs" dxfId="81" priority="1" stopIfTrue="1" operator="equal">
      <formula>"ERROR"</formula>
    </cfRule>
  </conditionalFormatting>
  <pageMargins left="0.85" right="0.85" top="0.4" bottom="0.4" header="0.5" footer="0.25"/>
  <pageSetup scale="90"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N107"/>
  <sheetViews>
    <sheetView zoomScaleNormal="100" workbookViewId="0">
      <selection activeCell="F28" sqref="F28"/>
    </sheetView>
  </sheetViews>
  <sheetFormatPr defaultRowHeight="12.75"/>
  <cols>
    <col min="1" max="4" width="2.7109375" customWidth="1"/>
    <col min="5" max="5" width="38.5703125" customWidth="1"/>
    <col min="6" max="6" width="16.7109375" customWidth="1"/>
    <col min="7" max="7" width="3.5703125" customWidth="1"/>
    <col min="8" max="8" width="13.7109375" customWidth="1"/>
    <col min="9" max="9" width="1.7109375" customWidth="1"/>
    <col min="10" max="10" width="15.140625" customWidth="1"/>
    <col min="11" max="11" width="1.7109375" customWidth="1"/>
    <col min="12" max="12" width="14.7109375" customWidth="1"/>
    <col min="13" max="13" width="1.7109375" customWidth="1"/>
    <col min="14" max="14" width="16.85546875" customWidth="1"/>
  </cols>
  <sheetData>
    <row r="1" spans="1:14">
      <c r="A1" s="12" t="str">
        <f>Info!C4</f>
        <v>Select Proprietary Fund (Click Here)</v>
      </c>
      <c r="B1" s="12"/>
      <c r="N1" s="28" t="s">
        <v>272</v>
      </c>
    </row>
    <row r="2" spans="1:14">
      <c r="A2" s="12" t="s">
        <v>273</v>
      </c>
    </row>
    <row r="3" spans="1:14">
      <c r="A3" s="12" t="s">
        <v>184</v>
      </c>
    </row>
    <row r="4" spans="1:14" ht="13.5" thickBot="1">
      <c r="A4" s="23"/>
      <c r="B4" s="16"/>
      <c r="C4" s="16"/>
      <c r="D4" s="16"/>
      <c r="E4" s="16"/>
      <c r="F4" s="16"/>
      <c r="G4" s="16"/>
      <c r="H4" s="16"/>
      <c r="I4" s="16"/>
      <c r="J4" s="16"/>
      <c r="K4" s="16"/>
      <c r="L4" s="16"/>
      <c r="M4" s="16"/>
      <c r="N4" s="16"/>
    </row>
    <row r="5" spans="1:14">
      <c r="A5" s="12"/>
    </row>
    <row r="6" spans="1:14">
      <c r="A6" s="49"/>
      <c r="B6" s="49"/>
      <c r="C6" s="49"/>
      <c r="D6" s="49"/>
      <c r="E6" s="49"/>
      <c r="F6" s="34" t="s">
        <v>274</v>
      </c>
      <c r="G6" s="34"/>
      <c r="H6" s="34" t="s">
        <v>275</v>
      </c>
      <c r="I6" s="34"/>
      <c r="J6" s="34" t="s">
        <v>276</v>
      </c>
      <c r="K6" s="34"/>
      <c r="L6" s="34" t="s">
        <v>277</v>
      </c>
      <c r="M6" s="34"/>
      <c r="N6" s="34" t="s">
        <v>278</v>
      </c>
    </row>
    <row r="7" spans="1:14">
      <c r="A7" s="49"/>
      <c r="B7" s="49"/>
      <c r="C7" s="49"/>
      <c r="D7" s="49"/>
      <c r="E7" s="49"/>
      <c r="F7" s="35" t="s">
        <v>279</v>
      </c>
      <c r="G7" s="34"/>
      <c r="H7" s="35" t="s">
        <v>280</v>
      </c>
      <c r="I7" s="36"/>
      <c r="J7" s="35" t="s">
        <v>281</v>
      </c>
      <c r="K7" s="36"/>
      <c r="L7" s="35" t="s">
        <v>282</v>
      </c>
      <c r="M7" s="36"/>
      <c r="N7" s="35" t="s">
        <v>283</v>
      </c>
    </row>
    <row r="8" spans="1:14">
      <c r="A8" s="37" t="s">
        <v>284</v>
      </c>
      <c r="B8" s="49"/>
      <c r="C8" s="49"/>
      <c r="D8" s="49"/>
      <c r="E8" s="49"/>
      <c r="F8" s="38"/>
      <c r="G8" s="38"/>
      <c r="H8" s="38"/>
      <c r="I8" s="38"/>
      <c r="J8" s="38"/>
      <c r="K8" s="38"/>
      <c r="L8" s="38"/>
      <c r="M8" s="38"/>
      <c r="N8" s="38"/>
    </row>
    <row r="9" spans="1:14">
      <c r="A9" s="49"/>
      <c r="B9" s="49" t="s">
        <v>285</v>
      </c>
      <c r="C9" s="49"/>
      <c r="D9" s="49"/>
      <c r="E9" s="49"/>
      <c r="F9" s="68"/>
      <c r="G9" s="250"/>
      <c r="H9" s="68"/>
      <c r="I9" s="250"/>
      <c r="J9" s="68"/>
      <c r="K9" s="250"/>
      <c r="L9" s="68"/>
      <c r="M9" s="250"/>
      <c r="N9" s="110">
        <f>F9+H9+J9-L9</f>
        <v>0</v>
      </c>
    </row>
    <row r="10" spans="1:14">
      <c r="A10" s="49"/>
      <c r="B10" s="49" t="s">
        <v>286</v>
      </c>
      <c r="C10" s="49"/>
      <c r="D10" s="49"/>
      <c r="E10" s="49"/>
      <c r="F10" s="69"/>
      <c r="G10" s="250"/>
      <c r="H10" s="69"/>
      <c r="I10" s="251"/>
      <c r="J10" s="69"/>
      <c r="K10" s="250"/>
      <c r="L10" s="69"/>
      <c r="M10" s="250"/>
      <c r="N10" s="110">
        <f>F10+H10+J10-L10</f>
        <v>0</v>
      </c>
    </row>
    <row r="11" spans="1:14">
      <c r="A11" s="49"/>
      <c r="B11" s="49" t="s">
        <v>287</v>
      </c>
      <c r="C11" s="49"/>
      <c r="D11" s="49"/>
      <c r="E11" s="49"/>
      <c r="F11" s="70"/>
      <c r="G11" s="59"/>
      <c r="H11" s="70"/>
      <c r="I11" s="59"/>
      <c r="J11" s="70"/>
      <c r="K11" s="59"/>
      <c r="L11" s="70"/>
      <c r="M11" s="59"/>
      <c r="N11" s="107">
        <f>F11+H11+J11-L11</f>
        <v>0</v>
      </c>
    </row>
    <row r="12" spans="1:14">
      <c r="A12" s="49"/>
      <c r="B12" s="49"/>
      <c r="C12" s="76" t="s">
        <v>288</v>
      </c>
      <c r="D12" s="76"/>
      <c r="E12" s="76"/>
      <c r="F12" s="107">
        <f>SUM(F9:F11)</f>
        <v>0</v>
      </c>
      <c r="G12" s="59"/>
      <c r="H12" s="107">
        <f>SUM(H9:H11)</f>
        <v>0</v>
      </c>
      <c r="I12" s="59"/>
      <c r="J12" s="107">
        <f>SUM(J9:J11)</f>
        <v>0</v>
      </c>
      <c r="K12" s="59"/>
      <c r="L12" s="107">
        <f>SUM(L9:L11)</f>
        <v>0</v>
      </c>
      <c r="M12" s="59"/>
      <c r="N12" s="107">
        <f>SUM(N9:N11)</f>
        <v>0</v>
      </c>
    </row>
    <row r="13" spans="1:14">
      <c r="A13" s="49"/>
      <c r="B13" s="49"/>
      <c r="C13" s="49" t="s">
        <v>289</v>
      </c>
      <c r="D13" s="49"/>
      <c r="E13" s="49"/>
      <c r="F13" s="39" t="str">
        <f>IF(F12+H12='Exh A'!K43,"OK","ERROR")</f>
        <v>OK</v>
      </c>
      <c r="G13" s="39"/>
      <c r="H13" s="59"/>
      <c r="I13" s="59"/>
      <c r="J13" s="59"/>
      <c r="K13" s="59"/>
      <c r="L13" s="59"/>
      <c r="M13" s="59"/>
      <c r="N13" s="39" t="str">
        <f>IF(N12='Exh A'!E43,"OK","ERROR")</f>
        <v>OK</v>
      </c>
    </row>
    <row r="14" spans="1:14">
      <c r="A14" s="37" t="s">
        <v>290</v>
      </c>
      <c r="B14" s="49"/>
      <c r="C14" s="49"/>
      <c r="D14" s="49"/>
      <c r="E14" s="49"/>
      <c r="F14" s="59"/>
      <c r="G14" s="59"/>
      <c r="H14" s="59"/>
      <c r="I14" s="59"/>
      <c r="J14" s="59"/>
      <c r="K14" s="59"/>
      <c r="L14" s="59"/>
      <c r="M14" s="59"/>
      <c r="N14" s="59"/>
    </row>
    <row r="15" spans="1:14">
      <c r="A15" s="49"/>
      <c r="B15" s="49" t="s">
        <v>291</v>
      </c>
      <c r="C15" s="49"/>
      <c r="D15" s="49"/>
      <c r="E15" s="49"/>
      <c r="F15" s="69"/>
      <c r="G15" s="69"/>
      <c r="H15" s="69"/>
      <c r="I15" s="69"/>
      <c r="J15" s="69"/>
      <c r="K15" s="69"/>
      <c r="L15" s="69"/>
      <c r="M15" s="69"/>
      <c r="N15" s="105">
        <f t="shared" ref="N15:N22" si="0">F15+H15+J15-L15</f>
        <v>0</v>
      </c>
    </row>
    <row r="16" spans="1:14">
      <c r="A16" s="49"/>
      <c r="B16" s="49" t="s">
        <v>292</v>
      </c>
      <c r="C16" s="49"/>
      <c r="D16" s="49"/>
      <c r="E16" s="49"/>
      <c r="F16" s="69"/>
      <c r="G16" s="69"/>
      <c r="H16" s="69"/>
      <c r="I16" s="69"/>
      <c r="J16" s="69"/>
      <c r="K16" s="69"/>
      <c r="L16" s="69"/>
      <c r="M16" s="69"/>
      <c r="N16" s="105">
        <f t="shared" si="0"/>
        <v>0</v>
      </c>
    </row>
    <row r="17" spans="1:14">
      <c r="A17" s="49"/>
      <c r="B17" s="49" t="s">
        <v>293</v>
      </c>
      <c r="C17" s="49"/>
      <c r="D17" s="49"/>
      <c r="E17" s="49"/>
      <c r="F17" s="69"/>
      <c r="G17" s="69"/>
      <c r="H17" s="69"/>
      <c r="I17" s="69"/>
      <c r="J17" s="69"/>
      <c r="K17" s="69"/>
      <c r="L17" s="69"/>
      <c r="M17" s="69"/>
      <c r="N17" s="105">
        <f t="shared" si="0"/>
        <v>0</v>
      </c>
    </row>
    <row r="18" spans="1:14">
      <c r="A18" s="49"/>
      <c r="B18" s="49" t="s">
        <v>294</v>
      </c>
      <c r="C18" s="49"/>
      <c r="D18" s="49"/>
      <c r="E18" s="49"/>
      <c r="F18" s="69"/>
      <c r="G18" s="69"/>
      <c r="H18" s="69"/>
      <c r="I18" s="69"/>
      <c r="J18" s="69"/>
      <c r="K18" s="69"/>
      <c r="L18" s="69"/>
      <c r="M18" s="69"/>
      <c r="N18" s="105">
        <f t="shared" si="0"/>
        <v>0</v>
      </c>
    </row>
    <row r="19" spans="1:14">
      <c r="A19" s="49"/>
      <c r="B19" s="49" t="s">
        <v>295</v>
      </c>
      <c r="C19" s="49"/>
      <c r="D19" s="49"/>
      <c r="E19" s="49"/>
      <c r="F19" s="69"/>
      <c r="G19" s="69"/>
      <c r="H19" s="69"/>
      <c r="I19" s="69"/>
      <c r="J19" s="69"/>
      <c r="K19" s="69"/>
      <c r="L19" s="69"/>
      <c r="M19" s="69"/>
      <c r="N19" s="105">
        <f t="shared" si="0"/>
        <v>0</v>
      </c>
    </row>
    <row r="20" spans="1:14">
      <c r="A20" s="49"/>
      <c r="B20" s="49" t="s">
        <v>296</v>
      </c>
      <c r="C20" s="49"/>
      <c r="D20" s="49"/>
      <c r="E20" s="49"/>
      <c r="F20" s="69"/>
      <c r="G20" s="69"/>
      <c r="H20" s="69"/>
      <c r="I20" s="69"/>
      <c r="J20" s="69"/>
      <c r="K20" s="69"/>
      <c r="L20" s="69"/>
      <c r="M20" s="69"/>
      <c r="N20" s="105">
        <f t="shared" si="0"/>
        <v>0</v>
      </c>
    </row>
    <row r="21" spans="1:14">
      <c r="A21" s="49"/>
      <c r="B21" s="49" t="s">
        <v>297</v>
      </c>
      <c r="C21" s="49"/>
      <c r="D21" s="49"/>
      <c r="E21" s="49"/>
      <c r="F21" s="69"/>
      <c r="G21" s="69"/>
      <c r="H21" s="69"/>
      <c r="I21" s="69"/>
      <c r="J21" s="69"/>
      <c r="K21" s="69"/>
      <c r="L21" s="69"/>
      <c r="M21" s="69"/>
      <c r="N21" s="105">
        <f t="shared" si="0"/>
        <v>0</v>
      </c>
    </row>
    <row r="22" spans="1:14">
      <c r="A22" s="49"/>
      <c r="B22" s="49" t="s">
        <v>298</v>
      </c>
      <c r="C22" s="49"/>
      <c r="D22" s="49"/>
      <c r="E22" s="49"/>
      <c r="F22" s="69"/>
      <c r="G22" s="69"/>
      <c r="H22" s="69"/>
      <c r="I22" s="69"/>
      <c r="J22" s="69"/>
      <c r="K22" s="69"/>
      <c r="L22" s="69"/>
      <c r="M22" s="69"/>
      <c r="N22" s="105">
        <f t="shared" si="0"/>
        <v>0</v>
      </c>
    </row>
    <row r="23" spans="1:14">
      <c r="A23" s="49"/>
      <c r="B23" s="49"/>
      <c r="C23" s="37" t="s">
        <v>299</v>
      </c>
      <c r="D23" s="37"/>
      <c r="E23" s="37"/>
      <c r="F23" s="106">
        <f>SUM(F15:F22)</f>
        <v>0</v>
      </c>
      <c r="G23" s="69"/>
      <c r="H23" s="106">
        <f>SUM(H15:H22)</f>
        <v>0</v>
      </c>
      <c r="I23" s="69"/>
      <c r="J23" s="106">
        <f>SUM(J15:J22)</f>
        <v>0</v>
      </c>
      <c r="K23" s="69"/>
      <c r="L23" s="106">
        <f>SUM(L15:L22)</f>
        <v>0</v>
      </c>
      <c r="M23" s="69"/>
      <c r="N23" s="106">
        <f>SUM(N15:N22)</f>
        <v>0</v>
      </c>
    </row>
    <row r="24" spans="1:14">
      <c r="A24" s="37"/>
      <c r="B24" s="49" t="s">
        <v>300</v>
      </c>
      <c r="C24" s="49"/>
      <c r="D24" s="49"/>
      <c r="E24" s="49"/>
      <c r="F24" s="59"/>
      <c r="G24" s="59"/>
      <c r="H24" s="59"/>
      <c r="I24" s="59"/>
      <c r="J24" s="59"/>
      <c r="K24" s="59"/>
      <c r="L24" s="59"/>
      <c r="M24" s="59"/>
      <c r="N24" s="105">
        <f t="shared" ref="N24:N28" si="1">F24+H24+J24-L24</f>
        <v>0</v>
      </c>
    </row>
    <row r="25" spans="1:14">
      <c r="A25" s="49"/>
      <c r="B25" s="49" t="s">
        <v>301</v>
      </c>
      <c r="C25" s="49"/>
      <c r="D25" s="49"/>
      <c r="E25" s="49"/>
      <c r="F25" s="69"/>
      <c r="G25" s="69"/>
      <c r="H25" s="69"/>
      <c r="I25" s="69"/>
      <c r="J25" s="69"/>
      <c r="K25" s="69"/>
      <c r="L25" s="69"/>
      <c r="M25" s="69"/>
      <c r="N25" s="105">
        <f t="shared" si="1"/>
        <v>0</v>
      </c>
    </row>
    <row r="26" spans="1:14">
      <c r="A26" s="49"/>
      <c r="B26" s="49" t="s">
        <v>302</v>
      </c>
      <c r="C26" s="49"/>
      <c r="D26" s="49"/>
      <c r="E26" s="49"/>
      <c r="F26" s="69"/>
      <c r="G26" s="69"/>
      <c r="H26" s="69"/>
      <c r="I26" s="69"/>
      <c r="J26" s="69"/>
      <c r="K26" s="69"/>
      <c r="L26" s="69"/>
      <c r="M26" s="69"/>
      <c r="N26" s="105">
        <f t="shared" si="1"/>
        <v>0</v>
      </c>
    </row>
    <row r="27" spans="1:14">
      <c r="A27" s="49"/>
      <c r="B27" s="49" t="s">
        <v>303</v>
      </c>
      <c r="C27" s="49"/>
      <c r="D27" s="49"/>
      <c r="E27" s="49"/>
      <c r="F27" s="69"/>
      <c r="G27" s="69"/>
      <c r="H27" s="69"/>
      <c r="I27" s="69"/>
      <c r="J27" s="69"/>
      <c r="K27" s="69"/>
      <c r="L27" s="69"/>
      <c r="M27" s="69"/>
      <c r="N27" s="105">
        <f t="shared" si="1"/>
        <v>0</v>
      </c>
    </row>
    <row r="28" spans="1:14">
      <c r="A28" s="49"/>
      <c r="B28" s="49" t="s">
        <v>304</v>
      </c>
      <c r="C28" s="49"/>
      <c r="D28" s="49"/>
      <c r="E28" s="49"/>
      <c r="F28" s="69"/>
      <c r="G28" s="69"/>
      <c r="H28" s="69"/>
      <c r="I28" s="69"/>
      <c r="J28" s="69"/>
      <c r="K28" s="69"/>
      <c r="L28" s="69"/>
      <c r="M28" s="69"/>
      <c r="N28" s="105">
        <f t="shared" si="1"/>
        <v>0</v>
      </c>
    </row>
    <row r="29" spans="1:14">
      <c r="A29" s="49"/>
      <c r="B29" s="49" t="s">
        <v>20</v>
      </c>
      <c r="C29" s="37" t="s">
        <v>305</v>
      </c>
      <c r="D29" s="37"/>
      <c r="E29" s="37"/>
      <c r="F29" s="106">
        <f>SUM(F24:F28)</f>
        <v>0</v>
      </c>
      <c r="G29" s="69"/>
      <c r="H29" s="106">
        <f>SUM(H24:H28)</f>
        <v>0</v>
      </c>
      <c r="I29" s="69"/>
      <c r="J29" s="106">
        <f>SUM(J24:J28)</f>
        <v>0</v>
      </c>
      <c r="K29" s="69"/>
      <c r="L29" s="106">
        <f>SUM(L24:L28)</f>
        <v>0</v>
      </c>
      <c r="M29" s="69"/>
      <c r="N29" s="106">
        <f>SUM(N24:N28)</f>
        <v>0</v>
      </c>
    </row>
    <row r="30" spans="1:14">
      <c r="A30" s="49"/>
      <c r="B30" s="49"/>
      <c r="C30" s="37" t="s">
        <v>306</v>
      </c>
      <c r="D30" s="37"/>
      <c r="E30" s="37"/>
      <c r="F30" s="107">
        <f>F23+F29</f>
        <v>0</v>
      </c>
      <c r="G30" s="69"/>
      <c r="H30" s="107">
        <f>H23+H29</f>
        <v>0</v>
      </c>
      <c r="I30" s="69"/>
      <c r="J30" s="107">
        <f>J23+J29</f>
        <v>0</v>
      </c>
      <c r="K30" s="69"/>
      <c r="L30" s="107">
        <f>L23+L29</f>
        <v>0</v>
      </c>
      <c r="M30" s="69"/>
      <c r="N30" s="107">
        <f>N23+N29</f>
        <v>0</v>
      </c>
    </row>
    <row r="31" spans="1:14">
      <c r="A31" s="49"/>
      <c r="B31" s="76" t="s">
        <v>307</v>
      </c>
      <c r="C31" s="49"/>
      <c r="D31" s="49"/>
      <c r="E31" s="49"/>
      <c r="F31" s="59"/>
      <c r="G31" s="59"/>
      <c r="H31" s="59"/>
      <c r="I31" s="59"/>
      <c r="J31" s="59"/>
      <c r="K31" s="59"/>
      <c r="L31" s="59"/>
      <c r="M31" s="59"/>
      <c r="N31" s="59"/>
    </row>
    <row r="32" spans="1:14">
      <c r="A32" s="49"/>
      <c r="B32" s="1" t="s">
        <v>291</v>
      </c>
      <c r="C32" s="1"/>
      <c r="D32" s="49"/>
      <c r="E32" s="49"/>
      <c r="F32" s="69"/>
      <c r="G32" s="69"/>
      <c r="H32" s="69"/>
      <c r="I32" s="69"/>
      <c r="J32" s="69"/>
      <c r="K32" s="69"/>
      <c r="L32" s="69"/>
      <c r="M32" s="69"/>
      <c r="N32" s="105">
        <f t="shared" ref="N32:N39" si="2">F32+H32+J32-L32</f>
        <v>0</v>
      </c>
    </row>
    <row r="33" spans="1:14">
      <c r="B33" s="1" t="s">
        <v>292</v>
      </c>
      <c r="C33" s="1"/>
      <c r="D33" s="49"/>
      <c r="E33" s="49"/>
      <c r="F33" s="69"/>
      <c r="G33" s="69"/>
      <c r="H33" s="69"/>
      <c r="I33" s="69"/>
      <c r="J33" s="69"/>
      <c r="K33" s="69"/>
      <c r="L33" s="69"/>
      <c r="M33" s="69"/>
      <c r="N33" s="105">
        <f t="shared" si="2"/>
        <v>0</v>
      </c>
    </row>
    <row r="34" spans="1:14">
      <c r="A34" s="49"/>
      <c r="B34" s="1" t="s">
        <v>293</v>
      </c>
      <c r="C34" s="1"/>
      <c r="D34" s="49"/>
      <c r="E34" s="49"/>
      <c r="F34" s="69"/>
      <c r="G34" s="69"/>
      <c r="H34" s="69"/>
      <c r="I34" s="69"/>
      <c r="J34" s="69"/>
      <c r="K34" s="69"/>
      <c r="L34" s="69"/>
      <c r="M34" s="69"/>
      <c r="N34" s="105">
        <f t="shared" si="2"/>
        <v>0</v>
      </c>
    </row>
    <row r="35" spans="1:14">
      <c r="A35" s="49"/>
      <c r="B35" s="1" t="s">
        <v>308</v>
      </c>
      <c r="C35" s="1"/>
      <c r="D35" s="49"/>
      <c r="E35" s="49"/>
      <c r="F35" s="69"/>
      <c r="G35" s="69"/>
      <c r="H35" s="69"/>
      <c r="I35" s="69"/>
      <c r="J35" s="69"/>
      <c r="K35" s="69"/>
      <c r="L35" s="69"/>
      <c r="M35" s="69"/>
      <c r="N35" s="105">
        <f t="shared" si="2"/>
        <v>0</v>
      </c>
    </row>
    <row r="36" spans="1:14">
      <c r="A36" s="49"/>
      <c r="B36" s="1" t="s">
        <v>309</v>
      </c>
      <c r="C36" s="1"/>
      <c r="D36" s="49"/>
      <c r="E36" s="49"/>
      <c r="F36" s="69"/>
      <c r="G36" s="69"/>
      <c r="H36" s="69"/>
      <c r="I36" s="69"/>
      <c r="J36" s="69"/>
      <c r="K36" s="69"/>
      <c r="L36" s="69"/>
      <c r="M36" s="69"/>
      <c r="N36" s="105">
        <f t="shared" si="2"/>
        <v>0</v>
      </c>
    </row>
    <row r="37" spans="1:14">
      <c r="A37" s="49"/>
      <c r="B37" s="1" t="s">
        <v>310</v>
      </c>
      <c r="C37" s="1"/>
      <c r="D37" s="49"/>
      <c r="E37" s="49"/>
      <c r="F37" s="69"/>
      <c r="G37" s="69"/>
      <c r="H37" s="69"/>
      <c r="I37" s="69"/>
      <c r="J37" s="69"/>
      <c r="K37" s="69"/>
      <c r="L37" s="69"/>
      <c r="M37" s="69"/>
      <c r="N37" s="105">
        <f t="shared" si="2"/>
        <v>0</v>
      </c>
    </row>
    <row r="38" spans="1:14">
      <c r="A38" s="49"/>
      <c r="B38" s="1" t="s">
        <v>297</v>
      </c>
      <c r="C38" s="1"/>
      <c r="D38" s="49"/>
      <c r="E38" s="49"/>
      <c r="F38" s="69"/>
      <c r="G38" s="69"/>
      <c r="H38" s="69"/>
      <c r="I38" s="69"/>
      <c r="J38" s="69"/>
      <c r="K38" s="69"/>
      <c r="L38" s="69"/>
      <c r="M38" s="69"/>
      <c r="N38" s="105">
        <f t="shared" si="2"/>
        <v>0</v>
      </c>
    </row>
    <row r="39" spans="1:14">
      <c r="A39" s="49"/>
      <c r="B39" s="1" t="s">
        <v>298</v>
      </c>
      <c r="C39" s="1"/>
      <c r="D39" s="49"/>
      <c r="E39" s="49"/>
      <c r="F39" s="69"/>
      <c r="G39" s="69"/>
      <c r="H39" s="69"/>
      <c r="I39" s="69"/>
      <c r="J39" s="69"/>
      <c r="K39" s="69"/>
      <c r="L39" s="69"/>
      <c r="M39" s="69"/>
      <c r="N39" s="107">
        <f t="shared" si="2"/>
        <v>0</v>
      </c>
    </row>
    <row r="40" spans="1:14">
      <c r="A40" s="49"/>
      <c r="B40" s="1"/>
      <c r="C40" s="12" t="s">
        <v>299</v>
      </c>
      <c r="D40" s="49"/>
      <c r="E40" s="49"/>
      <c r="F40" s="106">
        <f>SUM(F32:F39)</f>
        <v>0</v>
      </c>
      <c r="G40" s="69"/>
      <c r="H40" s="106">
        <f>SUM(H32:H39)</f>
        <v>0</v>
      </c>
      <c r="I40" s="69"/>
      <c r="J40" s="106">
        <f>SUM(J32:J39)</f>
        <v>0</v>
      </c>
      <c r="K40" s="69"/>
      <c r="L40" s="106">
        <f>SUM(L32:L39)</f>
        <v>0</v>
      </c>
      <c r="M40" s="69"/>
      <c r="N40" s="106">
        <f>SUM(N32:N39)</f>
        <v>0</v>
      </c>
    </row>
    <row r="41" spans="1:14">
      <c r="A41" s="49"/>
      <c r="B41" s="269" t="s">
        <v>307</v>
      </c>
      <c r="C41" s="269"/>
      <c r="D41" s="76"/>
      <c r="E41" s="76"/>
      <c r="F41" s="69"/>
      <c r="G41" s="69"/>
      <c r="H41" s="69"/>
      <c r="I41" s="69"/>
      <c r="J41" s="69"/>
      <c r="K41" s="69"/>
      <c r="L41" s="69"/>
      <c r="M41" s="69"/>
      <c r="N41" s="105"/>
    </row>
    <row r="42" spans="1:14">
      <c r="A42" s="49"/>
      <c r="B42" s="49" t="s">
        <v>300</v>
      </c>
      <c r="C42" s="49"/>
      <c r="D42" s="49"/>
      <c r="E42" s="49"/>
      <c r="F42" s="59"/>
      <c r="G42" s="59"/>
      <c r="H42" s="59"/>
      <c r="I42" s="59"/>
      <c r="J42" s="59"/>
      <c r="K42" s="59"/>
      <c r="L42" s="59"/>
      <c r="M42" s="59"/>
      <c r="N42" s="105">
        <f t="shared" ref="N42:N46" si="3">F42+H42+J42-L42</f>
        <v>0</v>
      </c>
    </row>
    <row r="43" spans="1:14">
      <c r="A43" s="49"/>
      <c r="B43" s="49" t="s">
        <v>301</v>
      </c>
      <c r="C43" s="1"/>
      <c r="D43" s="49"/>
      <c r="E43" s="49"/>
      <c r="F43" s="69"/>
      <c r="G43" s="69"/>
      <c r="H43" s="69"/>
      <c r="I43" s="69"/>
      <c r="J43" s="69"/>
      <c r="K43" s="69"/>
      <c r="L43" s="69"/>
      <c r="M43" s="69"/>
      <c r="N43" s="105">
        <f t="shared" si="3"/>
        <v>0</v>
      </c>
    </row>
    <row r="44" spans="1:14">
      <c r="B44" s="1" t="s">
        <v>302</v>
      </c>
      <c r="C44" s="1"/>
      <c r="D44" s="49"/>
      <c r="E44" s="49"/>
      <c r="F44" s="69"/>
      <c r="G44" s="69"/>
      <c r="H44" s="69"/>
      <c r="I44" s="69"/>
      <c r="J44" s="69"/>
      <c r="K44" s="69"/>
      <c r="L44" s="69"/>
      <c r="M44" s="69"/>
      <c r="N44" s="105">
        <f t="shared" si="3"/>
        <v>0</v>
      </c>
    </row>
    <row r="45" spans="1:14">
      <c r="A45" s="49"/>
      <c r="B45" s="1" t="s">
        <v>303</v>
      </c>
      <c r="C45" s="1"/>
      <c r="D45" s="49"/>
      <c r="E45" s="49"/>
      <c r="F45" s="69"/>
      <c r="G45" s="69"/>
      <c r="H45" s="69"/>
      <c r="I45" s="69"/>
      <c r="J45" s="69"/>
      <c r="K45" s="69"/>
      <c r="L45" s="69"/>
      <c r="M45" s="69"/>
      <c r="N45" s="105">
        <f t="shared" si="3"/>
        <v>0</v>
      </c>
    </row>
    <row r="46" spans="1:14">
      <c r="A46" s="49"/>
      <c r="B46" s="1" t="s">
        <v>304</v>
      </c>
      <c r="C46" s="1"/>
      <c r="D46" s="49"/>
      <c r="E46" s="49"/>
      <c r="F46" s="69"/>
      <c r="G46" s="69"/>
      <c r="H46" s="69"/>
      <c r="I46" s="69"/>
      <c r="J46" s="69"/>
      <c r="K46" s="69"/>
      <c r="L46" s="69"/>
      <c r="M46" s="69"/>
      <c r="N46" s="105">
        <f t="shared" si="3"/>
        <v>0</v>
      </c>
    </row>
    <row r="47" spans="1:14">
      <c r="A47" s="49"/>
      <c r="B47" s="1" t="s">
        <v>20</v>
      </c>
      <c r="C47" s="12" t="s">
        <v>305</v>
      </c>
      <c r="D47" s="49"/>
      <c r="E47" s="49"/>
      <c r="F47" s="106">
        <f>SUM(F42:F46)</f>
        <v>0</v>
      </c>
      <c r="G47" s="69"/>
      <c r="H47" s="106">
        <f>SUM(H42:H46)</f>
        <v>0</v>
      </c>
      <c r="I47" s="69"/>
      <c r="J47" s="106">
        <f>SUM(J42:J46)</f>
        <v>0</v>
      </c>
      <c r="K47" s="69"/>
      <c r="L47" s="106">
        <f>SUM(L42:L46)</f>
        <v>0</v>
      </c>
      <c r="M47" s="69"/>
      <c r="N47" s="106">
        <f>SUM(N42:N46)</f>
        <v>0</v>
      </c>
    </row>
    <row r="48" spans="1:14">
      <c r="A48" s="49"/>
      <c r="B48" s="49"/>
      <c r="C48" s="37" t="s">
        <v>311</v>
      </c>
      <c r="D48" s="37"/>
      <c r="E48" s="37"/>
      <c r="F48" s="107">
        <f>F40+F47</f>
        <v>0</v>
      </c>
      <c r="G48" s="69"/>
      <c r="H48" s="107">
        <f>H40+H47</f>
        <v>0</v>
      </c>
      <c r="I48" s="69"/>
      <c r="J48" s="107">
        <f>J40+J47</f>
        <v>0</v>
      </c>
      <c r="K48" s="69"/>
      <c r="L48" s="107">
        <f>L40+L47</f>
        <v>0</v>
      </c>
      <c r="M48" s="69"/>
      <c r="N48" s="107">
        <f>N40+N47</f>
        <v>0</v>
      </c>
    </row>
    <row r="49" spans="1:14">
      <c r="A49" s="49"/>
      <c r="B49" s="49"/>
      <c r="C49" s="49"/>
      <c r="D49" s="76" t="s">
        <v>312</v>
      </c>
      <c r="E49" s="49"/>
      <c r="F49" s="106">
        <f>F30-F48</f>
        <v>0</v>
      </c>
      <c r="G49" s="69"/>
      <c r="H49" s="106">
        <f>H30-H48</f>
        <v>0</v>
      </c>
      <c r="I49" s="69"/>
      <c r="J49" s="106">
        <f>J30-J48</f>
        <v>0</v>
      </c>
      <c r="K49" s="69"/>
      <c r="L49" s="106">
        <f>L30-L48</f>
        <v>0</v>
      </c>
      <c r="M49" s="69"/>
      <c r="N49" s="106">
        <f>N30-N48</f>
        <v>0</v>
      </c>
    </row>
    <row r="50" spans="1:14">
      <c r="A50" s="49"/>
      <c r="B50" s="49"/>
      <c r="C50" s="49"/>
      <c r="D50" s="49" t="s">
        <v>289</v>
      </c>
      <c r="E50" s="49"/>
      <c r="F50" s="39" t="str">
        <f>IF(F49+H49='Exh A'!K44,"OK","ERROR")</f>
        <v>OK</v>
      </c>
      <c r="G50" s="39"/>
      <c r="H50" s="59"/>
      <c r="I50" s="59"/>
      <c r="J50" s="59"/>
      <c r="K50" s="59"/>
      <c r="L50" s="59"/>
      <c r="M50" s="59"/>
      <c r="N50" s="39" t="str">
        <f>IF(N49='Exh A'!E44,"OK","ERROR")</f>
        <v>OK</v>
      </c>
    </row>
    <row r="51" spans="1:14" ht="13.5" thickBot="1">
      <c r="A51" s="76" t="s">
        <v>313</v>
      </c>
      <c r="B51" s="49"/>
      <c r="C51" s="49"/>
      <c r="D51" s="49"/>
      <c r="E51" s="49"/>
      <c r="F51" s="111">
        <f>F12+F49</f>
        <v>0</v>
      </c>
      <c r="G51" s="250"/>
      <c r="H51" s="111">
        <f>H12+H49</f>
        <v>0</v>
      </c>
      <c r="I51" s="250"/>
      <c r="J51" s="111">
        <f>J12+J49</f>
        <v>0</v>
      </c>
      <c r="K51" s="250"/>
      <c r="L51" s="111">
        <f>L12+L49</f>
        <v>0</v>
      </c>
      <c r="M51" s="250"/>
      <c r="N51" s="111">
        <f>N12+N49</f>
        <v>0</v>
      </c>
    </row>
    <row r="52" spans="1:14" ht="9.9499999999999993" customHeight="1" thickTop="1">
      <c r="A52" s="49"/>
      <c r="B52" s="49"/>
      <c r="C52" s="49"/>
      <c r="D52" s="49"/>
      <c r="E52" s="49"/>
      <c r="F52" s="68"/>
      <c r="G52" s="250"/>
      <c r="H52" s="68"/>
      <c r="I52" s="250"/>
      <c r="J52" s="68"/>
      <c r="K52" s="250"/>
      <c r="L52" s="68"/>
      <c r="M52" s="250"/>
      <c r="N52" s="68"/>
    </row>
    <row r="53" spans="1:14">
      <c r="A53" s="121" t="s">
        <v>314</v>
      </c>
      <c r="B53" s="122"/>
      <c r="C53" s="49"/>
      <c r="D53" s="49"/>
      <c r="E53" s="49"/>
      <c r="F53" s="68"/>
      <c r="G53" s="250"/>
      <c r="H53" s="68"/>
      <c r="I53" s="250"/>
      <c r="J53" s="68"/>
      <c r="K53" s="250"/>
      <c r="L53" s="68"/>
      <c r="M53" s="250"/>
      <c r="N53" s="68"/>
    </row>
    <row r="54" spans="1:14">
      <c r="A54" s="287" t="s">
        <v>315</v>
      </c>
      <c r="B54" s="287"/>
      <c r="C54" s="286" t="s">
        <v>316</v>
      </c>
      <c r="D54" s="286"/>
      <c r="E54" s="286"/>
      <c r="F54" s="286"/>
      <c r="G54" s="286"/>
      <c r="H54" s="286"/>
      <c r="I54" s="286"/>
      <c r="J54" s="286"/>
      <c r="K54" s="286"/>
      <c r="L54" s="286"/>
      <c r="M54" s="286"/>
      <c r="N54" s="286"/>
    </row>
    <row r="55" spans="1:14">
      <c r="C55" s="286" t="s">
        <v>317</v>
      </c>
      <c r="D55" s="286"/>
      <c r="E55" s="286"/>
      <c r="F55" s="208"/>
      <c r="G55" s="209"/>
      <c r="H55" s="208"/>
      <c r="I55" s="209"/>
      <c r="J55" s="208"/>
      <c r="K55" s="209"/>
      <c r="L55" s="208"/>
      <c r="M55" s="209"/>
      <c r="N55" s="68"/>
    </row>
    <row r="56" spans="1:14">
      <c r="A56" s="49"/>
      <c r="B56" s="49"/>
      <c r="C56" s="49"/>
      <c r="D56" s="49"/>
      <c r="E56" s="49"/>
      <c r="F56" s="39"/>
      <c r="G56" s="39"/>
      <c r="H56" s="39"/>
      <c r="I56" s="49"/>
      <c r="J56" s="49"/>
      <c r="K56" s="49"/>
      <c r="L56" s="49"/>
      <c r="M56" s="49"/>
      <c r="N56" s="39"/>
    </row>
    <row r="57" spans="1:14">
      <c r="A57" s="12" t="str">
        <f>Info!C4</f>
        <v>Select Proprietary Fund (Click Here)</v>
      </c>
      <c r="N57" s="28" t="s">
        <v>318</v>
      </c>
    </row>
    <row r="58" spans="1:14">
      <c r="A58" s="22" t="s">
        <v>273</v>
      </c>
      <c r="B58" s="22"/>
      <c r="C58" s="22"/>
      <c r="D58" s="22"/>
      <c r="E58" s="22"/>
    </row>
    <row r="59" spans="1:14" ht="6.95" customHeight="1" thickBot="1">
      <c r="A59" s="16"/>
      <c r="B59" s="16"/>
      <c r="C59" s="16"/>
      <c r="D59" s="16"/>
      <c r="E59" s="16"/>
      <c r="F59" s="16"/>
      <c r="G59" s="16"/>
      <c r="H59" s="16"/>
      <c r="I59" s="16"/>
      <c r="J59" s="16"/>
      <c r="K59" s="16"/>
      <c r="L59" s="16"/>
      <c r="M59" s="16"/>
      <c r="N59" s="16"/>
    </row>
    <row r="60" spans="1:14" ht="6.95" customHeight="1">
      <c r="A60" s="49"/>
      <c r="B60" s="49"/>
      <c r="C60" s="49"/>
      <c r="D60" s="49"/>
      <c r="E60" s="49"/>
      <c r="F60" s="49"/>
      <c r="G60" s="49"/>
      <c r="H60" s="49"/>
      <c r="I60" s="49"/>
      <c r="J60" s="49"/>
      <c r="K60" s="49"/>
      <c r="L60" s="49"/>
      <c r="M60" s="49"/>
      <c r="N60" s="49"/>
    </row>
    <row r="61" spans="1:14">
      <c r="A61" s="37" t="s">
        <v>319</v>
      </c>
      <c r="B61" s="40"/>
      <c r="C61" s="49"/>
      <c r="D61" s="49"/>
      <c r="E61" s="49"/>
      <c r="F61" s="49"/>
      <c r="G61" s="49"/>
      <c r="H61" s="49"/>
      <c r="I61" s="49"/>
      <c r="J61" s="49"/>
      <c r="K61" s="49"/>
      <c r="L61" s="49"/>
      <c r="M61" s="49"/>
      <c r="N61" s="49"/>
    </row>
    <row r="62" spans="1:14" ht="13.5">
      <c r="A62" s="49"/>
      <c r="B62" s="49" t="s">
        <v>320</v>
      </c>
      <c r="D62" s="49"/>
      <c r="E62" s="49"/>
      <c r="F62" s="69"/>
      <c r="G62" s="50" t="s">
        <v>321</v>
      </c>
      <c r="H62" s="49"/>
      <c r="I62" s="49"/>
      <c r="J62" s="49"/>
      <c r="K62" s="49"/>
      <c r="L62" s="49"/>
      <c r="M62" s="49"/>
      <c r="N62" s="49"/>
    </row>
    <row r="63" spans="1:14" ht="13.5">
      <c r="A63" s="49"/>
      <c r="B63" s="49" t="s">
        <v>322</v>
      </c>
      <c r="D63" s="49"/>
      <c r="E63" s="49"/>
      <c r="F63" s="69">
        <v>0</v>
      </c>
      <c r="G63" s="50" t="s">
        <v>323</v>
      </c>
      <c r="H63" s="48" t="s">
        <v>324</v>
      </c>
      <c r="I63" s="49"/>
      <c r="J63" s="49"/>
      <c r="K63" s="49"/>
      <c r="L63" s="49"/>
      <c r="M63" s="49"/>
      <c r="N63" s="49"/>
    </row>
    <row r="64" spans="1:14" ht="13.5">
      <c r="A64" s="49"/>
      <c r="B64" s="49" t="s">
        <v>325</v>
      </c>
      <c r="D64" s="49"/>
      <c r="E64" s="49"/>
      <c r="F64" s="69">
        <v>0</v>
      </c>
      <c r="G64" s="50" t="s">
        <v>326</v>
      </c>
      <c r="H64" s="48" t="s">
        <v>327</v>
      </c>
      <c r="I64" s="49"/>
      <c r="J64" s="49"/>
      <c r="K64" s="49"/>
      <c r="L64" s="49"/>
      <c r="M64" s="49"/>
      <c r="N64" s="49"/>
    </row>
    <row r="65" spans="1:14" ht="13.5">
      <c r="A65" s="49"/>
      <c r="B65" s="49" t="s">
        <v>328</v>
      </c>
      <c r="D65" s="49"/>
      <c r="E65" s="49"/>
      <c r="F65" s="69"/>
      <c r="G65" s="50" t="s">
        <v>329</v>
      </c>
      <c r="H65" s="48" t="s">
        <v>330</v>
      </c>
      <c r="I65" s="49"/>
      <c r="J65" s="49"/>
      <c r="K65" s="49"/>
      <c r="L65" s="49"/>
      <c r="M65" s="49"/>
      <c r="N65" s="49"/>
    </row>
    <row r="66" spans="1:14" ht="13.5">
      <c r="A66" s="49"/>
      <c r="B66" s="49" t="s">
        <v>331</v>
      </c>
      <c r="D66" s="49"/>
      <c r="E66" s="49"/>
      <c r="F66" s="69"/>
      <c r="G66" s="50" t="s">
        <v>332</v>
      </c>
      <c r="H66" s="48" t="s">
        <v>333</v>
      </c>
      <c r="I66" s="49"/>
      <c r="J66" s="49"/>
      <c r="K66" s="49"/>
      <c r="L66" s="49"/>
      <c r="M66" s="49"/>
      <c r="N66" s="49"/>
    </row>
    <row r="67" spans="1:14" ht="13.5">
      <c r="A67" s="49"/>
      <c r="B67" s="49" t="s">
        <v>334</v>
      </c>
      <c r="C67" s="49"/>
      <c r="D67" s="49"/>
      <c r="E67" s="49"/>
      <c r="F67" s="69"/>
      <c r="G67" s="50" t="s">
        <v>335</v>
      </c>
      <c r="H67" s="51"/>
      <c r="I67" s="49"/>
      <c r="J67" s="49"/>
      <c r="K67" s="49"/>
      <c r="L67" s="49"/>
      <c r="M67" s="49"/>
      <c r="N67" s="49"/>
    </row>
    <row r="68" spans="1:14" ht="13.5">
      <c r="A68" s="49"/>
      <c r="B68" s="49" t="s">
        <v>336</v>
      </c>
      <c r="C68" s="49"/>
      <c r="D68" s="49"/>
      <c r="E68" s="49"/>
      <c r="F68" s="69">
        <v>0</v>
      </c>
      <c r="G68" s="50" t="s">
        <v>337</v>
      </c>
      <c r="H68" s="49"/>
      <c r="I68" s="49"/>
      <c r="J68" s="49"/>
      <c r="K68" s="49"/>
      <c r="L68" s="49"/>
      <c r="M68" s="49"/>
      <c r="N68" s="49"/>
    </row>
    <row r="69" spans="1:14" ht="13.5">
      <c r="A69" s="49"/>
      <c r="B69" s="49" t="s">
        <v>338</v>
      </c>
      <c r="C69" s="49"/>
      <c r="D69" s="49"/>
      <c r="E69" s="49"/>
      <c r="F69" s="69">
        <v>0</v>
      </c>
      <c r="G69" s="50" t="s">
        <v>339</v>
      </c>
      <c r="H69" s="49"/>
      <c r="I69" s="49"/>
      <c r="J69" s="49"/>
      <c r="K69" s="49"/>
      <c r="L69" s="49"/>
      <c r="M69" s="49"/>
      <c r="N69" s="49"/>
    </row>
    <row r="70" spans="1:14" ht="13.5">
      <c r="A70" s="49"/>
      <c r="B70" s="49" t="s">
        <v>340</v>
      </c>
      <c r="C70" s="49"/>
      <c r="D70" s="49"/>
      <c r="E70" s="49"/>
      <c r="F70" s="70">
        <v>0</v>
      </c>
      <c r="G70" s="50"/>
      <c r="H70" s="49"/>
      <c r="I70" s="49"/>
      <c r="J70" s="49"/>
      <c r="K70" s="49"/>
      <c r="L70" s="49"/>
      <c r="M70" s="49"/>
      <c r="N70" s="49"/>
    </row>
    <row r="71" spans="1:14" ht="13.5">
      <c r="A71" s="49"/>
      <c r="B71" s="49"/>
      <c r="C71" s="49" t="s">
        <v>341</v>
      </c>
      <c r="D71" s="49"/>
      <c r="E71" s="49"/>
      <c r="F71" s="106">
        <f>SUM(F62:F70)</f>
        <v>0</v>
      </c>
      <c r="G71" s="50"/>
      <c r="H71" s="49"/>
      <c r="I71" s="49"/>
      <c r="J71" s="49"/>
      <c r="K71" s="49"/>
      <c r="L71" s="49"/>
      <c r="M71" s="49"/>
      <c r="N71" s="49"/>
    </row>
    <row r="72" spans="1:14" ht="12.6" customHeight="1">
      <c r="A72" s="49"/>
      <c r="B72" s="49"/>
      <c r="C72" s="40"/>
      <c r="D72" s="49"/>
      <c r="E72" s="49"/>
      <c r="F72" s="39" t="str">
        <f>IF(F71=(J12+J30),"OK","ERROR")</f>
        <v>OK</v>
      </c>
      <c r="G72" s="50"/>
      <c r="H72" s="49"/>
      <c r="I72" s="49"/>
      <c r="J72" s="49"/>
      <c r="K72" s="49"/>
      <c r="L72" s="49"/>
      <c r="M72" s="49"/>
      <c r="N72" s="49"/>
    </row>
    <row r="73" spans="1:14" ht="3" customHeight="1">
      <c r="A73" s="49"/>
      <c r="B73" s="49"/>
      <c r="C73" s="40"/>
      <c r="D73" s="49"/>
      <c r="E73" s="49"/>
      <c r="F73" s="59"/>
      <c r="G73" s="50"/>
      <c r="H73" s="49"/>
      <c r="I73" s="49"/>
      <c r="J73" s="49"/>
      <c r="K73" s="49"/>
      <c r="L73" s="49"/>
      <c r="M73" s="49"/>
      <c r="N73" s="49"/>
    </row>
    <row r="74" spans="1:14" ht="13.5">
      <c r="A74" s="37" t="s">
        <v>342</v>
      </c>
      <c r="B74" s="40"/>
      <c r="C74" s="49"/>
      <c r="D74" s="49"/>
      <c r="E74" s="49"/>
      <c r="F74" s="59"/>
      <c r="G74" s="50"/>
      <c r="H74" s="49"/>
      <c r="I74" s="49"/>
      <c r="J74" s="49"/>
      <c r="K74" s="49"/>
      <c r="L74" s="49"/>
      <c r="M74" s="49"/>
      <c r="N74" s="49"/>
    </row>
    <row r="75" spans="1:14" ht="13.5">
      <c r="A75" s="49"/>
      <c r="B75" s="49" t="s">
        <v>343</v>
      </c>
      <c r="C75" s="49"/>
      <c r="D75" s="49"/>
      <c r="E75" s="49"/>
      <c r="F75" s="69"/>
      <c r="H75" s="90"/>
      <c r="I75" s="49"/>
      <c r="J75" s="49"/>
      <c r="K75" s="49"/>
      <c r="L75" s="49"/>
      <c r="M75" s="49"/>
      <c r="N75" s="49"/>
    </row>
    <row r="76" spans="1:14" ht="13.5">
      <c r="A76" s="49"/>
      <c r="B76" s="49" t="s">
        <v>344</v>
      </c>
      <c r="C76" s="49"/>
      <c r="D76" s="49"/>
      <c r="E76" s="49"/>
      <c r="F76" s="69"/>
      <c r="G76" s="50" t="s">
        <v>345</v>
      </c>
      <c r="H76" s="49"/>
      <c r="I76" s="49"/>
      <c r="J76" s="49"/>
      <c r="K76" s="49"/>
      <c r="L76" s="49"/>
      <c r="M76" s="49"/>
      <c r="N76" s="49"/>
    </row>
    <row r="77" spans="1:14" ht="13.5">
      <c r="A77" s="49"/>
      <c r="B77" s="49" t="s">
        <v>340</v>
      </c>
      <c r="C77" s="49"/>
      <c r="D77" s="49"/>
      <c r="E77" s="49"/>
      <c r="F77" s="70">
        <v>0</v>
      </c>
      <c r="G77" s="123" t="str">
        <f>IF(F70=F77," ","ERROR – Does not Capital asset increases: Reclassifications – CIP above")</f>
        <v xml:space="preserve"> </v>
      </c>
      <c r="H77" s="48"/>
      <c r="I77" s="48"/>
      <c r="J77" s="48"/>
      <c r="K77" s="49"/>
      <c r="L77" s="49"/>
      <c r="M77" s="49"/>
      <c r="N77" s="49"/>
    </row>
    <row r="78" spans="1:14" ht="13.5">
      <c r="A78" s="49"/>
      <c r="B78" s="49"/>
      <c r="C78" s="49" t="s">
        <v>341</v>
      </c>
      <c r="D78" s="49"/>
      <c r="E78" s="49"/>
      <c r="F78" s="107">
        <f>SUM(F75:F77)</f>
        <v>0</v>
      </c>
      <c r="G78" s="50"/>
      <c r="H78" s="49"/>
      <c r="I78" s="49"/>
      <c r="J78" s="49"/>
      <c r="K78" s="49"/>
      <c r="L78" s="49"/>
      <c r="M78" s="49"/>
      <c r="N78" s="49"/>
    </row>
    <row r="79" spans="1:14" ht="12.6" customHeight="1">
      <c r="A79" s="49"/>
      <c r="B79" s="49"/>
      <c r="C79" s="40"/>
      <c r="D79" s="49"/>
      <c r="E79" s="49"/>
      <c r="F79" s="39" t="str">
        <f>IF(F78=(L12+L30),"OK","ERROR")</f>
        <v>OK</v>
      </c>
      <c r="G79" s="50"/>
      <c r="H79" s="49"/>
      <c r="I79" s="49"/>
      <c r="J79" s="49"/>
      <c r="K79" s="49"/>
      <c r="L79" s="49"/>
      <c r="M79" s="49"/>
      <c r="N79" s="49"/>
    </row>
    <row r="80" spans="1:14" ht="3" customHeight="1">
      <c r="A80" s="49"/>
      <c r="B80" s="49"/>
      <c r="C80" s="40"/>
      <c r="D80" s="49"/>
      <c r="E80" s="49"/>
      <c r="F80" s="59"/>
      <c r="G80" s="50"/>
      <c r="H80" s="49"/>
      <c r="I80" s="49"/>
      <c r="J80" s="49"/>
      <c r="K80" s="49"/>
      <c r="L80" s="49"/>
      <c r="M80" s="49"/>
      <c r="N80" s="49"/>
    </row>
    <row r="81" spans="1:14" ht="12.75" customHeight="1">
      <c r="A81" s="37" t="s">
        <v>346</v>
      </c>
      <c r="B81" s="40"/>
      <c r="C81" s="49"/>
      <c r="D81" s="49"/>
      <c r="E81" s="49"/>
      <c r="F81" s="59"/>
      <c r="G81" s="50"/>
      <c r="H81" s="49"/>
      <c r="I81" s="49"/>
      <c r="J81" s="49"/>
      <c r="K81" s="49"/>
      <c r="L81" s="49"/>
      <c r="M81" s="49"/>
      <c r="N81" s="49"/>
    </row>
    <row r="82" spans="1:14" ht="12.75" customHeight="1">
      <c r="A82" s="49"/>
      <c r="B82" s="49" t="s">
        <v>347</v>
      </c>
      <c r="C82" s="49"/>
      <c r="D82" s="49"/>
      <c r="E82" s="49"/>
      <c r="F82" s="105">
        <f>B_11</f>
        <v>0</v>
      </c>
      <c r="G82" s="50" t="s">
        <v>222</v>
      </c>
      <c r="H82" s="49"/>
      <c r="I82" s="49"/>
      <c r="J82" s="49"/>
      <c r="K82" s="49"/>
      <c r="L82" s="49"/>
      <c r="M82" s="49"/>
      <c r="N82" s="49"/>
    </row>
    <row r="83" spans="1:14" ht="12.75" customHeight="1">
      <c r="A83" s="49"/>
      <c r="B83" s="49" t="s">
        <v>348</v>
      </c>
      <c r="C83" s="49"/>
      <c r="D83" s="49"/>
      <c r="E83" s="49"/>
      <c r="F83" s="70"/>
      <c r="G83" s="50" t="s">
        <v>349</v>
      </c>
      <c r="H83" s="49"/>
      <c r="I83" s="49"/>
      <c r="J83" s="49"/>
      <c r="K83" s="49"/>
      <c r="L83" s="49"/>
      <c r="M83" s="49"/>
      <c r="N83" s="49"/>
    </row>
    <row r="84" spans="1:14" ht="12.75" customHeight="1">
      <c r="A84" s="49"/>
      <c r="B84" s="49"/>
      <c r="C84" s="49" t="s">
        <v>341</v>
      </c>
      <c r="D84" s="49"/>
      <c r="E84" s="49"/>
      <c r="F84" s="107">
        <f>SUM(F82:F83)</f>
        <v>0</v>
      </c>
      <c r="G84" s="50"/>
      <c r="H84" s="49"/>
      <c r="I84" s="49"/>
      <c r="J84" s="49"/>
      <c r="K84" s="49"/>
      <c r="L84" s="49"/>
      <c r="M84" s="49"/>
      <c r="N84" s="49"/>
    </row>
    <row r="85" spans="1:14" ht="12.6" customHeight="1">
      <c r="A85" s="49"/>
      <c r="B85" s="49"/>
      <c r="C85" s="40"/>
      <c r="D85" s="49"/>
      <c r="E85" s="49"/>
      <c r="F85" s="39" t="str">
        <f>IF(F84=J48,"OK","ERROR")</f>
        <v>OK</v>
      </c>
      <c r="G85" s="50"/>
      <c r="H85" s="49"/>
      <c r="I85" s="49"/>
      <c r="J85" s="49"/>
      <c r="K85" s="49"/>
      <c r="L85" s="49"/>
      <c r="M85" s="49"/>
      <c r="N85" s="49"/>
    </row>
    <row r="86" spans="1:14" ht="3" customHeight="1">
      <c r="A86" s="49"/>
      <c r="B86" s="49"/>
      <c r="C86" s="40"/>
      <c r="D86" s="49"/>
      <c r="E86" s="49"/>
      <c r="F86" s="59"/>
      <c r="G86" s="50"/>
      <c r="H86" s="49"/>
      <c r="I86" s="49"/>
      <c r="J86" s="49"/>
      <c r="K86" s="49"/>
      <c r="L86" s="49"/>
      <c r="M86" s="49"/>
      <c r="N86" s="49"/>
    </row>
    <row r="87" spans="1:14" ht="13.5">
      <c r="A87" s="37" t="s">
        <v>350</v>
      </c>
      <c r="B87" s="40"/>
      <c r="C87" s="49"/>
      <c r="D87" s="49"/>
      <c r="E87" s="49"/>
      <c r="F87" s="59"/>
      <c r="G87" s="50"/>
      <c r="H87" s="49"/>
      <c r="I87" s="49"/>
      <c r="J87" s="49"/>
      <c r="K87" s="49"/>
      <c r="L87" s="49"/>
      <c r="M87" s="49"/>
      <c r="N87" s="49"/>
    </row>
    <row r="88" spans="1:14" ht="13.5">
      <c r="A88" s="49"/>
      <c r="B88" s="49" t="s">
        <v>351</v>
      </c>
      <c r="C88" s="49"/>
      <c r="D88" s="49"/>
      <c r="E88" s="49"/>
      <c r="F88" s="69"/>
      <c r="H88" s="90"/>
      <c r="I88" s="49"/>
      <c r="J88" s="49"/>
      <c r="K88" s="49"/>
      <c r="L88" s="49"/>
      <c r="M88" s="49"/>
      <c r="N88" s="49"/>
    </row>
    <row r="89" spans="1:14" ht="13.5">
      <c r="A89" s="49"/>
      <c r="B89" s="49" t="s">
        <v>352</v>
      </c>
      <c r="C89" s="49"/>
      <c r="D89" s="49"/>
      <c r="E89" s="49"/>
      <c r="F89" s="70"/>
      <c r="G89" s="50" t="s">
        <v>353</v>
      </c>
      <c r="H89" s="49"/>
      <c r="I89" s="49"/>
      <c r="J89" s="49"/>
      <c r="K89" s="49"/>
      <c r="L89" s="49"/>
      <c r="M89" s="49"/>
      <c r="N89" s="49"/>
    </row>
    <row r="90" spans="1:14" ht="13.5">
      <c r="A90" s="49"/>
      <c r="B90" s="49"/>
      <c r="C90" s="49" t="s">
        <v>341</v>
      </c>
      <c r="D90" s="49"/>
      <c r="E90" s="49"/>
      <c r="F90" s="107">
        <f>SUM(F88:F89)</f>
        <v>0</v>
      </c>
      <c r="G90" s="50"/>
      <c r="H90" s="49"/>
      <c r="I90" s="49"/>
      <c r="J90" s="49"/>
      <c r="K90" s="49"/>
      <c r="L90" s="49"/>
      <c r="M90" s="49"/>
      <c r="N90" s="49"/>
    </row>
    <row r="91" spans="1:14" ht="12.6" customHeight="1">
      <c r="A91" s="49"/>
      <c r="B91" s="49"/>
      <c r="C91" s="40"/>
      <c r="D91" s="49"/>
      <c r="E91" s="49"/>
      <c r="F91" s="39" t="str">
        <f>IF(F90=L48,"OK","ERROR")</f>
        <v>OK</v>
      </c>
      <c r="G91" s="50"/>
      <c r="H91" s="49"/>
      <c r="I91" s="49"/>
      <c r="J91" s="49"/>
      <c r="K91" s="49"/>
      <c r="L91" s="49"/>
      <c r="M91" s="49"/>
      <c r="N91" s="49"/>
    </row>
    <row r="92" spans="1:14" ht="3" customHeight="1">
      <c r="A92" s="49"/>
      <c r="B92" s="49"/>
      <c r="C92" s="49"/>
      <c r="D92" s="49"/>
      <c r="E92" s="49"/>
      <c r="F92" s="59"/>
      <c r="G92" s="50"/>
      <c r="H92" s="49"/>
      <c r="I92" s="49"/>
      <c r="J92" s="49"/>
      <c r="K92" s="49"/>
      <c r="L92" s="49"/>
      <c r="M92" s="49"/>
      <c r="N92" s="49"/>
    </row>
    <row r="93" spans="1:14" ht="13.5">
      <c r="A93" s="37" t="s">
        <v>354</v>
      </c>
      <c r="B93" s="49"/>
      <c r="C93" s="49"/>
      <c r="D93" s="49"/>
      <c r="E93" s="49"/>
      <c r="F93" s="59"/>
      <c r="G93" s="50"/>
      <c r="H93" s="49"/>
      <c r="I93" s="49"/>
      <c r="J93" s="49"/>
      <c r="K93" s="49"/>
      <c r="L93" s="49"/>
      <c r="M93" s="49"/>
      <c r="N93" s="49"/>
    </row>
    <row r="94" spans="1:14" ht="13.5">
      <c r="A94" s="49"/>
      <c r="B94" s="49" t="s">
        <v>355</v>
      </c>
      <c r="C94" s="49"/>
      <c r="D94" s="49"/>
      <c r="E94" s="49"/>
      <c r="F94" s="70">
        <v>0</v>
      </c>
      <c r="G94" s="50" t="s">
        <v>356</v>
      </c>
      <c r="H94" s="49"/>
      <c r="I94" s="49"/>
      <c r="J94" s="49"/>
      <c r="K94" s="49"/>
      <c r="L94" s="49"/>
      <c r="M94" s="49"/>
      <c r="N94" s="49"/>
    </row>
    <row r="95" spans="1:14" ht="12.6" customHeight="1">
      <c r="A95" s="49"/>
      <c r="B95" s="49"/>
      <c r="C95" s="49"/>
      <c r="D95" s="49"/>
      <c r="E95" s="49"/>
      <c r="F95" s="39" t="str">
        <f>IF(F94=F102,"OK","ERROR")</f>
        <v>OK</v>
      </c>
      <c r="G95" s="50"/>
      <c r="H95" s="225" t="s">
        <v>357</v>
      </c>
      <c r="I95" s="198"/>
      <c r="J95" s="198"/>
      <c r="K95" s="198"/>
      <c r="L95" s="198"/>
      <c r="M95" s="49"/>
      <c r="N95" s="49"/>
    </row>
    <row r="96" spans="1:14" ht="12" customHeight="1">
      <c r="A96" s="49"/>
      <c r="B96" s="41" t="s">
        <v>358</v>
      </c>
      <c r="C96" s="252"/>
      <c r="D96" s="252"/>
      <c r="E96" s="252"/>
      <c r="F96" s="253"/>
      <c r="G96" s="50"/>
      <c r="H96" s="49"/>
      <c r="I96" s="49"/>
      <c r="J96" s="49"/>
      <c r="K96" s="49"/>
      <c r="L96" s="49"/>
      <c r="M96" s="49"/>
      <c r="N96" s="49"/>
    </row>
    <row r="97" spans="1:14" ht="12" customHeight="1">
      <c r="A97" s="49"/>
      <c r="B97" s="114" t="s">
        <v>343</v>
      </c>
      <c r="C97" s="115"/>
      <c r="D97" s="115"/>
      <c r="E97" s="115"/>
      <c r="F97" s="108">
        <f>F75</f>
        <v>0</v>
      </c>
      <c r="G97" s="50"/>
      <c r="H97" s="49"/>
      <c r="I97" s="49"/>
      <c r="J97" s="49"/>
      <c r="K97" s="49"/>
      <c r="L97" s="49"/>
      <c r="M97" s="49"/>
      <c r="N97" s="49"/>
    </row>
    <row r="98" spans="1:14" ht="12" customHeight="1">
      <c r="A98" s="49"/>
      <c r="B98" s="116" t="s">
        <v>359</v>
      </c>
      <c r="C98" s="115"/>
      <c r="D98" s="115"/>
      <c r="E98" s="115"/>
      <c r="F98" s="108">
        <f>C_6</f>
        <v>0</v>
      </c>
      <c r="G98" s="50" t="s">
        <v>360</v>
      </c>
      <c r="H98" s="49"/>
      <c r="I98" s="49"/>
      <c r="J98" s="49"/>
      <c r="K98" s="49"/>
      <c r="L98" s="49"/>
      <c r="M98" s="49"/>
      <c r="N98" s="49"/>
    </row>
    <row r="99" spans="1:14" ht="12" customHeight="1">
      <c r="A99" s="49"/>
      <c r="B99" s="114" t="s">
        <v>361</v>
      </c>
      <c r="C99" s="115"/>
      <c r="D99" s="115"/>
      <c r="E99" s="115"/>
      <c r="F99" s="108">
        <f>-F88</f>
        <v>0</v>
      </c>
      <c r="G99" s="50"/>
      <c r="H99" s="49"/>
      <c r="I99" s="49"/>
      <c r="J99" s="49"/>
      <c r="K99" s="49"/>
      <c r="L99" s="49"/>
      <c r="M99" s="49"/>
      <c r="N99" s="49"/>
    </row>
    <row r="100" spans="1:14" ht="12" customHeight="1">
      <c r="A100" s="49"/>
      <c r="B100" s="114" t="s">
        <v>362</v>
      </c>
      <c r="C100" s="115"/>
      <c r="D100" s="115"/>
      <c r="E100" s="115"/>
      <c r="F100" s="108">
        <f>-C_11</f>
        <v>0</v>
      </c>
      <c r="G100" s="50" t="s">
        <v>363</v>
      </c>
      <c r="H100" s="48"/>
      <c r="I100" s="49"/>
      <c r="J100" s="49"/>
      <c r="K100" s="49"/>
      <c r="L100" s="49"/>
      <c r="M100" s="49"/>
      <c r="N100" s="49"/>
    </row>
    <row r="101" spans="1:14" ht="12" customHeight="1">
      <c r="A101" s="49"/>
      <c r="B101" s="114" t="s">
        <v>364</v>
      </c>
      <c r="C101" s="115"/>
      <c r="D101" s="115"/>
      <c r="E101" s="115"/>
      <c r="F101" s="108">
        <f>B_17</f>
        <v>0</v>
      </c>
      <c r="G101" s="50" t="s">
        <v>245</v>
      </c>
      <c r="H101" s="48"/>
    </row>
    <row r="102" spans="1:14" ht="12" customHeight="1">
      <c r="A102" s="49"/>
      <c r="B102" s="114"/>
      <c r="C102" s="117" t="s">
        <v>365</v>
      </c>
      <c r="D102" s="115"/>
      <c r="E102" s="115"/>
      <c r="F102" s="109">
        <f>ROUND((SUM(F97:F101)),2)</f>
        <v>0</v>
      </c>
      <c r="G102" s="59"/>
    </row>
    <row r="103" spans="1:14" ht="8.1" customHeight="1">
      <c r="A103" s="49"/>
      <c r="B103" s="49"/>
      <c r="C103" s="49"/>
      <c r="D103" s="49"/>
      <c r="E103" s="49"/>
      <c r="F103" s="49"/>
      <c r="G103" s="49"/>
      <c r="H103" s="49"/>
      <c r="I103" s="49"/>
      <c r="J103" s="49"/>
      <c r="K103" s="49"/>
      <c r="L103" s="49"/>
      <c r="M103" s="49"/>
      <c r="N103" s="49"/>
    </row>
    <row r="104" spans="1:14">
      <c r="A104" s="119" t="s">
        <v>366</v>
      </c>
      <c r="B104" s="120"/>
    </row>
    <row r="105" spans="1:14" ht="12.6" customHeight="1">
      <c r="A105" s="288" t="s">
        <v>367</v>
      </c>
      <c r="B105" s="288"/>
      <c r="C105" s="289" t="s">
        <v>368</v>
      </c>
      <c r="D105" s="289"/>
      <c r="E105" s="289"/>
      <c r="F105" s="289"/>
      <c r="G105" s="289"/>
      <c r="H105" s="289"/>
      <c r="I105" s="289"/>
      <c r="J105" s="289"/>
      <c r="K105" s="289"/>
      <c r="L105" s="289"/>
      <c r="M105" s="289"/>
      <c r="N105" s="289"/>
    </row>
    <row r="106" spans="1:14" ht="12.6" customHeight="1">
      <c r="A106" s="120"/>
      <c r="B106" s="120"/>
      <c r="C106" s="289"/>
      <c r="D106" s="289"/>
      <c r="E106" s="289"/>
      <c r="F106" s="289"/>
      <c r="G106" s="289"/>
      <c r="H106" s="289"/>
      <c r="I106" s="289"/>
      <c r="J106" s="289"/>
      <c r="K106" s="289"/>
      <c r="L106" s="289"/>
      <c r="M106" s="289"/>
      <c r="N106" s="289"/>
    </row>
    <row r="107" spans="1:14" ht="12.6" customHeight="1">
      <c r="A107" s="120"/>
      <c r="B107" s="120"/>
      <c r="C107" s="289"/>
      <c r="D107" s="289"/>
      <c r="E107" s="289"/>
      <c r="F107" s="289"/>
      <c r="G107" s="289"/>
      <c r="H107" s="289"/>
      <c r="I107" s="289"/>
      <c r="J107" s="289"/>
      <c r="K107" s="289"/>
      <c r="L107" s="289"/>
      <c r="M107" s="289"/>
      <c r="N107" s="289"/>
    </row>
  </sheetData>
  <sheetProtection algorithmName="SHA-512" hashValue="nHNNyDZNUq3CroaVqJgeZBP+Y9NqjlT4cKgGaOii2maD4M3k6py39CTB/S+ANlIeabnzWHnfad9mfolX7d6EEg==" saltValue="22+EGo/tBFjArTqoTAoxdA==" spinCount="100000" sheet="1" autoFilter="0"/>
  <mergeCells count="5">
    <mergeCell ref="C54:N54"/>
    <mergeCell ref="C55:E55"/>
    <mergeCell ref="A54:B54"/>
    <mergeCell ref="A105:B105"/>
    <mergeCell ref="C105:N107"/>
  </mergeCells>
  <phoneticPr fontId="0" type="noConversion"/>
  <conditionalFormatting sqref="F85">
    <cfRule type="cellIs" dxfId="80" priority="4" stopIfTrue="1" operator="equal">
      <formula>"ERROR"</formula>
    </cfRule>
  </conditionalFormatting>
  <conditionalFormatting sqref="F13:G13 N13 F50:G50 N50 F56:H56 N56 F72 F79 F91 F95">
    <cfRule type="cellIs" dxfId="79" priority="6" stopIfTrue="1" operator="equal">
      <formula>"ERROR"</formula>
    </cfRule>
  </conditionalFormatting>
  <conditionalFormatting sqref="G77">
    <cfRule type="cellIs" dxfId="78" priority="5" stopIfTrue="1" operator="equal">
      <formula>"ERROR – Does not Capital asset increases: Reclassifications – CIP above"</formula>
    </cfRule>
  </conditionalFormatting>
  <pageMargins left="0.45" right="0.45" top="0.45" bottom="0.4" header="0.5" footer="0.25"/>
  <pageSetup scale="81" orientation="landscape" r:id="rId1"/>
  <headerFooter alignWithMargins="0">
    <oddFooter>Page &amp;P of &amp;N</oddFooter>
  </headerFooter>
  <rowBreaks count="1" manualBreakCount="1">
    <brk id="52" max="13" man="1"/>
  </rowBreaks>
  <ignoredErrors>
    <ignoredError sqref="A54 A10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T48"/>
  <sheetViews>
    <sheetView zoomScaleNormal="100" workbookViewId="0">
      <selection activeCell="F12" sqref="F12"/>
    </sheetView>
  </sheetViews>
  <sheetFormatPr defaultRowHeight="12.75"/>
  <cols>
    <col min="1" max="2" width="2.28515625" customWidth="1"/>
    <col min="3" max="3" width="26.85546875" customWidth="1"/>
    <col min="4" max="4" width="16.7109375" customWidth="1"/>
    <col min="5" max="5" width="0.85546875" customWidth="1"/>
    <col min="6" max="6" width="15.7109375" customWidth="1"/>
    <col min="7" max="7" width="0.85546875" customWidth="1"/>
    <col min="8" max="8" width="13.28515625" customWidth="1"/>
    <col min="9" max="9" width="3" customWidth="1"/>
    <col min="10" max="10" width="14.5703125" bestFit="1" customWidth="1"/>
    <col min="11" max="11" width="3.140625" customWidth="1"/>
    <col min="12" max="12" width="15.5703125" customWidth="1"/>
    <col min="13" max="13" width="0.85546875" customWidth="1"/>
    <col min="14" max="14" width="13.28515625" customWidth="1"/>
    <col min="15" max="15" width="0.85546875" customWidth="1"/>
    <col min="16" max="16" width="14.140625" bestFit="1" customWidth="1"/>
    <col min="17" max="17" width="3.28515625" customWidth="1"/>
  </cols>
  <sheetData>
    <row r="1" spans="1:20">
      <c r="A1" s="12" t="str">
        <f>Info!C4</f>
        <v>Select Proprietary Fund (Click Here)</v>
      </c>
      <c r="P1" s="28" t="s">
        <v>369</v>
      </c>
    </row>
    <row r="2" spans="1:20">
      <c r="A2" s="12" t="s">
        <v>370</v>
      </c>
    </row>
    <row r="3" spans="1:20">
      <c r="A3" s="12" t="s">
        <v>184</v>
      </c>
    </row>
    <row r="4" spans="1:20" ht="13.5" thickBot="1">
      <c r="A4" s="23"/>
      <c r="B4" s="16"/>
      <c r="C4" s="16"/>
      <c r="D4" s="16"/>
      <c r="E4" s="16"/>
      <c r="F4" s="16"/>
      <c r="G4" s="16"/>
      <c r="H4" s="16"/>
      <c r="I4" s="16"/>
      <c r="J4" s="16"/>
      <c r="K4" s="16"/>
      <c r="L4" s="16"/>
      <c r="M4" s="16"/>
      <c r="N4" s="16"/>
      <c r="O4" s="16"/>
      <c r="P4" s="16"/>
    </row>
    <row r="5" spans="1:20">
      <c r="A5" s="12"/>
    </row>
    <row r="6" spans="1:20">
      <c r="A6" s="49"/>
      <c r="B6" s="49"/>
      <c r="C6" s="49"/>
      <c r="D6" s="34" t="s">
        <v>274</v>
      </c>
      <c r="E6" s="34"/>
      <c r="F6" s="34" t="s">
        <v>275</v>
      </c>
      <c r="G6" s="34"/>
      <c r="H6" s="34"/>
      <c r="I6" s="34"/>
      <c r="J6" s="34"/>
      <c r="K6" s="34"/>
      <c r="L6" s="34" t="s">
        <v>278</v>
      </c>
      <c r="M6" s="49"/>
      <c r="N6" s="34" t="s">
        <v>371</v>
      </c>
      <c r="O6" s="49"/>
      <c r="P6" s="49"/>
      <c r="Q6" s="49"/>
    </row>
    <row r="7" spans="1:20">
      <c r="A7" s="49"/>
      <c r="B7" s="49"/>
      <c r="C7" s="49"/>
      <c r="D7" s="35" t="s">
        <v>279</v>
      </c>
      <c r="E7" s="34"/>
      <c r="F7" s="35" t="s">
        <v>372</v>
      </c>
      <c r="G7" s="36"/>
      <c r="H7" s="35" t="s">
        <v>373</v>
      </c>
      <c r="I7" s="36"/>
      <c r="J7" s="35" t="s">
        <v>374</v>
      </c>
      <c r="K7" s="36"/>
      <c r="L7" s="35" t="s">
        <v>279</v>
      </c>
      <c r="M7" s="49"/>
      <c r="N7" s="35" t="s">
        <v>375</v>
      </c>
      <c r="O7" s="49"/>
      <c r="P7" s="42" t="s">
        <v>62</v>
      </c>
      <c r="Q7" s="49"/>
    </row>
    <row r="8" spans="1:20" s="88" customFormat="1" ht="13.5" hidden="1">
      <c r="A8" s="198" t="s">
        <v>376</v>
      </c>
      <c r="B8" s="198"/>
      <c r="C8" s="198"/>
      <c r="D8" s="199">
        <v>0</v>
      </c>
      <c r="E8" s="254"/>
      <c r="F8" s="184">
        <v>0</v>
      </c>
      <c r="G8" s="254"/>
      <c r="H8" s="184">
        <v>0</v>
      </c>
      <c r="I8" s="255"/>
      <c r="J8" s="184">
        <v>0</v>
      </c>
      <c r="K8" s="200" t="s">
        <v>377</v>
      </c>
      <c r="L8" s="199">
        <f t="shared" ref="L8:L13" si="0">D8+F8+H8-J8</f>
        <v>0</v>
      </c>
      <c r="M8" s="254"/>
      <c r="N8" s="184">
        <v>0</v>
      </c>
      <c r="O8" s="198"/>
      <c r="P8" s="199">
        <f t="shared" ref="P8:P13" si="1">H8-J8</f>
        <v>0</v>
      </c>
      <c r="Q8" s="256"/>
      <c r="R8" s="88" t="s">
        <v>378</v>
      </c>
      <c r="T8" s="88" t="s">
        <v>379</v>
      </c>
    </row>
    <row r="9" spans="1:20" ht="13.5">
      <c r="A9" s="49" t="s">
        <v>124</v>
      </c>
      <c r="B9" s="49"/>
      <c r="C9" s="49"/>
      <c r="D9" s="105">
        <f>'Exh A'!G84+'Exh A'!G59</f>
        <v>0</v>
      </c>
      <c r="E9" s="250"/>
      <c r="F9" s="69">
        <v>0</v>
      </c>
      <c r="G9" s="250"/>
      <c r="H9" s="69">
        <v>0</v>
      </c>
      <c r="I9" s="257"/>
      <c r="J9" s="69">
        <v>0</v>
      </c>
      <c r="K9" s="206" t="s">
        <v>380</v>
      </c>
      <c r="L9" s="105">
        <f t="shared" si="0"/>
        <v>0</v>
      </c>
      <c r="M9" s="250"/>
      <c r="N9" s="75">
        <f>'Exh A'!E59</f>
        <v>0</v>
      </c>
      <c r="O9" s="49"/>
      <c r="P9" s="105">
        <f t="shared" si="1"/>
        <v>0</v>
      </c>
      <c r="Q9" s="33"/>
    </row>
    <row r="10" spans="1:20" s="88" customFormat="1" ht="13.5" hidden="1">
      <c r="A10" s="198" t="s">
        <v>381</v>
      </c>
      <c r="B10" s="198"/>
      <c r="C10" s="198"/>
      <c r="D10" s="199">
        <v>0</v>
      </c>
      <c r="E10" s="254"/>
      <c r="F10" s="184">
        <v>0</v>
      </c>
      <c r="G10" s="254"/>
      <c r="H10" s="184">
        <v>0</v>
      </c>
      <c r="I10" s="255"/>
      <c r="J10" s="184">
        <v>0</v>
      </c>
      <c r="K10" s="200" t="s">
        <v>382</v>
      </c>
      <c r="L10" s="199">
        <f t="shared" si="0"/>
        <v>0</v>
      </c>
      <c r="M10" s="254"/>
      <c r="N10" s="184">
        <v>0</v>
      </c>
      <c r="O10" s="198"/>
      <c r="P10" s="199">
        <f t="shared" si="1"/>
        <v>0</v>
      </c>
      <c r="Q10" s="256"/>
      <c r="T10" s="88" t="s">
        <v>379</v>
      </c>
    </row>
    <row r="11" spans="1:20" ht="13.5">
      <c r="A11" s="49" t="s">
        <v>383</v>
      </c>
      <c r="B11" s="49"/>
      <c r="C11" s="49"/>
      <c r="D11" s="105">
        <f>'Exh A'!G69+'Exh A'!G85</f>
        <v>0</v>
      </c>
      <c r="E11" s="59"/>
      <c r="F11" s="69">
        <v>0</v>
      </c>
      <c r="G11" s="59"/>
      <c r="H11" s="69">
        <v>0</v>
      </c>
      <c r="I11" s="47" t="s">
        <v>384</v>
      </c>
      <c r="J11" s="69">
        <v>0</v>
      </c>
      <c r="K11" s="47" t="s">
        <v>385</v>
      </c>
      <c r="L11" s="105">
        <f t="shared" si="0"/>
        <v>0</v>
      </c>
      <c r="M11" s="59"/>
      <c r="N11" s="105">
        <f>'Exh A'!E69</f>
        <v>0</v>
      </c>
      <c r="O11" s="49"/>
      <c r="P11" s="105">
        <f t="shared" si="1"/>
        <v>0</v>
      </c>
      <c r="Q11" s="33"/>
      <c r="R11" t="s">
        <v>20</v>
      </c>
    </row>
    <row r="12" spans="1:20" ht="13.5">
      <c r="A12" s="49" t="s">
        <v>386</v>
      </c>
      <c r="B12" s="49"/>
      <c r="C12" s="49"/>
      <c r="D12" s="105">
        <f>'Exh A'!G70+'Exh A'!G86</f>
        <v>0</v>
      </c>
      <c r="E12" s="59"/>
      <c r="F12" s="69">
        <v>0</v>
      </c>
      <c r="G12" s="59"/>
      <c r="H12" s="69">
        <v>0</v>
      </c>
      <c r="I12" s="47" t="s">
        <v>387</v>
      </c>
      <c r="J12" s="69">
        <v>0</v>
      </c>
      <c r="K12" s="47" t="s">
        <v>388</v>
      </c>
      <c r="L12" s="105">
        <f t="shared" si="0"/>
        <v>0</v>
      </c>
      <c r="M12" s="59"/>
      <c r="N12" s="105">
        <f>'Exh A'!E70</f>
        <v>0</v>
      </c>
      <c r="O12" s="49"/>
      <c r="P12" s="105">
        <f t="shared" si="1"/>
        <v>0</v>
      </c>
      <c r="Q12" s="33"/>
    </row>
    <row r="13" spans="1:20" ht="13.5">
      <c r="A13" s="49" t="s">
        <v>144</v>
      </c>
      <c r="B13" s="49"/>
      <c r="C13" s="49"/>
      <c r="D13" s="105">
        <f>'Exh A'!G71+'Exh A'!G87</f>
        <v>0</v>
      </c>
      <c r="E13" s="59"/>
      <c r="F13" s="69">
        <v>0</v>
      </c>
      <c r="G13" s="59"/>
      <c r="H13" s="69">
        <v>0</v>
      </c>
      <c r="I13" s="47"/>
      <c r="J13" s="69">
        <v>0</v>
      </c>
      <c r="K13" s="47"/>
      <c r="L13" s="105">
        <f t="shared" si="0"/>
        <v>0</v>
      </c>
      <c r="M13" s="59"/>
      <c r="N13" s="75">
        <f>'Exh A'!E71</f>
        <v>0</v>
      </c>
      <c r="O13" s="49"/>
      <c r="P13" s="105">
        <f t="shared" si="1"/>
        <v>0</v>
      </c>
      <c r="Q13" s="33"/>
      <c r="R13" t="s">
        <v>378</v>
      </c>
    </row>
    <row r="14" spans="1:20">
      <c r="A14" s="49" t="s">
        <v>389</v>
      </c>
      <c r="B14" s="49"/>
      <c r="C14" s="49"/>
      <c r="D14" s="105">
        <f>'Exh A'!G88</f>
        <v>0</v>
      </c>
      <c r="E14" s="34"/>
      <c r="F14" s="69">
        <v>0</v>
      </c>
      <c r="G14" s="36"/>
      <c r="H14" s="69">
        <v>0</v>
      </c>
      <c r="I14" s="36"/>
      <c r="J14" s="69">
        <v>0</v>
      </c>
      <c r="K14" s="36"/>
      <c r="L14" s="105">
        <f t="shared" ref="L14:L22" si="2">D14+F14+H14-J14</f>
        <v>0</v>
      </c>
      <c r="M14" s="49"/>
      <c r="N14" s="69">
        <v>0</v>
      </c>
      <c r="O14" s="49"/>
      <c r="P14" s="105">
        <f t="shared" ref="P14:P21" si="3">H14-J14</f>
        <v>0</v>
      </c>
      <c r="Q14" s="49"/>
      <c r="R14" t="s">
        <v>378</v>
      </c>
    </row>
    <row r="15" spans="1:20">
      <c r="A15" s="49" t="s">
        <v>390</v>
      </c>
      <c r="B15" s="49"/>
      <c r="C15" s="49"/>
      <c r="D15" s="105">
        <f>'Exh A'!G89</f>
        <v>0</v>
      </c>
      <c r="E15" s="34"/>
      <c r="F15" s="69">
        <v>0</v>
      </c>
      <c r="G15" s="36"/>
      <c r="H15" s="69">
        <v>0</v>
      </c>
      <c r="I15" s="36"/>
      <c r="J15" s="69">
        <v>0</v>
      </c>
      <c r="K15" s="36"/>
      <c r="L15" s="105">
        <f t="shared" si="2"/>
        <v>0</v>
      </c>
      <c r="M15" s="49"/>
      <c r="N15" s="69">
        <v>0</v>
      </c>
      <c r="O15" s="49"/>
      <c r="P15" s="105">
        <f t="shared" si="3"/>
        <v>0</v>
      </c>
      <c r="Q15" s="49"/>
      <c r="R15" t="s">
        <v>378</v>
      </c>
    </row>
    <row r="16" spans="1:20">
      <c r="A16" s="49" t="s">
        <v>391</v>
      </c>
      <c r="B16" s="49"/>
      <c r="C16" s="49"/>
      <c r="D16" s="105">
        <f>'Exh A'!G90</f>
        <v>0</v>
      </c>
      <c r="E16" s="34"/>
      <c r="F16" s="69">
        <v>0</v>
      </c>
      <c r="G16" s="36"/>
      <c r="H16" s="69">
        <v>0</v>
      </c>
      <c r="I16" s="36"/>
      <c r="J16" s="69">
        <v>0</v>
      </c>
      <c r="K16" s="36"/>
      <c r="L16" s="105">
        <f t="shared" si="2"/>
        <v>0</v>
      </c>
      <c r="M16" s="49"/>
      <c r="N16" s="69">
        <v>0</v>
      </c>
      <c r="O16" s="49"/>
      <c r="P16" s="105">
        <f t="shared" si="3"/>
        <v>0</v>
      </c>
      <c r="Q16" s="49"/>
      <c r="R16" t="s">
        <v>378</v>
      </c>
    </row>
    <row r="17" spans="1:18">
      <c r="A17" s="49" t="s">
        <v>392</v>
      </c>
      <c r="B17" s="49"/>
      <c r="C17" s="49"/>
      <c r="D17" s="105">
        <f>'Exh A'!G74+'Exh A'!G92</f>
        <v>0</v>
      </c>
      <c r="E17" s="34"/>
      <c r="F17" s="69"/>
      <c r="G17" s="36"/>
      <c r="H17" s="69"/>
      <c r="I17" s="36"/>
      <c r="J17" s="69"/>
      <c r="K17" s="36"/>
      <c r="L17" s="105">
        <f t="shared" si="2"/>
        <v>0</v>
      </c>
      <c r="M17" s="49"/>
      <c r="N17" s="105">
        <f>'Exh A'!E74</f>
        <v>0</v>
      </c>
      <c r="O17" s="49"/>
      <c r="P17" s="105">
        <f t="shared" si="3"/>
        <v>0</v>
      </c>
      <c r="Q17" s="49" t="s">
        <v>393</v>
      </c>
    </row>
    <row r="18" spans="1:18" ht="13.5">
      <c r="A18" s="49" t="s">
        <v>150</v>
      </c>
      <c r="B18" s="49"/>
      <c r="C18" s="49"/>
      <c r="D18" s="105">
        <f>'Exh A'!G75+'Exh A'!G93</f>
        <v>0</v>
      </c>
      <c r="E18" s="59"/>
      <c r="F18" s="69">
        <v>0</v>
      </c>
      <c r="G18" s="59"/>
      <c r="H18" s="69">
        <v>0</v>
      </c>
      <c r="I18" s="47"/>
      <c r="J18" s="69">
        <v>0</v>
      </c>
      <c r="K18" s="47"/>
      <c r="L18" s="105">
        <f t="shared" si="2"/>
        <v>0</v>
      </c>
      <c r="M18" s="59"/>
      <c r="N18" s="75">
        <f>'Exh A'!E75</f>
        <v>0</v>
      </c>
      <c r="O18" s="49"/>
      <c r="P18" s="105">
        <f t="shared" si="3"/>
        <v>0</v>
      </c>
      <c r="Q18" s="33"/>
      <c r="R18" t="s">
        <v>394</v>
      </c>
    </row>
    <row r="19" spans="1:18" ht="13.5">
      <c r="A19" s="49" t="s">
        <v>151</v>
      </c>
      <c r="B19" s="49"/>
      <c r="C19" s="49"/>
      <c r="D19" s="105">
        <f>'Exh A'!G76+'Exh A'!G94</f>
        <v>0</v>
      </c>
      <c r="E19" s="59"/>
      <c r="F19" s="69">
        <v>0</v>
      </c>
      <c r="G19" s="59"/>
      <c r="H19" s="69">
        <v>0</v>
      </c>
      <c r="I19" s="47"/>
      <c r="J19" s="69">
        <v>0</v>
      </c>
      <c r="K19" s="47"/>
      <c r="L19" s="105">
        <f t="shared" si="2"/>
        <v>0</v>
      </c>
      <c r="M19" s="59"/>
      <c r="N19" s="105">
        <f>+'Exh A'!E76</f>
        <v>0</v>
      </c>
      <c r="O19" s="49"/>
      <c r="P19" s="105">
        <f>H19-J19</f>
        <v>0</v>
      </c>
      <c r="Q19" s="33" t="s">
        <v>395</v>
      </c>
    </row>
    <row r="20" spans="1:18">
      <c r="A20" s="49" t="s">
        <v>396</v>
      </c>
      <c r="B20" s="49"/>
      <c r="C20" s="49"/>
      <c r="D20" s="105">
        <f>'Exh A'!G77+'Exh A'!G95</f>
        <v>0</v>
      </c>
      <c r="E20" s="59"/>
      <c r="F20" s="69"/>
      <c r="G20" s="59"/>
      <c r="H20" s="151"/>
      <c r="I20" s="258"/>
      <c r="J20" s="151"/>
      <c r="K20" s="258"/>
      <c r="L20" s="105">
        <f t="shared" si="2"/>
        <v>0</v>
      </c>
      <c r="M20" s="59"/>
      <c r="N20" s="105">
        <f>+'Exh A'!E77</f>
        <v>0</v>
      </c>
      <c r="O20" s="49"/>
      <c r="P20" s="105">
        <f t="shared" si="3"/>
        <v>0</v>
      </c>
      <c r="Q20" s="44" t="s">
        <v>397</v>
      </c>
    </row>
    <row r="21" spans="1:18">
      <c r="A21" s="49" t="s">
        <v>153</v>
      </c>
      <c r="B21" s="49"/>
      <c r="C21" s="49"/>
      <c r="D21" s="105">
        <f>+'Exh A'!G78+'Exh A'!G96</f>
        <v>0</v>
      </c>
      <c r="E21" s="59"/>
      <c r="F21" s="69"/>
      <c r="G21" s="59"/>
      <c r="H21" s="151"/>
      <c r="I21" s="258"/>
      <c r="J21" s="151"/>
      <c r="K21" s="258"/>
      <c r="L21" s="105">
        <f t="shared" si="2"/>
        <v>0</v>
      </c>
      <c r="M21" s="59"/>
      <c r="N21" s="105">
        <f>+'Exh A'!E78</f>
        <v>0</v>
      </c>
      <c r="O21" s="49"/>
      <c r="P21" s="105">
        <f t="shared" si="3"/>
        <v>0</v>
      </c>
      <c r="Q21" s="44" t="s">
        <v>398</v>
      </c>
    </row>
    <row r="22" spans="1:18">
      <c r="A22" s="49" t="s">
        <v>163</v>
      </c>
      <c r="B22" s="49"/>
      <c r="C22" s="49"/>
      <c r="D22" s="105">
        <f>+'Exh A'!G97</f>
        <v>0</v>
      </c>
      <c r="E22" s="59"/>
      <c r="F22" s="69"/>
      <c r="G22" s="59"/>
      <c r="H22" s="148"/>
      <c r="I22" s="257"/>
      <c r="J22" s="70"/>
      <c r="K22" s="257"/>
      <c r="L22" s="105">
        <f t="shared" si="2"/>
        <v>0</v>
      </c>
      <c r="M22" s="59"/>
      <c r="N22" s="69">
        <v>0</v>
      </c>
      <c r="O22" s="49"/>
      <c r="P22" s="105">
        <f>H22-J22</f>
        <v>0</v>
      </c>
      <c r="Q22" s="44" t="s">
        <v>399</v>
      </c>
    </row>
    <row r="23" spans="1:18" ht="13.5" thickBot="1">
      <c r="A23" s="259" t="s">
        <v>400</v>
      </c>
      <c r="C23" s="49"/>
      <c r="D23" s="112">
        <f>SUM(D8:D22)</f>
        <v>0</v>
      </c>
      <c r="E23" s="250"/>
      <c r="F23" s="112">
        <f>SUM(F8:F22)</f>
        <v>0</v>
      </c>
      <c r="G23" s="250"/>
      <c r="H23" s="113">
        <f>SUM(H8:H22)</f>
        <v>0</v>
      </c>
      <c r="I23" s="250"/>
      <c r="J23" s="113">
        <f>SUM(J8:J22)</f>
        <v>0</v>
      </c>
      <c r="K23" s="250"/>
      <c r="L23" s="112">
        <f>SUM(L8:L22)</f>
        <v>0</v>
      </c>
      <c r="M23" s="250"/>
      <c r="N23" s="112">
        <f>SUM(N8:N22)</f>
        <v>0</v>
      </c>
      <c r="O23" s="49"/>
      <c r="P23" s="112">
        <f>SUM(P8:P22)</f>
        <v>0</v>
      </c>
      <c r="Q23" s="49"/>
    </row>
    <row r="24" spans="1:18" ht="13.5" thickTop="1">
      <c r="A24" s="49"/>
      <c r="B24" s="49"/>
      <c r="C24" s="49"/>
      <c r="D24" s="49"/>
      <c r="E24" s="49"/>
      <c r="F24" s="49"/>
      <c r="G24" s="49"/>
      <c r="H24" s="49"/>
      <c r="I24" s="49"/>
      <c r="J24" s="49"/>
      <c r="K24" s="49"/>
      <c r="L24" s="69"/>
      <c r="M24" s="49"/>
      <c r="N24" s="49"/>
      <c r="O24" s="49"/>
      <c r="P24" s="49"/>
      <c r="Q24" s="49"/>
    </row>
    <row r="25" spans="1:18" hidden="1">
      <c r="A25" s="230" t="s">
        <v>401</v>
      </c>
      <c r="B25" s="260"/>
      <c r="C25" s="260"/>
      <c r="D25" s="260"/>
      <c r="E25" s="260"/>
      <c r="F25" s="260"/>
      <c r="G25" s="260"/>
      <c r="H25" s="260"/>
      <c r="I25" s="260"/>
      <c r="J25" s="260"/>
      <c r="K25" s="49"/>
      <c r="L25" s="49"/>
      <c r="M25" s="49"/>
      <c r="N25" s="49"/>
      <c r="O25" s="49"/>
      <c r="P25" s="49"/>
      <c r="Q25" s="49"/>
    </row>
    <row r="26" spans="1:18" hidden="1">
      <c r="A26" s="201"/>
      <c r="B26" s="231" t="s">
        <v>402</v>
      </c>
      <c r="C26" s="260"/>
      <c r="D26" s="260"/>
      <c r="E26" s="260"/>
      <c r="F26" s="261"/>
      <c r="G26" s="201"/>
      <c r="H26" s="261">
        <v>0</v>
      </c>
      <c r="I26" s="262" t="s">
        <v>403</v>
      </c>
      <c r="J26" s="201"/>
      <c r="K26" s="49"/>
      <c r="L26" s="49"/>
      <c r="M26" s="49"/>
      <c r="N26" s="49"/>
      <c r="O26" s="49"/>
      <c r="P26" s="49"/>
      <c r="Q26" s="49"/>
    </row>
    <row r="27" spans="1:18" hidden="1">
      <c r="A27" s="201"/>
      <c r="B27" s="231" t="s">
        <v>404</v>
      </c>
      <c r="C27" s="260"/>
      <c r="D27" s="260"/>
      <c r="E27" s="260"/>
      <c r="F27" s="261"/>
      <c r="G27" s="201"/>
      <c r="H27" s="261"/>
      <c r="I27" s="262"/>
      <c r="J27" s="201"/>
      <c r="K27" s="49"/>
      <c r="L27" s="49"/>
      <c r="M27" s="49"/>
      <c r="N27" s="49"/>
      <c r="O27" s="49"/>
      <c r="P27" s="49"/>
      <c r="Q27" s="49"/>
    </row>
    <row r="28" spans="1:18" hidden="1">
      <c r="A28" s="260"/>
      <c r="B28" s="201"/>
      <c r="C28" s="231" t="s">
        <v>341</v>
      </c>
      <c r="D28" s="260"/>
      <c r="E28" s="260"/>
      <c r="F28" s="263"/>
      <c r="G28" s="260"/>
      <c r="H28" s="264">
        <f>SUM(H26:H27)</f>
        <v>0</v>
      </c>
      <c r="I28" s="260"/>
      <c r="J28" s="260"/>
      <c r="K28" s="49"/>
      <c r="L28" s="49"/>
      <c r="M28" s="49"/>
      <c r="N28" s="49"/>
      <c r="O28" s="49"/>
      <c r="P28" s="49"/>
      <c r="Q28" s="49"/>
    </row>
    <row r="29" spans="1:18" hidden="1">
      <c r="A29" s="260"/>
      <c r="B29" s="232" t="s">
        <v>405</v>
      </c>
      <c r="C29" s="260"/>
      <c r="D29" s="260"/>
      <c r="E29" s="260"/>
      <c r="F29" s="233"/>
      <c r="G29" s="260"/>
      <c r="H29" s="233" t="str">
        <f>IF(H28=H8+H13+H14,"OK","ERROR")</f>
        <v>OK</v>
      </c>
      <c r="I29" s="260"/>
      <c r="J29" s="260"/>
      <c r="K29" s="49"/>
      <c r="L29" s="49" t="s">
        <v>406</v>
      </c>
      <c r="M29" s="49"/>
      <c r="N29" s="49"/>
      <c r="O29" s="49"/>
      <c r="P29" s="49"/>
      <c r="Q29" s="49"/>
    </row>
    <row r="30" spans="1:18">
      <c r="A30" s="49"/>
      <c r="B30" s="40"/>
      <c r="C30" s="49"/>
      <c r="D30" s="49"/>
      <c r="E30" s="49"/>
      <c r="F30" s="39"/>
      <c r="G30" s="49"/>
      <c r="H30" s="49"/>
      <c r="I30" s="49"/>
      <c r="J30" s="49"/>
      <c r="K30" s="49"/>
      <c r="L30" s="49"/>
      <c r="M30" s="49"/>
      <c r="N30" s="49"/>
      <c r="O30" s="49"/>
      <c r="P30" s="49"/>
      <c r="Q30" s="49"/>
    </row>
    <row r="31" spans="1:18">
      <c r="A31" s="49"/>
      <c r="B31" s="49"/>
      <c r="C31" s="49"/>
      <c r="D31" s="49"/>
      <c r="E31" s="49"/>
      <c r="F31" s="49"/>
      <c r="G31" s="49"/>
      <c r="H31" s="49"/>
      <c r="I31" s="49"/>
      <c r="J31" s="49"/>
      <c r="K31" s="49"/>
      <c r="L31" s="49"/>
      <c r="M31" s="49"/>
      <c r="N31" s="49"/>
      <c r="O31" s="49"/>
      <c r="P31" s="49"/>
      <c r="Q31" s="49"/>
    </row>
    <row r="32" spans="1:18">
      <c r="A32" s="121" t="s">
        <v>407</v>
      </c>
      <c r="B32" s="49"/>
      <c r="C32" s="49"/>
      <c r="D32" s="49"/>
      <c r="E32" s="49"/>
      <c r="F32" s="49"/>
      <c r="G32" s="49"/>
      <c r="H32" s="49"/>
      <c r="I32" s="49"/>
      <c r="J32" s="49"/>
      <c r="K32" s="49"/>
      <c r="L32" s="49"/>
      <c r="M32" s="49"/>
      <c r="N32" s="49"/>
      <c r="O32" s="49"/>
      <c r="P32" s="49"/>
      <c r="Q32" s="49"/>
    </row>
    <row r="33" spans="1:17">
      <c r="A33" s="287" t="s">
        <v>315</v>
      </c>
      <c r="B33" s="290"/>
      <c r="C33" s="122" t="s">
        <v>408</v>
      </c>
      <c r="D33" s="122"/>
      <c r="E33" s="122"/>
      <c r="F33" s="122"/>
      <c r="G33" s="122"/>
      <c r="H33" s="122"/>
      <c r="I33" s="122"/>
      <c r="J33" s="122"/>
      <c r="K33" s="49"/>
      <c r="L33" s="49"/>
      <c r="M33" s="49"/>
      <c r="N33" s="49"/>
      <c r="O33" s="49"/>
      <c r="P33" s="49"/>
      <c r="Q33" s="49"/>
    </row>
    <row r="34" spans="1:17" ht="6.95" customHeight="1">
      <c r="A34" s="43"/>
      <c r="B34" s="49"/>
      <c r="C34" s="49"/>
      <c r="D34" s="49"/>
      <c r="E34" s="49"/>
      <c r="F34" s="49"/>
      <c r="G34" s="49"/>
      <c r="H34" s="49"/>
      <c r="I34" s="49"/>
      <c r="J34" s="49"/>
      <c r="K34" s="49"/>
      <c r="L34" s="49"/>
      <c r="M34" s="49"/>
      <c r="N34" s="49"/>
      <c r="O34" s="49"/>
      <c r="P34" s="49"/>
      <c r="Q34" s="49"/>
    </row>
    <row r="35" spans="1:17">
      <c r="A35" s="287" t="s">
        <v>367</v>
      </c>
      <c r="B35" s="287"/>
      <c r="C35" s="286" t="s">
        <v>316</v>
      </c>
      <c r="D35" s="286"/>
      <c r="E35" s="286"/>
      <c r="F35" s="286"/>
      <c r="G35" s="286"/>
      <c r="H35" s="286"/>
      <c r="I35" s="286"/>
      <c r="J35" s="286"/>
      <c r="K35" s="286"/>
      <c r="L35" s="286"/>
      <c r="M35" s="286"/>
      <c r="N35" s="286"/>
      <c r="O35" s="286"/>
      <c r="P35" s="286"/>
      <c r="Q35" s="49"/>
    </row>
    <row r="36" spans="1:17">
      <c r="A36" s="210"/>
      <c r="C36" s="286" t="s">
        <v>317</v>
      </c>
      <c r="D36" s="286"/>
      <c r="E36" s="49"/>
      <c r="F36" s="68"/>
      <c r="G36" s="250"/>
      <c r="H36" s="68"/>
      <c r="I36" s="250"/>
      <c r="J36" s="68"/>
      <c r="K36" s="250"/>
      <c r="L36" s="68"/>
      <c r="M36" s="250"/>
      <c r="N36" s="49"/>
      <c r="O36" s="49"/>
      <c r="P36" s="49"/>
      <c r="Q36" s="49"/>
    </row>
    <row r="37" spans="1:17">
      <c r="A37" s="49"/>
      <c r="B37" s="49"/>
      <c r="C37" s="49"/>
      <c r="D37" s="49"/>
      <c r="E37" s="49"/>
      <c r="F37" s="49"/>
      <c r="G37" s="49"/>
      <c r="H37" s="49"/>
      <c r="I37" s="49"/>
      <c r="J37" s="49"/>
      <c r="K37" s="49"/>
      <c r="L37" s="49"/>
      <c r="M37" s="49"/>
      <c r="N37" s="49"/>
      <c r="O37" s="49"/>
      <c r="P37" s="49"/>
      <c r="Q37" s="49"/>
    </row>
    <row r="38" spans="1:17">
      <c r="A38" s="43" t="s">
        <v>268</v>
      </c>
      <c r="B38" s="49"/>
      <c r="C38" s="49"/>
      <c r="D38" s="49"/>
      <c r="E38" s="49"/>
      <c r="F38" s="49"/>
      <c r="G38" s="49"/>
      <c r="H38" s="49"/>
      <c r="I38" s="49"/>
      <c r="J38" s="49"/>
      <c r="K38" s="49"/>
      <c r="L38" s="49"/>
      <c r="M38" s="49"/>
      <c r="N38" s="49"/>
      <c r="O38" s="49"/>
      <c r="P38" s="49"/>
      <c r="Q38" s="49"/>
    </row>
    <row r="39" spans="1:17" ht="6" customHeight="1">
      <c r="A39" s="43"/>
      <c r="B39" s="49"/>
      <c r="C39" s="49"/>
      <c r="D39" s="49"/>
      <c r="E39" s="49"/>
      <c r="F39" s="49"/>
      <c r="G39" s="49"/>
      <c r="H39" s="49"/>
      <c r="I39" s="49"/>
      <c r="J39" s="49"/>
      <c r="K39" s="49"/>
      <c r="L39" s="49"/>
      <c r="M39" s="49"/>
      <c r="N39" s="49"/>
      <c r="O39" s="49"/>
      <c r="P39" s="49"/>
      <c r="Q39" s="49"/>
    </row>
    <row r="40" spans="1:17">
      <c r="A40" s="26" t="s">
        <v>409</v>
      </c>
      <c r="B40" s="49"/>
      <c r="C40" s="49"/>
      <c r="D40" s="49"/>
      <c r="E40" s="49"/>
      <c r="F40" s="49"/>
      <c r="G40" s="49"/>
      <c r="H40" s="49"/>
      <c r="I40" s="49"/>
      <c r="J40" s="39" t="str">
        <f>IF(D23+F23='Exh A'!K69+'Exh A'!K70+'Exh A'!K71+'Exh A'!K75+'Exh A'!K76+'Exh A'!K77+'Exh A'!K78+'Exh A'!K84+'Exh A'!K85+'Exh A'!K86+'Exh A'!K87+'Exh A'!K88+'Exh A'!K89+'Exh A'!K90+'Exh A'!K93+'Exh A'!K94+'Exh A'!K95+'Exh A'!K96+'Exh A'!K97+'Exh A'!K74+'Exh A'!K92+'Exh A'!K59,"OK","ERROR")</f>
        <v>OK</v>
      </c>
      <c r="K40" s="49"/>
      <c r="L40" s="49"/>
      <c r="M40" s="49"/>
      <c r="N40" s="49"/>
      <c r="O40" s="49"/>
      <c r="P40" s="49"/>
      <c r="Q40" s="49"/>
    </row>
    <row r="41" spans="1:17" ht="6" customHeight="1">
      <c r="A41" s="26"/>
      <c r="B41" s="49"/>
      <c r="C41" s="49"/>
      <c r="D41" s="49"/>
      <c r="E41" s="49"/>
      <c r="F41" s="49"/>
      <c r="G41" s="49"/>
      <c r="H41" s="49"/>
      <c r="I41" s="49"/>
      <c r="J41" s="49"/>
      <c r="K41" s="49"/>
      <c r="L41" s="49"/>
      <c r="M41" s="49"/>
      <c r="N41" s="49"/>
      <c r="O41" s="49"/>
      <c r="P41" s="49"/>
      <c r="Q41" s="49"/>
    </row>
    <row r="42" spans="1:17">
      <c r="A42" s="26" t="s">
        <v>410</v>
      </c>
      <c r="B42" s="40"/>
      <c r="C42" s="49"/>
      <c r="D42" s="49"/>
      <c r="E42" s="49"/>
      <c r="F42" s="49"/>
      <c r="G42" s="49"/>
      <c r="H42" s="49"/>
      <c r="I42" s="49"/>
      <c r="J42" s="39" t="str">
        <f>IF(L23='Exh A'!E69+'Exh A'!E70+'Exh A'!E71+'Exh A'!E75+'Exh A'!E76+'Exh A'!E77+'Exh A'!E78+'Exh A'!E84+'Exh A'!E85+'Exh A'!E86+'Exh A'!E87+'Exh A'!E88+'Exh A'!E89+'Exh A'!E90+'Exh A'!E93+'Exh A'!E94+'Exh A'!E95+'Exh A'!E96+'Exh A'!E97+'Exh A'!E74+'Exh A'!E92+'Exh A'!E59,"OK","ERROR")</f>
        <v>OK</v>
      </c>
      <c r="K42" s="49"/>
      <c r="L42" s="49"/>
      <c r="M42" s="49"/>
      <c r="N42" s="49"/>
      <c r="O42" s="49"/>
      <c r="P42" s="49"/>
      <c r="Q42" s="49"/>
    </row>
    <row r="43" spans="1:17" ht="6" customHeight="1"/>
    <row r="44" spans="1:17">
      <c r="A44" s="26" t="s">
        <v>411</v>
      </c>
      <c r="J44" s="39" t="str">
        <f>IF(N23='Exh A'!E69+'Exh A'!E70+'Exh A'!E71+'Exh A'!E75+'Exh A'!E76+'Exh A'!E77+'Exh A'!E78+'Exh A'!E74+'Exh A'!E59,"OK","ERROR")</f>
        <v>OK</v>
      </c>
    </row>
    <row r="45" spans="1:17" ht="6" customHeight="1"/>
    <row r="46" spans="1:17">
      <c r="A46" s="26" t="s">
        <v>412</v>
      </c>
      <c r="J46" s="39" t="str">
        <f>IF(D_3=C_2,"OK","ERROR")</f>
        <v>OK</v>
      </c>
    </row>
    <row r="47" spans="1:17" ht="6" customHeight="1"/>
    <row r="48" spans="1:17">
      <c r="A48" s="26" t="s">
        <v>413</v>
      </c>
      <c r="J48" s="39" t="str">
        <f>IF(D_10=C_13,"OK","ERROR")</f>
        <v>OK</v>
      </c>
    </row>
  </sheetData>
  <sheetProtection algorithmName="SHA-512" hashValue="GlJ2fqgnfMIGXWvkFpyVXCZfXWC5fUsbjM/18GbnUbu0Zyt9IddZx4MyxN0TOTvqFznwdCWCGjvbu6/W9gd4Ng==" saltValue="CalzMpzJKgZi43JSPdYj7g==" spinCount="100000" sheet="1" autoFilter="0"/>
  <mergeCells count="4">
    <mergeCell ref="A35:B35"/>
    <mergeCell ref="A33:B33"/>
    <mergeCell ref="C36:D36"/>
    <mergeCell ref="C35:P35"/>
  </mergeCells>
  <phoneticPr fontId="0" type="noConversion"/>
  <conditionalFormatting sqref="F29:F30 J40 J42">
    <cfRule type="cellIs" dxfId="77" priority="5" stopIfTrue="1" operator="equal">
      <formula>"ERROR"</formula>
    </cfRule>
  </conditionalFormatting>
  <conditionalFormatting sqref="H29">
    <cfRule type="cellIs" dxfId="76" priority="3" stopIfTrue="1" operator="equal">
      <formula>"ERROR"</formula>
    </cfRule>
  </conditionalFormatting>
  <conditionalFormatting sqref="J44">
    <cfRule type="cellIs" dxfId="75" priority="2" stopIfTrue="1" operator="equal">
      <formula>"ERROR"</formula>
    </cfRule>
  </conditionalFormatting>
  <conditionalFormatting sqref="J46">
    <cfRule type="cellIs" dxfId="74" priority="4" stopIfTrue="1" operator="equal">
      <formula>"ERROR"</formula>
    </cfRule>
  </conditionalFormatting>
  <conditionalFormatting sqref="J48">
    <cfRule type="cellIs" dxfId="73" priority="1" stopIfTrue="1" operator="equal">
      <formula>"ERROR"</formula>
    </cfRule>
  </conditionalFormatting>
  <pageMargins left="0.4" right="0.4" top="0.5" bottom="0.5" header="0.5" footer="0.25"/>
  <pageSetup scale="89" orientation="landscape" r:id="rId1"/>
  <headerFooter alignWithMargins="0">
    <oddFooter>Page &amp;P of &amp;N</oddFooter>
  </headerFooter>
  <ignoredErrors>
    <ignoredError sqref="A33 A35"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230"/>
  <sheetViews>
    <sheetView zoomScale="130" zoomScaleNormal="130" zoomScaleSheetLayoutView="90" workbookViewId="0">
      <selection activeCell="B1" sqref="B1"/>
    </sheetView>
  </sheetViews>
  <sheetFormatPr defaultRowHeight="13.5"/>
  <cols>
    <col min="1" max="2" width="2.7109375" customWidth="1"/>
    <col min="3" max="3" width="75.7109375" customWidth="1"/>
    <col min="4" max="4" width="17" customWidth="1"/>
    <col min="5" max="5" width="4.42578125" style="48" customWidth="1"/>
    <col min="6" max="6" width="16.28515625" customWidth="1"/>
    <col min="7" max="7" width="4" customWidth="1"/>
    <col min="8" max="8" width="16.42578125" customWidth="1"/>
    <col min="9" max="9" width="4.5703125" style="48" customWidth="1"/>
    <col min="10" max="10" width="5.7109375" customWidth="1"/>
    <col min="12" max="12" width="18" customWidth="1"/>
  </cols>
  <sheetData>
    <row r="1" spans="1:9">
      <c r="A1" s="12" t="str">
        <f>Info!C4</f>
        <v>Select Proprietary Fund (Click Here)</v>
      </c>
      <c r="H1" s="28" t="s">
        <v>414</v>
      </c>
    </row>
    <row r="2" spans="1:9">
      <c r="A2" s="12" t="s">
        <v>415</v>
      </c>
    </row>
    <row r="3" spans="1:9" ht="9" customHeight="1" thickBot="1">
      <c r="A3" s="16"/>
      <c r="B3" s="16"/>
      <c r="C3" s="16"/>
      <c r="D3" s="16"/>
      <c r="E3" s="169"/>
      <c r="F3" s="16"/>
      <c r="G3" s="16"/>
      <c r="H3" s="16"/>
    </row>
    <row r="5" spans="1:9">
      <c r="D5" s="10">
        <v>2024</v>
      </c>
      <c r="F5" s="10">
        <v>2023</v>
      </c>
      <c r="H5" s="10" t="s">
        <v>62</v>
      </c>
    </row>
    <row r="6" spans="1:9">
      <c r="A6" s="269" t="s">
        <v>416</v>
      </c>
      <c r="D6" s="15"/>
      <c r="F6" s="15"/>
      <c r="H6" s="15"/>
    </row>
    <row r="7" spans="1:9">
      <c r="B7" s="1" t="s">
        <v>417</v>
      </c>
      <c r="D7" s="45">
        <v>0</v>
      </c>
      <c r="F7" s="45">
        <v>0</v>
      </c>
      <c r="H7" s="102">
        <f>D7-F7</f>
        <v>0</v>
      </c>
      <c r="I7" s="48" t="s">
        <v>418</v>
      </c>
    </row>
    <row r="8" spans="1:9">
      <c r="B8" s="1" t="s">
        <v>419</v>
      </c>
      <c r="D8" s="45">
        <v>0</v>
      </c>
      <c r="F8" s="45">
        <v>0</v>
      </c>
      <c r="H8" s="102">
        <f>D8-F8</f>
        <v>0</v>
      </c>
      <c r="I8" s="48" t="s">
        <v>420</v>
      </c>
    </row>
    <row r="9" spans="1:9" ht="12.75" customHeight="1">
      <c r="B9" s="1" t="s">
        <v>421</v>
      </c>
      <c r="D9" s="46">
        <v>0</v>
      </c>
      <c r="F9" s="46">
        <v>0</v>
      </c>
      <c r="H9" s="103">
        <f>D9-F9</f>
        <v>0</v>
      </c>
      <c r="I9" s="48" t="s">
        <v>422</v>
      </c>
    </row>
    <row r="10" spans="1:9" ht="13.5" customHeight="1">
      <c r="B10" s="1"/>
      <c r="C10" s="1" t="s">
        <v>341</v>
      </c>
      <c r="D10" s="103">
        <f>SUM(D7:D9)</f>
        <v>0</v>
      </c>
      <c r="F10" s="103">
        <f>SUM(F7:F9)</f>
        <v>0</v>
      </c>
      <c r="H10" s="103">
        <f>SUM(H7:H9)</f>
        <v>0</v>
      </c>
    </row>
    <row r="11" spans="1:9" ht="13.5" customHeight="1">
      <c r="C11" s="14" t="s">
        <v>289</v>
      </c>
      <c r="D11" s="24" t="str">
        <f>IF(D10='Exh A'!E17,"OK","ERROR")</f>
        <v>OK</v>
      </c>
      <c r="F11" s="24" t="str">
        <f>IF(F10='Exh A'!K17,"OK","ERROR")</f>
        <v>OK</v>
      </c>
      <c r="H11" s="15"/>
    </row>
    <row r="12" spans="1:9" ht="8.1" customHeight="1">
      <c r="D12" s="24"/>
      <c r="F12" s="24"/>
      <c r="H12" s="15"/>
    </row>
    <row r="13" spans="1:9">
      <c r="A13" s="269" t="s">
        <v>75</v>
      </c>
      <c r="B13" s="1"/>
      <c r="D13" s="45"/>
      <c r="E13" s="170"/>
      <c r="F13" s="45"/>
      <c r="G13" s="17"/>
      <c r="H13" s="17"/>
    </row>
    <row r="14" spans="1:9">
      <c r="A14" s="269"/>
      <c r="B14" s="1" t="s">
        <v>423</v>
      </c>
      <c r="D14" s="45">
        <v>0</v>
      </c>
      <c r="E14" s="170"/>
      <c r="F14" s="45">
        <v>0</v>
      </c>
      <c r="G14" s="17"/>
      <c r="H14" s="102">
        <f>D14-F14</f>
        <v>0</v>
      </c>
      <c r="I14" s="48" t="s">
        <v>424</v>
      </c>
    </row>
    <row r="15" spans="1:9" ht="12.75" customHeight="1">
      <c r="A15" s="269"/>
      <c r="B15" s="1" t="s">
        <v>425</v>
      </c>
      <c r="D15" s="45">
        <v>0</v>
      </c>
      <c r="E15" s="170"/>
      <c r="F15" s="45">
        <v>0</v>
      </c>
      <c r="G15" s="17"/>
      <c r="H15" s="102">
        <f>D15-F15</f>
        <v>0</v>
      </c>
      <c r="I15" s="48" t="s">
        <v>426</v>
      </c>
    </row>
    <row r="16" spans="1:9">
      <c r="B16" s="1" t="s">
        <v>427</v>
      </c>
      <c r="D16" s="45">
        <v>0</v>
      </c>
      <c r="E16" s="170"/>
      <c r="F16" s="45">
        <v>0</v>
      </c>
      <c r="G16" s="17"/>
      <c r="H16" s="102">
        <f>D16-F16</f>
        <v>0</v>
      </c>
      <c r="I16" s="48" t="s">
        <v>428</v>
      </c>
    </row>
    <row r="17" spans="1:15">
      <c r="B17" s="1" t="s">
        <v>429</v>
      </c>
      <c r="D17" s="46">
        <v>0</v>
      </c>
      <c r="E17" s="170"/>
      <c r="F17" s="46">
        <v>0</v>
      </c>
      <c r="G17" s="17"/>
      <c r="H17" s="103">
        <f>D17-F17</f>
        <v>0</v>
      </c>
      <c r="I17" s="48" t="s">
        <v>430</v>
      </c>
    </row>
    <row r="18" spans="1:15">
      <c r="C18" s="1" t="s">
        <v>341</v>
      </c>
      <c r="D18" s="103">
        <f>SUM(D14:D17)</f>
        <v>0</v>
      </c>
      <c r="E18" s="170"/>
      <c r="F18" s="103">
        <f>SUM(F14:F17)</f>
        <v>0</v>
      </c>
      <c r="G18" s="17"/>
      <c r="H18" s="104">
        <f>D18-F18</f>
        <v>0</v>
      </c>
      <c r="I18" s="90"/>
    </row>
    <row r="19" spans="1:15">
      <c r="B19" s="14"/>
      <c r="C19" s="14" t="s">
        <v>289</v>
      </c>
      <c r="D19" s="24" t="str">
        <f>IF(D18='Exh A'!E18,"OK","ERROR")</f>
        <v>OK</v>
      </c>
      <c r="E19" s="170"/>
      <c r="F19" s="24" t="str">
        <f>IF(F18='Exh A'!K18,"OK","ERROR")</f>
        <v>OK</v>
      </c>
      <c r="G19" s="17"/>
      <c r="H19" s="17"/>
      <c r="I19" s="90"/>
    </row>
    <row r="20" spans="1:15" ht="8.1" customHeight="1">
      <c r="B20" s="14"/>
      <c r="C20" s="14"/>
      <c r="D20" s="17"/>
      <c r="E20" s="170"/>
      <c r="F20" s="17"/>
      <c r="G20" s="17"/>
      <c r="H20" s="17"/>
      <c r="I20" s="90"/>
    </row>
    <row r="21" spans="1:15" ht="13.5" customHeight="1">
      <c r="A21" s="269" t="s">
        <v>82</v>
      </c>
      <c r="B21" s="14"/>
      <c r="C21" s="14"/>
      <c r="D21" s="17"/>
      <c r="E21" s="170"/>
      <c r="F21" s="17"/>
      <c r="G21" s="17"/>
      <c r="H21" s="17"/>
      <c r="I21" s="90"/>
    </row>
    <row r="22" spans="1:15" ht="13.5" customHeight="1">
      <c r="B22" s="293" t="s">
        <v>431</v>
      </c>
      <c r="C22" s="292"/>
      <c r="D22" s="45">
        <v>0</v>
      </c>
      <c r="E22" s="170"/>
      <c r="F22" s="45">
        <v>0</v>
      </c>
      <c r="G22" s="17"/>
      <c r="H22" s="102">
        <f>D22-F22</f>
        <v>0</v>
      </c>
      <c r="I22" s="90" t="s">
        <v>432</v>
      </c>
      <c r="J22" s="1"/>
    </row>
    <row r="23" spans="1:15" ht="13.5" customHeight="1">
      <c r="B23" s="1" t="s">
        <v>433</v>
      </c>
      <c r="D23" s="45">
        <v>0</v>
      </c>
      <c r="E23" s="170"/>
      <c r="F23" s="45">
        <v>0</v>
      </c>
      <c r="G23" s="17"/>
      <c r="H23" s="102">
        <f>D23-F23</f>
        <v>0</v>
      </c>
      <c r="I23" s="48" t="s">
        <v>434</v>
      </c>
      <c r="J23" s="1"/>
    </row>
    <row r="24" spans="1:15" ht="13.5" customHeight="1">
      <c r="B24" s="293" t="s">
        <v>435</v>
      </c>
      <c r="C24" s="292"/>
      <c r="D24" s="45">
        <v>0</v>
      </c>
      <c r="E24" s="170"/>
      <c r="F24" s="45">
        <v>0</v>
      </c>
      <c r="G24" s="17"/>
      <c r="H24" s="102">
        <f>D24-F24</f>
        <v>0</v>
      </c>
      <c r="I24" s="90" t="s">
        <v>436</v>
      </c>
      <c r="J24" s="1"/>
    </row>
    <row r="25" spans="1:15" ht="13.5" customHeight="1">
      <c r="B25" s="293" t="s">
        <v>437</v>
      </c>
      <c r="C25" s="292"/>
      <c r="D25" s="45">
        <v>0</v>
      </c>
      <c r="E25" s="170"/>
      <c r="F25" s="45">
        <v>0</v>
      </c>
      <c r="G25" s="17"/>
      <c r="H25" s="102">
        <f>D25-F25</f>
        <v>0</v>
      </c>
      <c r="I25" s="90" t="s">
        <v>438</v>
      </c>
    </row>
    <row r="26" spans="1:15" ht="13.5" customHeight="1">
      <c r="B26" s="1"/>
      <c r="C26" s="1" t="s">
        <v>341</v>
      </c>
      <c r="D26" s="104">
        <f>SUM(D22:D25)</f>
        <v>0</v>
      </c>
      <c r="E26" s="170"/>
      <c r="F26" s="104">
        <f>SUM(F22:F25)</f>
        <v>0</v>
      </c>
      <c r="G26" s="17"/>
      <c r="H26" s="104">
        <f>SUM(H22:H25)</f>
        <v>0</v>
      </c>
      <c r="I26" s="90"/>
    </row>
    <row r="27" spans="1:15" ht="13.5" customHeight="1">
      <c r="C27" s="14" t="s">
        <v>289</v>
      </c>
      <c r="D27" s="24" t="str">
        <f>IF(D26='Exh A'!E22,"OK","ERROR")</f>
        <v>OK</v>
      </c>
      <c r="E27" s="170"/>
      <c r="F27" s="24" t="str">
        <f>IF(F26='Exh A'!K22,"OK","ERROR")</f>
        <v>OK</v>
      </c>
      <c r="G27" s="17"/>
      <c r="H27" s="17"/>
      <c r="I27" s="90"/>
    </row>
    <row r="28" spans="1:15" ht="8.1" customHeight="1">
      <c r="B28" s="14"/>
      <c r="C28" s="14"/>
      <c r="D28" s="17"/>
      <c r="E28" s="170"/>
      <c r="F28" s="17"/>
      <c r="G28" s="17"/>
      <c r="H28" s="17"/>
      <c r="I28" s="90"/>
    </row>
    <row r="29" spans="1:15">
      <c r="A29" s="235" t="s">
        <v>439</v>
      </c>
      <c r="B29" s="193"/>
      <c r="C29" s="236"/>
      <c r="D29" s="17"/>
      <c r="E29" s="170"/>
      <c r="F29" s="17"/>
      <c r="G29" s="17"/>
      <c r="H29" s="17"/>
      <c r="I29" s="90"/>
      <c r="K29" s="159"/>
      <c r="L29" s="159"/>
      <c r="M29" s="159"/>
      <c r="N29" s="159"/>
      <c r="O29" s="159"/>
    </row>
    <row r="30" spans="1:15">
      <c r="A30" s="193"/>
      <c r="B30" s="194" t="s">
        <v>440</v>
      </c>
      <c r="C30" s="236"/>
      <c r="D30" s="45"/>
      <c r="E30" s="170"/>
      <c r="F30" s="45"/>
      <c r="G30" s="17"/>
      <c r="H30" s="102">
        <f>D30-F30</f>
        <v>0</v>
      </c>
      <c r="I30" s="90" t="s">
        <v>441</v>
      </c>
      <c r="K30" s="159"/>
      <c r="L30" s="159"/>
      <c r="M30" s="159"/>
      <c r="N30" s="159"/>
      <c r="O30" s="159"/>
    </row>
    <row r="31" spans="1:15">
      <c r="A31" s="193"/>
      <c r="B31" s="194" t="s">
        <v>442</v>
      </c>
      <c r="C31" s="236"/>
      <c r="D31" s="45">
        <v>0</v>
      </c>
      <c r="E31" s="170"/>
      <c r="F31" s="45">
        <v>0</v>
      </c>
      <c r="G31" s="17"/>
      <c r="H31" s="102">
        <f>D31-F31</f>
        <v>0</v>
      </c>
      <c r="I31" s="90" t="s">
        <v>443</v>
      </c>
    </row>
    <row r="32" spans="1:15">
      <c r="A32" s="193"/>
      <c r="B32" s="194" t="s">
        <v>444</v>
      </c>
      <c r="C32" s="236"/>
      <c r="D32" s="45"/>
      <c r="E32" s="170"/>
      <c r="F32" s="45"/>
      <c r="G32" s="17"/>
      <c r="H32" s="102">
        <f>D32-F32</f>
        <v>0</v>
      </c>
      <c r="I32" s="90" t="s">
        <v>445</v>
      </c>
    </row>
    <row r="33" spans="1:15">
      <c r="A33" s="193"/>
      <c r="B33" s="194" t="s">
        <v>446</v>
      </c>
      <c r="C33" s="236"/>
      <c r="D33" s="45">
        <v>0</v>
      </c>
      <c r="E33" s="170"/>
      <c r="F33" s="45">
        <v>0</v>
      </c>
      <c r="G33" s="17"/>
      <c r="H33" s="102">
        <f>D33-F33</f>
        <v>0</v>
      </c>
      <c r="I33" s="90" t="s">
        <v>447</v>
      </c>
      <c r="K33" s="159"/>
      <c r="L33" s="159"/>
      <c r="M33" s="159"/>
      <c r="N33" s="159"/>
      <c r="O33" s="159"/>
    </row>
    <row r="34" spans="1:15">
      <c r="A34" s="193"/>
      <c r="B34" s="194"/>
      <c r="C34" s="194" t="s">
        <v>341</v>
      </c>
      <c r="D34" s="104">
        <f>SUM(D30:D33)</f>
        <v>0</v>
      </c>
      <c r="E34" s="170"/>
      <c r="F34" s="104">
        <f>SUM(F30:F33)</f>
        <v>0</v>
      </c>
      <c r="G34" s="17"/>
      <c r="H34" s="104">
        <f>SUM(H30:H33)</f>
        <v>0</v>
      </c>
      <c r="I34" s="90"/>
    </row>
    <row r="35" spans="1:15">
      <c r="A35" s="193"/>
      <c r="B35" s="194"/>
      <c r="C35" s="194" t="str">
        <f>IF(ABS(Info!$C$11)&gt;2699,"Internal Service Funds - Do not complete this section","")</f>
        <v/>
      </c>
      <c r="D35" s="24" t="str">
        <f>IF(ABS(Info!$C$11)&lt;2700,IF(D34='Exh A'!E23,"OK","ERROR"),IF('Exh E'!D34=0,"OK","ERROR"))</f>
        <v>OK</v>
      </c>
      <c r="E35" s="170"/>
      <c r="F35" s="24" t="str">
        <f>IF(ABS(Info!$C$11)&lt;2700,IF(F34='Exh A'!K23,"OK","ERROR"),IF('Exh E'!F34=0,"OK","ERROR"))</f>
        <v>OK</v>
      </c>
      <c r="G35" s="17"/>
      <c r="H35" s="17"/>
      <c r="I35" s="90"/>
    </row>
    <row r="36" spans="1:15" ht="8.1" customHeight="1">
      <c r="B36" s="14"/>
      <c r="C36" s="14"/>
      <c r="D36" s="17"/>
      <c r="E36" s="170"/>
      <c r="F36" s="17"/>
      <c r="G36" s="17"/>
      <c r="H36" s="17"/>
      <c r="I36" s="90"/>
    </row>
    <row r="37" spans="1:15">
      <c r="A37" s="12" t="s">
        <v>120</v>
      </c>
      <c r="D37" s="17"/>
      <c r="E37" s="170"/>
      <c r="F37" s="17"/>
      <c r="G37" s="17"/>
      <c r="H37" s="17"/>
      <c r="I37" s="90"/>
    </row>
    <row r="38" spans="1:15">
      <c r="B38" s="1" t="s">
        <v>448</v>
      </c>
      <c r="D38" s="45">
        <v>0</v>
      </c>
      <c r="E38" s="170"/>
      <c r="F38" s="45">
        <v>0</v>
      </c>
      <c r="G38" s="17"/>
      <c r="H38" s="102">
        <f>D38-F38</f>
        <v>0</v>
      </c>
      <c r="I38" s="90" t="s">
        <v>449</v>
      </c>
    </row>
    <row r="39" spans="1:15">
      <c r="B39" s="1" t="s">
        <v>450</v>
      </c>
      <c r="D39" s="45">
        <v>0</v>
      </c>
      <c r="E39" s="170"/>
      <c r="F39" s="45">
        <v>0</v>
      </c>
      <c r="G39" s="17"/>
      <c r="H39" s="102">
        <f>D39-F39</f>
        <v>0</v>
      </c>
      <c r="I39" s="90" t="s">
        <v>451</v>
      </c>
    </row>
    <row r="40" spans="1:15">
      <c r="B40" s="1" t="s">
        <v>452</v>
      </c>
      <c r="D40" s="45">
        <v>0</v>
      </c>
      <c r="E40" s="170" t="s">
        <v>453</v>
      </c>
      <c r="F40" s="45">
        <v>0</v>
      </c>
      <c r="G40" s="17"/>
      <c r="H40" s="102">
        <f>D40-F40</f>
        <v>0</v>
      </c>
      <c r="I40" s="90" t="s">
        <v>454</v>
      </c>
      <c r="J40" s="1"/>
    </row>
    <row r="41" spans="1:15">
      <c r="B41" s="1" t="s">
        <v>455</v>
      </c>
      <c r="C41" s="14"/>
      <c r="D41" s="46">
        <v>0</v>
      </c>
      <c r="E41" s="170"/>
      <c r="F41" s="46">
        <v>0</v>
      </c>
      <c r="G41" s="17"/>
      <c r="H41" s="102">
        <f>D41-F41</f>
        <v>0</v>
      </c>
      <c r="I41" s="90" t="s">
        <v>456</v>
      </c>
    </row>
    <row r="42" spans="1:15">
      <c r="B42" s="14"/>
      <c r="C42" t="s">
        <v>341</v>
      </c>
      <c r="D42" s="103">
        <f>SUM(D38:D41)</f>
        <v>0</v>
      </c>
      <c r="E42" s="170"/>
      <c r="F42" s="103">
        <f>SUM(F38:F41)</f>
        <v>0</v>
      </c>
      <c r="G42" s="17"/>
      <c r="H42" s="104">
        <f>D42-F42</f>
        <v>0</v>
      </c>
      <c r="I42" s="90"/>
    </row>
    <row r="43" spans="1:15">
      <c r="B43" s="14"/>
      <c r="C43" s="14" t="s">
        <v>457</v>
      </c>
      <c r="D43" s="24" t="str">
        <f>IF(D42='Exh A'!E57,"OK","ERROR")</f>
        <v>OK</v>
      </c>
      <c r="E43" s="171"/>
      <c r="F43" s="24" t="str">
        <f>IF(F42='Exh A'!K57,"OK","ERROR")</f>
        <v>OK</v>
      </c>
      <c r="G43" s="17"/>
      <c r="H43" s="17"/>
      <c r="I43" s="90"/>
    </row>
    <row r="44" spans="1:15" ht="8.1" customHeight="1">
      <c r="B44" s="14"/>
      <c r="C44" s="14"/>
      <c r="D44" s="24"/>
      <c r="E44" s="171"/>
      <c r="F44" s="24"/>
      <c r="G44" s="17"/>
      <c r="H44" s="17"/>
      <c r="I44" s="90"/>
    </row>
    <row r="45" spans="1:15">
      <c r="A45" s="269" t="s">
        <v>458</v>
      </c>
      <c r="B45" s="14"/>
      <c r="C45" s="14"/>
      <c r="D45" s="24"/>
      <c r="E45" s="171"/>
      <c r="F45" s="24"/>
      <c r="G45" s="17"/>
      <c r="H45" s="17"/>
      <c r="I45" s="90"/>
    </row>
    <row r="46" spans="1:15">
      <c r="A46" s="269"/>
      <c r="B46" s="1" t="s">
        <v>459</v>
      </c>
      <c r="C46" s="14"/>
      <c r="D46" s="45">
        <v>0</v>
      </c>
      <c r="E46" s="171"/>
      <c r="F46" s="45">
        <v>0</v>
      </c>
      <c r="G46" s="17"/>
      <c r="H46" s="102">
        <f>D46-F46</f>
        <v>0</v>
      </c>
      <c r="I46" s="90" t="s">
        <v>460</v>
      </c>
    </row>
    <row r="47" spans="1:15">
      <c r="B47" s="1" t="s">
        <v>461</v>
      </c>
      <c r="C47" s="14"/>
      <c r="D47" s="45">
        <v>0</v>
      </c>
      <c r="E47" s="171"/>
      <c r="F47" s="45">
        <v>0</v>
      </c>
      <c r="G47" s="17"/>
      <c r="H47" s="102">
        <f>D47-F47</f>
        <v>0</v>
      </c>
      <c r="I47" s="90" t="s">
        <v>462</v>
      </c>
    </row>
    <row r="48" spans="1:15">
      <c r="B48" s="1" t="s">
        <v>463</v>
      </c>
      <c r="C48" s="14"/>
      <c r="D48" s="45">
        <v>0</v>
      </c>
      <c r="E48" s="172"/>
      <c r="F48" s="45">
        <v>0</v>
      </c>
      <c r="G48" s="17"/>
      <c r="H48" s="102">
        <f>D48-F48</f>
        <v>0</v>
      </c>
      <c r="I48" s="90" t="s">
        <v>464</v>
      </c>
    </row>
    <row r="49" spans="1:15">
      <c r="B49" s="1"/>
      <c r="C49" s="1" t="s">
        <v>341</v>
      </c>
      <c r="D49" s="103">
        <f>SUM(D46:D48)</f>
        <v>0</v>
      </c>
      <c r="E49" s="171"/>
      <c r="F49" s="103">
        <f>SUM(F46:F48)</f>
        <v>0</v>
      </c>
      <c r="G49" s="17"/>
      <c r="H49" s="104">
        <f>SUM(H46:H48)</f>
        <v>0</v>
      </c>
      <c r="I49" s="90"/>
    </row>
    <row r="50" spans="1:15">
      <c r="B50" s="1"/>
      <c r="C50" s="14" t="s">
        <v>457</v>
      </c>
      <c r="D50" s="24" t="str">
        <f>IF(D49='Exh A'!E60,"OK","ERROR")</f>
        <v>OK</v>
      </c>
      <c r="E50" s="171"/>
      <c r="F50" s="24" t="str">
        <f>IF(F49='Exh A'!K60,"OK","ERROR")</f>
        <v>OK</v>
      </c>
      <c r="G50" s="17"/>
      <c r="H50" s="45"/>
      <c r="I50" s="90"/>
    </row>
    <row r="51" spans="1:15" ht="7.5" customHeight="1">
      <c r="B51" s="1"/>
      <c r="C51" s="1"/>
      <c r="D51" s="45"/>
      <c r="E51" s="171"/>
      <c r="F51" s="45"/>
      <c r="G51" s="17"/>
      <c r="H51" s="45"/>
      <c r="I51" s="90"/>
    </row>
    <row r="52" spans="1:15">
      <c r="A52" s="269" t="s">
        <v>138</v>
      </c>
      <c r="B52" s="14"/>
      <c r="C52" s="14"/>
      <c r="D52" s="24"/>
      <c r="E52" s="171"/>
      <c r="F52" s="24"/>
      <c r="G52" s="17"/>
      <c r="H52" s="17"/>
      <c r="I52" s="90"/>
    </row>
    <row r="53" spans="1:15">
      <c r="A53" s="269"/>
      <c r="B53" s="1" t="s">
        <v>465</v>
      </c>
      <c r="C53" s="14"/>
      <c r="D53" s="45">
        <v>0</v>
      </c>
      <c r="E53" s="171"/>
      <c r="F53" s="45">
        <v>0</v>
      </c>
      <c r="G53" s="17"/>
      <c r="H53" s="102">
        <f>D53-F53</f>
        <v>0</v>
      </c>
      <c r="I53" s="90" t="s">
        <v>466</v>
      </c>
    </row>
    <row r="54" spans="1:15">
      <c r="B54" s="1" t="s">
        <v>467</v>
      </c>
      <c r="C54" s="14"/>
      <c r="D54" s="45">
        <v>0</v>
      </c>
      <c r="E54" s="171"/>
      <c r="F54" s="45">
        <v>0</v>
      </c>
      <c r="G54" s="17"/>
      <c r="H54" s="102">
        <f>D54-F54</f>
        <v>0</v>
      </c>
      <c r="I54" s="90" t="s">
        <v>468</v>
      </c>
    </row>
    <row r="55" spans="1:15">
      <c r="B55" s="1" t="s">
        <v>469</v>
      </c>
      <c r="C55" s="14"/>
      <c r="D55" s="45">
        <v>0</v>
      </c>
      <c r="E55" s="172"/>
      <c r="F55" s="45">
        <v>0</v>
      </c>
      <c r="G55" s="17"/>
      <c r="H55" s="102">
        <f>D55-F55</f>
        <v>0</v>
      </c>
      <c r="I55" s="90" t="s">
        <v>470</v>
      </c>
    </row>
    <row r="56" spans="1:15">
      <c r="B56" s="1"/>
      <c r="C56" s="1" t="s">
        <v>341</v>
      </c>
      <c r="D56" s="103">
        <f>SUM(D53:D55)</f>
        <v>0</v>
      </c>
      <c r="E56" s="171"/>
      <c r="F56" s="103">
        <f>SUM(F53:F55)</f>
        <v>0</v>
      </c>
      <c r="G56" s="17"/>
      <c r="H56" s="104">
        <f>SUM(H53:H55)</f>
        <v>0</v>
      </c>
      <c r="I56" s="90"/>
    </row>
    <row r="57" spans="1:15">
      <c r="B57" s="1"/>
      <c r="C57" s="14" t="s">
        <v>457</v>
      </c>
      <c r="D57" s="24" t="str">
        <f>IF(D56='Exh A'!E67,"OK","ERROR")</f>
        <v>OK</v>
      </c>
      <c r="E57" s="171"/>
      <c r="F57" s="24" t="str">
        <f>IF(F56='Exh A'!K67,"OK","ERROR")</f>
        <v>OK</v>
      </c>
      <c r="G57" s="17"/>
      <c r="H57" s="45"/>
      <c r="I57" s="90"/>
    </row>
    <row r="58" spans="1:15" ht="7.5" customHeight="1">
      <c r="B58" s="1"/>
      <c r="C58" s="1"/>
      <c r="D58" s="45"/>
      <c r="E58" s="171"/>
      <c r="F58" s="45"/>
      <c r="G58" s="17"/>
      <c r="H58" s="45"/>
      <c r="I58" s="90"/>
    </row>
    <row r="59" spans="1:15">
      <c r="A59" s="235" t="s">
        <v>471</v>
      </c>
      <c r="B59" s="194"/>
      <c r="C59" s="236"/>
      <c r="D59" s="45"/>
      <c r="E59" s="171"/>
      <c r="F59" s="45"/>
      <c r="G59" s="17"/>
      <c r="H59" s="45"/>
      <c r="I59" s="90"/>
      <c r="K59" s="159"/>
      <c r="L59" s="159"/>
      <c r="M59" s="159"/>
      <c r="N59" s="159"/>
      <c r="O59" s="159"/>
    </row>
    <row r="60" spans="1:15" ht="12" customHeight="1">
      <c r="A60" s="193"/>
      <c r="B60" s="194" t="s">
        <v>472</v>
      </c>
      <c r="C60" s="236"/>
      <c r="D60" s="45"/>
      <c r="E60" s="171"/>
      <c r="F60" s="45"/>
      <c r="G60" s="17"/>
      <c r="H60" s="102">
        <f>D60-F60</f>
        <v>0</v>
      </c>
      <c r="I60" s="90" t="s">
        <v>473</v>
      </c>
      <c r="K60" s="159"/>
      <c r="L60" s="159"/>
      <c r="M60" s="159"/>
      <c r="N60" s="159"/>
      <c r="O60" s="159"/>
    </row>
    <row r="61" spans="1:15">
      <c r="A61" s="193"/>
      <c r="B61" s="194" t="s">
        <v>474</v>
      </c>
      <c r="C61" s="236"/>
      <c r="D61" s="45"/>
      <c r="E61" s="171"/>
      <c r="F61" s="45"/>
      <c r="G61" s="17"/>
      <c r="H61" s="102">
        <f>D61-F61</f>
        <v>0</v>
      </c>
      <c r="I61" s="90" t="s">
        <v>475</v>
      </c>
      <c r="K61" s="159"/>
    </row>
    <row r="62" spans="1:15">
      <c r="A62" s="193"/>
      <c r="B62" s="194" t="s">
        <v>476</v>
      </c>
      <c r="C62" s="194"/>
      <c r="D62" s="45"/>
      <c r="E62" s="171"/>
      <c r="F62" s="45"/>
      <c r="G62" s="17"/>
      <c r="H62" s="102">
        <f>D62-F62</f>
        <v>0</v>
      </c>
      <c r="I62" s="90" t="s">
        <v>477</v>
      </c>
      <c r="K62" s="159"/>
      <c r="L62" s="159"/>
      <c r="M62" s="159"/>
      <c r="N62" s="159"/>
      <c r="O62" s="159"/>
    </row>
    <row r="63" spans="1:15">
      <c r="A63" s="193"/>
      <c r="B63" s="194" t="s">
        <v>478</v>
      </c>
      <c r="C63" s="194"/>
      <c r="D63" s="45"/>
      <c r="E63" s="171"/>
      <c r="F63" s="45"/>
      <c r="G63" s="17"/>
      <c r="H63" s="102">
        <f>D63-F63</f>
        <v>0</v>
      </c>
      <c r="I63" s="90" t="s">
        <v>479</v>
      </c>
      <c r="K63" s="159"/>
      <c r="L63" s="159"/>
      <c r="M63" s="159"/>
      <c r="N63" s="159"/>
      <c r="O63" s="159"/>
    </row>
    <row r="64" spans="1:15">
      <c r="A64" s="193"/>
      <c r="B64" s="194" t="s">
        <v>480</v>
      </c>
      <c r="C64" s="194"/>
      <c r="D64" s="45"/>
      <c r="E64" s="47" t="s">
        <v>481</v>
      </c>
      <c r="F64" s="45"/>
      <c r="G64" s="17"/>
      <c r="H64" s="102">
        <f>D64-F64</f>
        <v>0</v>
      </c>
      <c r="I64" s="90" t="s">
        <v>482</v>
      </c>
    </row>
    <row r="65" spans="1:9">
      <c r="A65" s="193"/>
      <c r="B65" s="194"/>
      <c r="C65" s="194" t="s">
        <v>341</v>
      </c>
      <c r="D65" s="104">
        <f>SUM(D60:D64)</f>
        <v>0</v>
      </c>
      <c r="E65" s="170"/>
      <c r="F65" s="104">
        <f>SUM(F60:F64)</f>
        <v>0</v>
      </c>
      <c r="G65" s="17"/>
      <c r="H65" s="104">
        <f>SUM(H60:H64)</f>
        <v>0</v>
      </c>
      <c r="I65" s="90"/>
    </row>
    <row r="66" spans="1:9">
      <c r="B66" s="1"/>
      <c r="C66" s="194" t="str">
        <f>IF(ABS(Info!$C$11)&gt;2699,"Internal Service Funds - Do not complete this section","")</f>
        <v/>
      </c>
      <c r="D66" s="24" t="str">
        <f>IF(ABS(Info!$C$11)&lt;2700,IF(D65='Exh A'!E66,"OK","ERROR"),IF('Exh E'!D65=0,"OK","ERROR"))</f>
        <v>OK</v>
      </c>
      <c r="E66" s="170"/>
      <c r="F66" s="24" t="str">
        <f>IF(ABS(Info!$C$11)&lt;2700,IF(F65='Exh A'!K66,"OK","ERROR"),IF('Exh E'!F65=0,"OK","ERROR"))</f>
        <v>OK</v>
      </c>
      <c r="G66" s="17"/>
      <c r="H66" s="45"/>
      <c r="I66" s="90"/>
    </row>
    <row r="67" spans="1:9" ht="8.1" customHeight="1">
      <c r="B67" s="1"/>
      <c r="C67" s="1"/>
      <c r="D67" s="45"/>
      <c r="E67" s="171"/>
      <c r="F67" s="45"/>
      <c r="G67" s="17"/>
      <c r="H67" s="45"/>
      <c r="I67" s="90"/>
    </row>
    <row r="68" spans="1:9">
      <c r="A68" s="12" t="s">
        <v>154</v>
      </c>
      <c r="B68" s="14"/>
      <c r="D68" s="17"/>
      <c r="E68" s="170"/>
      <c r="F68" s="17"/>
      <c r="G68" s="17"/>
      <c r="H68" s="17"/>
      <c r="I68" s="90"/>
    </row>
    <row r="69" spans="1:9">
      <c r="B69" s="1" t="s">
        <v>483</v>
      </c>
      <c r="D69" s="45"/>
      <c r="E69" s="170"/>
      <c r="F69" s="45"/>
      <c r="G69" s="17"/>
      <c r="H69" s="102">
        <f>D69-F69</f>
        <v>0</v>
      </c>
      <c r="I69" s="90" t="s">
        <v>484</v>
      </c>
    </row>
    <row r="70" spans="1:9">
      <c r="B70" s="1" t="s">
        <v>485</v>
      </c>
      <c r="D70" s="45">
        <v>0</v>
      </c>
      <c r="E70" s="170"/>
      <c r="F70" s="45">
        <v>0</v>
      </c>
      <c r="G70" s="17"/>
      <c r="H70" s="102">
        <f>D70-F70</f>
        <v>0</v>
      </c>
      <c r="I70" s="90" t="s">
        <v>486</v>
      </c>
    </row>
    <row r="71" spans="1:9">
      <c r="B71" s="1" t="s">
        <v>487</v>
      </c>
      <c r="D71" s="45">
        <v>0</v>
      </c>
      <c r="E71" s="170"/>
      <c r="F71" s="45">
        <v>0</v>
      </c>
      <c r="G71" s="17"/>
      <c r="H71" s="102">
        <f>D71-F71</f>
        <v>0</v>
      </c>
      <c r="I71" s="90" t="s">
        <v>488</v>
      </c>
    </row>
    <row r="72" spans="1:9">
      <c r="B72" s="1" t="s">
        <v>489</v>
      </c>
      <c r="D72" s="45">
        <v>0</v>
      </c>
      <c r="E72" s="170"/>
      <c r="F72" s="45">
        <v>0</v>
      </c>
      <c r="G72" s="17"/>
      <c r="H72" s="102">
        <f>D72-F72</f>
        <v>0</v>
      </c>
      <c r="I72" s="90" t="s">
        <v>490</v>
      </c>
    </row>
    <row r="73" spans="1:9">
      <c r="B73" s="1" t="s">
        <v>491</v>
      </c>
      <c r="D73" s="46">
        <v>0</v>
      </c>
      <c r="E73" s="170"/>
      <c r="F73" s="46">
        <v>0</v>
      </c>
      <c r="G73" s="17"/>
      <c r="H73" s="102">
        <f>D73-F73</f>
        <v>0</v>
      </c>
      <c r="I73" s="90" t="s">
        <v>492</v>
      </c>
    </row>
    <row r="74" spans="1:9">
      <c r="B74" s="1"/>
      <c r="C74" t="s">
        <v>341</v>
      </c>
      <c r="D74" s="104">
        <f>SUM(D69:D73)</f>
        <v>0</v>
      </c>
      <c r="E74" s="170"/>
      <c r="F74" s="104">
        <f>SUM(F69:F73)</f>
        <v>0</v>
      </c>
      <c r="G74" s="17"/>
      <c r="H74" s="104">
        <f>SUM(H69:H73)</f>
        <v>0</v>
      </c>
      <c r="I74" s="90"/>
    </row>
    <row r="75" spans="1:9">
      <c r="B75" s="1"/>
      <c r="C75" s="14" t="s">
        <v>457</v>
      </c>
      <c r="D75" s="24" t="str">
        <f>IF(D74='Exh A'!E79,"OK","ERROR")</f>
        <v>OK</v>
      </c>
      <c r="F75" s="24" t="str">
        <f>IF(F74='Exh A'!K79,"OK","ERROR")</f>
        <v>OK</v>
      </c>
      <c r="I75" s="90"/>
    </row>
    <row r="76" spans="1:9" ht="8.1" customHeight="1">
      <c r="B76" s="1"/>
      <c r="C76" s="14"/>
      <c r="D76" s="24"/>
      <c r="F76" s="24"/>
      <c r="I76" s="90"/>
    </row>
    <row r="77" spans="1:9">
      <c r="A77" s="269" t="s">
        <v>493</v>
      </c>
      <c r="B77" s="14"/>
      <c r="C77" s="14"/>
      <c r="D77" s="24"/>
      <c r="E77" s="171"/>
      <c r="F77" s="24"/>
      <c r="G77" s="17"/>
      <c r="H77" s="17"/>
      <c r="I77" s="90"/>
    </row>
    <row r="78" spans="1:9">
      <c r="A78" s="269"/>
      <c r="B78" s="1" t="s">
        <v>494</v>
      </c>
      <c r="C78" s="14"/>
      <c r="D78" s="45">
        <f>'Exh A'!E30-'Exh E'!D79</f>
        <v>0</v>
      </c>
      <c r="E78" s="173" t="s">
        <v>495</v>
      </c>
      <c r="F78" s="45">
        <f>'Exh A'!K30-'Exh E'!F79</f>
        <v>0</v>
      </c>
      <c r="G78" s="131" t="s">
        <v>496</v>
      </c>
      <c r="H78" s="222">
        <f>D78-F78</f>
        <v>0</v>
      </c>
      <c r="I78" s="90"/>
    </row>
    <row r="79" spans="1:9">
      <c r="B79" s="1" t="s">
        <v>497</v>
      </c>
      <c r="C79" s="14"/>
      <c r="D79" s="46">
        <v>0</v>
      </c>
      <c r="E79" s="171"/>
      <c r="F79" s="46">
        <v>0</v>
      </c>
      <c r="G79" s="17"/>
      <c r="H79" s="221">
        <f>D79-F79</f>
        <v>0</v>
      </c>
      <c r="I79" s="90"/>
    </row>
    <row r="80" spans="1:9">
      <c r="B80" s="1"/>
      <c r="C80" s="1" t="s">
        <v>341</v>
      </c>
      <c r="D80" s="221">
        <f>SUM(D78:D79)</f>
        <v>0</v>
      </c>
      <c r="E80" s="171"/>
      <c r="F80" s="221">
        <f>SUM(F78:F79)</f>
        <v>0</v>
      </c>
      <c r="G80" s="17"/>
      <c r="H80" s="221">
        <f>SUM(H78:H79)</f>
        <v>0</v>
      </c>
      <c r="I80" s="90"/>
    </row>
    <row r="81" spans="1:9">
      <c r="B81" s="1"/>
      <c r="C81" s="14" t="s">
        <v>457</v>
      </c>
      <c r="D81" s="24" t="str">
        <f>IF(D80='Exh A'!E30,"OK","ERROR")</f>
        <v>OK</v>
      </c>
      <c r="E81" s="171"/>
      <c r="F81" s="24" t="str">
        <f>IF(F80='Exh A'!K30,"OK","ERROR")</f>
        <v>OK</v>
      </c>
      <c r="G81" s="17"/>
      <c r="H81" s="24" t="str">
        <f>IF(H80=A_3,"OK","ERROR")</f>
        <v>OK</v>
      </c>
      <c r="I81" s="90"/>
    </row>
    <row r="82" spans="1:9" ht="7.5" customHeight="1">
      <c r="B82" s="1"/>
      <c r="D82" s="17"/>
      <c r="E82" s="170"/>
      <c r="F82" s="17"/>
      <c r="G82" s="17"/>
      <c r="H82" s="17"/>
      <c r="I82" s="90"/>
    </row>
    <row r="83" spans="1:9">
      <c r="A83" s="269" t="s">
        <v>498</v>
      </c>
      <c r="B83" s="14"/>
      <c r="C83" s="14"/>
      <c r="D83" s="24"/>
      <c r="E83" s="171"/>
      <c r="F83" s="24"/>
      <c r="G83" s="17"/>
      <c r="H83" s="17"/>
      <c r="I83" s="90"/>
    </row>
    <row r="84" spans="1:9">
      <c r="A84" s="269"/>
      <c r="B84" s="1" t="s">
        <v>494</v>
      </c>
      <c r="C84" s="14"/>
      <c r="D84" s="45">
        <f>'Exh A'!E41-'Exh E'!D85</f>
        <v>0</v>
      </c>
      <c r="E84" s="173" t="s">
        <v>499</v>
      </c>
      <c r="F84" s="45">
        <f>'Exh A'!K41-'Exh E'!F85</f>
        <v>0</v>
      </c>
      <c r="G84" s="131" t="s">
        <v>500</v>
      </c>
      <c r="H84" s="222">
        <f>D84-F84</f>
        <v>0</v>
      </c>
      <c r="I84" s="90"/>
    </row>
    <row r="85" spans="1:9">
      <c r="B85" s="1" t="s">
        <v>497</v>
      </c>
      <c r="C85" s="14"/>
      <c r="D85" s="46"/>
      <c r="E85" s="171"/>
      <c r="F85" s="46"/>
      <c r="G85" s="131"/>
      <c r="H85" s="221">
        <f>D85-F85</f>
        <v>0</v>
      </c>
      <c r="I85" s="90"/>
    </row>
    <row r="86" spans="1:9">
      <c r="B86" s="1"/>
      <c r="C86" s="1" t="s">
        <v>341</v>
      </c>
      <c r="D86" s="221">
        <f>SUM(D84:D85)</f>
        <v>0</v>
      </c>
      <c r="E86" s="171"/>
      <c r="F86" s="221">
        <f>SUM(F84:F85)</f>
        <v>0</v>
      </c>
      <c r="G86" s="17"/>
      <c r="H86" s="221">
        <f>SUM(H84:H85)</f>
        <v>0</v>
      </c>
      <c r="I86" s="90"/>
    </row>
    <row r="87" spans="1:9">
      <c r="B87" s="1"/>
      <c r="C87" s="14" t="s">
        <v>457</v>
      </c>
      <c r="D87" s="24" t="str">
        <f>IF(D86='Exh A'!E41,"OK","ERROR")</f>
        <v>OK</v>
      </c>
      <c r="E87" s="171"/>
      <c r="F87" s="24" t="str">
        <f>IF(F86='Exh A'!K41,"OK","ERROR")</f>
        <v>OK</v>
      </c>
      <c r="G87" s="17"/>
      <c r="H87" s="24" t="str">
        <f>IF(H86=A_3_A,"OK","ERROR")</f>
        <v>OK</v>
      </c>
      <c r="I87" s="90"/>
    </row>
    <row r="88" spans="1:9" ht="7.5" customHeight="1">
      <c r="B88" s="1"/>
      <c r="C88" s="14"/>
      <c r="D88" s="24"/>
      <c r="E88" s="171"/>
      <c r="F88" s="24"/>
      <c r="G88" s="17"/>
      <c r="H88" s="24"/>
      <c r="I88" s="90"/>
    </row>
    <row r="89" spans="1:9" hidden="1">
      <c r="A89" s="165" t="s">
        <v>147</v>
      </c>
      <c r="B89" s="162"/>
      <c r="C89" s="162"/>
      <c r="D89" s="24"/>
      <c r="E89" s="171"/>
      <c r="F89" s="24"/>
      <c r="G89" s="17"/>
      <c r="H89" s="24"/>
      <c r="I89" s="90"/>
    </row>
    <row r="90" spans="1:9" hidden="1">
      <c r="A90" s="165"/>
      <c r="B90" s="161" t="s">
        <v>501</v>
      </c>
      <c r="C90" s="162"/>
      <c r="D90" s="45">
        <f>'Exh A'!E73-'Exh E'!D91</f>
        <v>0</v>
      </c>
      <c r="E90" s="173"/>
      <c r="F90" s="45">
        <f>'Exh A'!K73-'Exh E'!F91</f>
        <v>0</v>
      </c>
      <c r="G90" s="131"/>
      <c r="H90" s="102">
        <f>D90-F90</f>
        <v>0</v>
      </c>
      <c r="I90" s="90" t="s">
        <v>502</v>
      </c>
    </row>
    <row r="91" spans="1:9" hidden="1">
      <c r="A91" s="161"/>
      <c r="B91" s="161" t="s">
        <v>503</v>
      </c>
      <c r="C91" s="162"/>
      <c r="D91" s="46"/>
      <c r="E91" s="171"/>
      <c r="F91" s="46"/>
      <c r="G91" s="131"/>
      <c r="H91" s="102">
        <f>D91-F91</f>
        <v>0</v>
      </c>
      <c r="I91" s="90" t="s">
        <v>504</v>
      </c>
    </row>
    <row r="92" spans="1:9" hidden="1">
      <c r="B92" s="1"/>
      <c r="C92" s="1" t="s">
        <v>341</v>
      </c>
      <c r="D92" s="21">
        <f>SUM(D90:D91)</f>
        <v>0</v>
      </c>
      <c r="E92" s="171"/>
      <c r="F92" s="21">
        <f>SUM(F90:F91)</f>
        <v>0</v>
      </c>
      <c r="G92" s="17"/>
      <c r="H92" s="104">
        <f>SUM(H90:H91)</f>
        <v>0</v>
      </c>
      <c r="I92" s="90"/>
    </row>
    <row r="93" spans="1:9" hidden="1">
      <c r="B93" s="1"/>
      <c r="C93" s="14"/>
      <c r="D93" s="24" t="str">
        <f>IF(D92='Exh A'!E73,"OK","ERROR")</f>
        <v>OK</v>
      </c>
      <c r="E93" s="171"/>
      <c r="F93" s="24" t="str">
        <f>IF(F92='Exh A'!K73,"OK","ERROR")</f>
        <v>OK</v>
      </c>
      <c r="G93" s="17"/>
      <c r="H93" s="24" t="str">
        <f>IF(H92='Exh A'!M73,"OK","ERROR")</f>
        <v>OK</v>
      </c>
      <c r="I93" s="90"/>
    </row>
    <row r="94" spans="1:9">
      <c r="B94" s="1"/>
      <c r="C94" s="14"/>
      <c r="D94" s="24"/>
      <c r="E94" s="171"/>
      <c r="F94" s="24"/>
      <c r="G94" s="17"/>
      <c r="H94" s="24"/>
      <c r="I94" s="90"/>
    </row>
    <row r="95" spans="1:9">
      <c r="A95" s="269" t="s">
        <v>223</v>
      </c>
      <c r="B95" s="14"/>
      <c r="C95" s="14"/>
      <c r="D95" s="24"/>
      <c r="E95" s="171"/>
      <c r="F95" s="24"/>
      <c r="G95" s="17"/>
      <c r="H95" s="17"/>
      <c r="I95" s="90"/>
    </row>
    <row r="96" spans="1:9">
      <c r="A96" s="269"/>
      <c r="B96" s="1" t="s">
        <v>505</v>
      </c>
      <c r="C96" s="14"/>
      <c r="D96" s="17">
        <f>B_9A-D97</f>
        <v>0</v>
      </c>
      <c r="E96" s="173" t="s">
        <v>506</v>
      </c>
      <c r="F96" s="45"/>
      <c r="G96" s="131"/>
      <c r="H96" s="17"/>
      <c r="I96" s="90"/>
    </row>
    <row r="97" spans="1:11">
      <c r="B97" s="1" t="s">
        <v>507</v>
      </c>
      <c r="C97" s="14"/>
      <c r="D97" s="46">
        <v>0</v>
      </c>
      <c r="E97" s="171"/>
      <c r="F97" s="45"/>
      <c r="G97" s="131"/>
      <c r="H97" s="17"/>
      <c r="I97" s="90"/>
    </row>
    <row r="98" spans="1:11">
      <c r="B98" s="1"/>
      <c r="C98" s="1" t="s">
        <v>341</v>
      </c>
      <c r="D98" s="104">
        <f>SUM(D96:D97)</f>
        <v>0</v>
      </c>
      <c r="E98" s="171"/>
      <c r="F98" s="17"/>
      <c r="G98" s="17"/>
      <c r="H98" s="17"/>
      <c r="I98" s="90"/>
    </row>
    <row r="99" spans="1:11">
      <c r="B99" s="1"/>
      <c r="C99" s="14" t="s">
        <v>508</v>
      </c>
      <c r="D99" s="24" t="str">
        <f>IF(D98=B_9A,"OK","ERROR")</f>
        <v>OK</v>
      </c>
      <c r="E99" s="171"/>
      <c r="F99" s="24"/>
      <c r="G99" s="17"/>
      <c r="H99" s="24"/>
      <c r="I99" s="90"/>
    </row>
    <row r="100" spans="1:11" ht="7.5" customHeight="1">
      <c r="B100" s="1"/>
      <c r="C100" s="14"/>
      <c r="D100" s="24"/>
      <c r="E100" s="171"/>
      <c r="F100" s="24"/>
      <c r="G100" s="17"/>
      <c r="H100" s="24"/>
      <c r="I100" s="90"/>
    </row>
    <row r="101" spans="1:11">
      <c r="A101" s="269" t="s">
        <v>509</v>
      </c>
      <c r="B101" s="1"/>
      <c r="C101" s="14"/>
      <c r="D101" s="24"/>
      <c r="E101" s="171"/>
      <c r="F101" s="24"/>
      <c r="G101" s="17"/>
      <c r="H101" s="24"/>
      <c r="I101" s="90"/>
    </row>
    <row r="102" spans="1:11">
      <c r="B102" s="1" t="s">
        <v>510</v>
      </c>
      <c r="C102" s="14"/>
      <c r="D102" s="152">
        <v>0</v>
      </c>
      <c r="E102" s="47" t="s">
        <v>511</v>
      </c>
      <c r="F102" s="24"/>
      <c r="G102" s="17"/>
      <c r="H102" s="24"/>
      <c r="I102" s="90"/>
    </row>
    <row r="103" spans="1:11">
      <c r="B103" s="1" t="s">
        <v>512</v>
      </c>
      <c r="C103" s="14"/>
      <c r="D103" s="152">
        <v>0</v>
      </c>
      <c r="E103" s="47" t="s">
        <v>513</v>
      </c>
      <c r="F103" s="24"/>
      <c r="G103" s="17"/>
      <c r="H103" s="24"/>
      <c r="I103" s="90"/>
    </row>
    <row r="104" spans="1:11">
      <c r="B104" s="1" t="s">
        <v>341</v>
      </c>
      <c r="C104" s="14"/>
      <c r="D104" s="104">
        <f>SUM(D102:D103)</f>
        <v>0</v>
      </c>
      <c r="E104" s="47" t="s">
        <v>514</v>
      </c>
      <c r="F104" s="24"/>
      <c r="G104" s="17"/>
      <c r="H104" s="24"/>
      <c r="I104" s="90"/>
    </row>
    <row r="105" spans="1:11">
      <c r="B105" s="1"/>
      <c r="C105" t="s">
        <v>508</v>
      </c>
      <c r="D105" s="24" t="str">
        <f>IF(SUM(D102:D103)=B_10,"OK","ERROR")</f>
        <v>OK</v>
      </c>
      <c r="E105" s="170"/>
      <c r="F105" s="17"/>
      <c r="G105" s="17"/>
      <c r="H105" s="17"/>
      <c r="I105" s="90"/>
    </row>
    <row r="106" spans="1:11" ht="8.1" customHeight="1">
      <c r="B106" s="1"/>
      <c r="C106" s="14"/>
      <c r="D106" s="24"/>
      <c r="F106" s="24"/>
      <c r="I106" s="90"/>
    </row>
    <row r="107" spans="1:11">
      <c r="A107" s="269" t="s">
        <v>515</v>
      </c>
      <c r="K107" s="269"/>
    </row>
    <row r="108" spans="1:11">
      <c r="B108" s="1" t="s">
        <v>1012</v>
      </c>
      <c r="D108" s="45">
        <v>0</v>
      </c>
      <c r="E108" s="90" t="s">
        <v>516</v>
      </c>
      <c r="F108" s="159"/>
      <c r="K108" s="1"/>
    </row>
    <row r="109" spans="1:11" ht="14.25" customHeight="1">
      <c r="B109" s="1" t="s">
        <v>517</v>
      </c>
      <c r="D109" s="45">
        <v>0</v>
      </c>
      <c r="E109" s="90" t="s">
        <v>518</v>
      </c>
      <c r="K109" s="1"/>
    </row>
    <row r="110" spans="1:11" ht="12.75" customHeight="1">
      <c r="B110" s="1" t="s">
        <v>519</v>
      </c>
      <c r="D110" s="17">
        <f>+'Exh A'!M14+'Exh A'!M35</f>
        <v>0</v>
      </c>
      <c r="E110" s="90"/>
      <c r="K110" s="1"/>
    </row>
    <row r="111" spans="1:11">
      <c r="B111" s="1" t="s">
        <v>1013</v>
      </c>
      <c r="D111" s="46">
        <v>0</v>
      </c>
      <c r="E111" s="90" t="s">
        <v>520</v>
      </c>
      <c r="F111" s="65" t="s">
        <v>521</v>
      </c>
      <c r="K111" s="1"/>
    </row>
    <row r="112" spans="1:11">
      <c r="C112" s="1" t="s">
        <v>341</v>
      </c>
      <c r="D112" s="104">
        <f>E_37-E_39+D110+E_40</f>
        <v>0</v>
      </c>
      <c r="E112" s="90"/>
      <c r="K112" s="1"/>
    </row>
    <row r="113" spans="1:11">
      <c r="C113" s="14" t="s">
        <v>522</v>
      </c>
      <c r="D113" s="24" t="str">
        <f>IF(D112=ROUND('Exh A'!M14+'Exh A'!M35+'Exh A'!M36,2),"OK","ERROR")</f>
        <v>OK</v>
      </c>
      <c r="E113" s="90"/>
      <c r="K113" s="14"/>
    </row>
    <row r="114" spans="1:11" ht="8.1" customHeight="1">
      <c r="B114" s="14"/>
      <c r="D114" s="24"/>
      <c r="E114" s="90"/>
    </row>
    <row r="115" spans="1:11">
      <c r="A115" s="269" t="s">
        <v>523</v>
      </c>
      <c r="B115" s="14"/>
      <c r="D115" s="24"/>
      <c r="E115" s="90"/>
      <c r="K115" s="269"/>
    </row>
    <row r="116" spans="1:11">
      <c r="B116" s="1" t="s">
        <v>1014</v>
      </c>
      <c r="D116" s="45">
        <v>0</v>
      </c>
      <c r="E116" s="90" t="s">
        <v>524</v>
      </c>
      <c r="K116" s="1"/>
    </row>
    <row r="117" spans="1:11">
      <c r="B117" s="1" t="s">
        <v>525</v>
      </c>
      <c r="D117" s="45">
        <v>0</v>
      </c>
      <c r="E117" s="90" t="s">
        <v>526</v>
      </c>
      <c r="F117" s="65"/>
      <c r="K117" s="1"/>
    </row>
    <row r="118" spans="1:11">
      <c r="B118" s="1" t="s">
        <v>527</v>
      </c>
      <c r="D118" s="45">
        <v>0</v>
      </c>
      <c r="E118" s="90" t="s">
        <v>528</v>
      </c>
      <c r="F118" s="168"/>
      <c r="K118" s="1"/>
    </row>
    <row r="119" spans="1:11">
      <c r="B119" s="1" t="s">
        <v>1015</v>
      </c>
      <c r="D119" s="46">
        <v>0</v>
      </c>
      <c r="E119" s="90" t="s">
        <v>529</v>
      </c>
      <c r="F119" s="65" t="s">
        <v>521</v>
      </c>
      <c r="K119" s="1"/>
    </row>
    <row r="120" spans="1:11">
      <c r="B120" s="1"/>
      <c r="C120" s="1" t="s">
        <v>341</v>
      </c>
      <c r="D120" s="104">
        <f>E_38+E_56-E_42+E_46</f>
        <v>0</v>
      </c>
      <c r="E120" s="90"/>
      <c r="K120" s="1"/>
    </row>
    <row r="121" spans="1:11" ht="12.75" customHeight="1">
      <c r="C121" t="s">
        <v>522</v>
      </c>
      <c r="D121" s="24" t="str">
        <f>IF(D120='Exh A'!M15,"OK","ERROR")</f>
        <v>OK</v>
      </c>
      <c r="E121" s="90"/>
      <c r="K121" s="14"/>
    </row>
    <row r="122" spans="1:11" ht="8.1" customHeight="1">
      <c r="B122" s="1"/>
      <c r="D122" s="24"/>
      <c r="E122" s="90"/>
    </row>
    <row r="123" spans="1:11">
      <c r="A123" s="269" t="s">
        <v>246</v>
      </c>
      <c r="B123" s="14"/>
      <c r="D123" s="24"/>
      <c r="E123" s="90"/>
      <c r="K123" s="269"/>
    </row>
    <row r="124" spans="1:11">
      <c r="A124" s="269"/>
      <c r="B124" s="1" t="s">
        <v>530</v>
      </c>
      <c r="D124" s="24"/>
      <c r="E124" s="90"/>
      <c r="K124" s="1"/>
    </row>
    <row r="125" spans="1:11">
      <c r="A125" s="14"/>
      <c r="C125" s="1" t="s">
        <v>1016</v>
      </c>
      <c r="D125" s="45">
        <v>0</v>
      </c>
      <c r="E125" s="90" t="s">
        <v>531</v>
      </c>
      <c r="J125" s="186"/>
      <c r="K125" s="1"/>
    </row>
    <row r="126" spans="1:11">
      <c r="A126" s="14"/>
      <c r="C126" s="1" t="s">
        <v>1017</v>
      </c>
      <c r="D126" s="45">
        <v>0</v>
      </c>
      <c r="E126" s="90"/>
      <c r="J126" s="186"/>
      <c r="K126" s="1"/>
    </row>
    <row r="127" spans="1:11" ht="12.75" customHeight="1">
      <c r="C127" s="1" t="s">
        <v>1018</v>
      </c>
      <c r="D127" s="244">
        <v>0</v>
      </c>
      <c r="E127" s="147" t="str">
        <f>IF(D127=E_40,"OK","ERROR")</f>
        <v>OK</v>
      </c>
      <c r="F127" s="147" t="s">
        <v>532</v>
      </c>
      <c r="G127" s="147"/>
      <c r="H127" s="147"/>
      <c r="I127" s="147"/>
      <c r="K127" s="1"/>
    </row>
    <row r="128" spans="1:11">
      <c r="C128" s="1" t="s">
        <v>533</v>
      </c>
      <c r="D128" s="104">
        <f>SUM(D125:D127)</f>
        <v>0</v>
      </c>
      <c r="F128" s="14"/>
      <c r="K128" s="1"/>
    </row>
    <row r="129" spans="1:11">
      <c r="B129" s="1" t="s">
        <v>534</v>
      </c>
      <c r="C129" s="1"/>
      <c r="D129" s="17"/>
      <c r="F129" s="14"/>
      <c r="K129" s="1"/>
    </row>
    <row r="130" spans="1:11">
      <c r="B130" s="1"/>
      <c r="C130" s="1" t="s">
        <v>1016</v>
      </c>
      <c r="D130" s="45">
        <v>0</v>
      </c>
      <c r="E130" s="48" t="s">
        <v>535</v>
      </c>
      <c r="F130" s="14"/>
      <c r="K130" s="1"/>
    </row>
    <row r="131" spans="1:11">
      <c r="B131" s="1"/>
      <c r="C131" s="1" t="s">
        <v>1017</v>
      </c>
      <c r="D131" s="45">
        <v>0</v>
      </c>
      <c r="F131" s="14"/>
      <c r="K131" s="1"/>
    </row>
    <row r="132" spans="1:11" ht="13.5" customHeight="1">
      <c r="B132" s="1"/>
      <c r="C132" s="1" t="s">
        <v>1018</v>
      </c>
      <c r="D132" s="245">
        <v>0</v>
      </c>
      <c r="E132" s="147" t="str">
        <f>IF(D132=E_46,"OK","ERROR")</f>
        <v>OK</v>
      </c>
      <c r="F132" s="147" t="s">
        <v>536</v>
      </c>
      <c r="G132" s="147"/>
      <c r="H132" s="147"/>
      <c r="I132" s="147"/>
      <c r="K132" s="1"/>
    </row>
    <row r="133" spans="1:11">
      <c r="B133" s="1"/>
      <c r="C133" s="1" t="s">
        <v>533</v>
      </c>
      <c r="D133" s="104">
        <f>SUM(D130:D132)</f>
        <v>0</v>
      </c>
      <c r="F133" s="14"/>
      <c r="J133" s="186"/>
      <c r="K133" s="1"/>
    </row>
    <row r="134" spans="1:11">
      <c r="B134" s="1" t="s">
        <v>1019</v>
      </c>
      <c r="C134" s="1"/>
      <c r="D134" s="45">
        <v>0</v>
      </c>
      <c r="E134" s="48" t="s">
        <v>537</v>
      </c>
      <c r="F134" s="14"/>
      <c r="K134" s="1"/>
    </row>
    <row r="135" spans="1:11">
      <c r="B135" s="1" t="s">
        <v>1020</v>
      </c>
      <c r="D135" s="45">
        <v>0</v>
      </c>
      <c r="E135" s="90" t="s">
        <v>538</v>
      </c>
      <c r="K135" s="1"/>
    </row>
    <row r="136" spans="1:11">
      <c r="B136" s="1" t="s">
        <v>1021</v>
      </c>
      <c r="D136" s="45">
        <v>0</v>
      </c>
      <c r="E136" s="48" t="s">
        <v>539</v>
      </c>
      <c r="K136" s="1"/>
    </row>
    <row r="137" spans="1:11">
      <c r="B137" s="1" t="s">
        <v>1022</v>
      </c>
      <c r="D137" s="45">
        <v>0</v>
      </c>
      <c r="E137" s="90" t="s">
        <v>540</v>
      </c>
      <c r="F137" s="168"/>
      <c r="K137" s="1"/>
    </row>
    <row r="138" spans="1:11">
      <c r="B138" s="1" t="s">
        <v>1023</v>
      </c>
      <c r="D138" s="45">
        <v>0</v>
      </c>
      <c r="E138" s="90" t="s">
        <v>541</v>
      </c>
      <c r="F138" s="168"/>
      <c r="K138" s="1"/>
    </row>
    <row r="139" spans="1:11">
      <c r="B139" s="14"/>
      <c r="C139" s="100" t="s">
        <v>542</v>
      </c>
      <c r="D139" s="104">
        <f>D128+D133+E_50+E_75+E_76-E_43-E_73</f>
        <v>0</v>
      </c>
      <c r="K139" s="1"/>
    </row>
    <row r="140" spans="1:11">
      <c r="C140" s="14" t="s">
        <v>543</v>
      </c>
      <c r="D140" s="24" t="str">
        <f>IF(D139='Exh B'!E45,"OK","ERROR")</f>
        <v>OK</v>
      </c>
      <c r="E140" s="90"/>
      <c r="H140" s="1"/>
      <c r="K140" s="14"/>
    </row>
    <row r="141" spans="1:11" ht="7.5" customHeight="1">
      <c r="C141" s="14"/>
      <c r="D141" s="24"/>
      <c r="E141" s="90"/>
      <c r="H141" s="1"/>
    </row>
    <row r="142" spans="1:11">
      <c r="A142" s="294" t="s">
        <v>247</v>
      </c>
      <c r="B142" s="294"/>
      <c r="C142" s="294"/>
      <c r="D142" s="24"/>
      <c r="E142" s="90"/>
    </row>
    <row r="143" spans="1:11">
      <c r="B143" s="1" t="s">
        <v>544</v>
      </c>
      <c r="C143" s="14"/>
      <c r="D143" s="45">
        <v>0</v>
      </c>
      <c r="E143" s="90" t="s">
        <v>545</v>
      </c>
    </row>
    <row r="144" spans="1:11">
      <c r="B144" s="1" t="s">
        <v>546</v>
      </c>
      <c r="C144" s="14"/>
      <c r="D144" s="46">
        <v>0</v>
      </c>
      <c r="E144" s="90" t="s">
        <v>547</v>
      </c>
    </row>
    <row r="145" spans="1:5">
      <c r="C145" s="1" t="s">
        <v>341</v>
      </c>
      <c r="D145" s="104">
        <f>SUM(D143:D144)</f>
        <v>0</v>
      </c>
      <c r="E145" s="90"/>
    </row>
    <row r="146" spans="1:5">
      <c r="C146" s="14" t="s">
        <v>543</v>
      </c>
      <c r="D146" s="24" t="str">
        <f>IF(D145='Exh B'!E46,"OK","ERROR")</f>
        <v>OK</v>
      </c>
      <c r="E146" s="90"/>
    </row>
    <row r="147" spans="1:5" ht="7.5" customHeight="1">
      <c r="B147" s="14"/>
      <c r="D147" s="17"/>
      <c r="E147" s="90"/>
    </row>
    <row r="148" spans="1:5">
      <c r="A148" s="269" t="s">
        <v>262</v>
      </c>
      <c r="C148" s="14"/>
      <c r="D148" s="24"/>
      <c r="E148" s="90"/>
    </row>
    <row r="149" spans="1:5">
      <c r="B149" s="1" t="s">
        <v>548</v>
      </c>
      <c r="C149" s="14"/>
      <c r="D149" s="45">
        <v>0</v>
      </c>
      <c r="E149" s="90" t="s">
        <v>549</v>
      </c>
    </row>
    <row r="150" spans="1:5">
      <c r="B150" s="1" t="s">
        <v>550</v>
      </c>
      <c r="C150" s="14"/>
      <c r="D150" s="46">
        <v>0</v>
      </c>
      <c r="E150" s="90" t="s">
        <v>551</v>
      </c>
    </row>
    <row r="151" spans="1:5">
      <c r="B151" s="1"/>
      <c r="C151" s="1" t="s">
        <v>341</v>
      </c>
      <c r="D151" s="103">
        <f>SUM(D149:D150)</f>
        <v>0</v>
      </c>
      <c r="E151" s="90"/>
    </row>
    <row r="152" spans="1:5">
      <c r="C152" s="14" t="s">
        <v>543</v>
      </c>
      <c r="D152" s="24" t="str">
        <f>IF(D151='Exh B'!E55,"OK","ERROR")</f>
        <v>OK</v>
      </c>
      <c r="E152" s="90"/>
    </row>
    <row r="153" spans="1:5">
      <c r="C153" s="14"/>
      <c r="D153" s="24"/>
      <c r="E153" s="90"/>
    </row>
    <row r="154" spans="1:5">
      <c r="A154" s="269" t="s">
        <v>552</v>
      </c>
      <c r="C154" s="14"/>
      <c r="D154" s="24"/>
      <c r="E154" s="90"/>
    </row>
    <row r="155" spans="1:5">
      <c r="B155" s="1" t="s">
        <v>553</v>
      </c>
      <c r="C155" s="14"/>
      <c r="D155" s="45">
        <v>0</v>
      </c>
      <c r="E155" s="90" t="s">
        <v>554</v>
      </c>
    </row>
    <row r="156" spans="1:5">
      <c r="B156" s="1" t="s">
        <v>555</v>
      </c>
      <c r="C156" s="14"/>
      <c r="D156" s="46">
        <v>0</v>
      </c>
      <c r="E156" s="90" t="s">
        <v>556</v>
      </c>
    </row>
    <row r="157" spans="1:5">
      <c r="B157" s="1"/>
      <c r="C157" s="1" t="s">
        <v>341</v>
      </c>
      <c r="D157" s="103">
        <f>SUM(D155:D156)</f>
        <v>0</v>
      </c>
      <c r="E157" s="90"/>
    </row>
    <row r="158" spans="1:5">
      <c r="C158" s="14" t="s">
        <v>543</v>
      </c>
      <c r="D158" s="24" t="str">
        <f>IF(D157=-B_TO,"OK","ERROR")</f>
        <v>OK</v>
      </c>
      <c r="E158" s="90"/>
    </row>
    <row r="159" spans="1:5" ht="8.25" customHeight="1">
      <c r="C159" s="14"/>
      <c r="D159" s="24"/>
      <c r="E159" s="90"/>
    </row>
    <row r="160" spans="1:5">
      <c r="A160" s="12" t="s">
        <v>557</v>
      </c>
      <c r="C160" s="14"/>
      <c r="D160" s="24"/>
      <c r="E160" s="90"/>
    </row>
    <row r="161" spans="1:13">
      <c r="B161" s="1" t="s">
        <v>558</v>
      </c>
      <c r="C161" s="14"/>
      <c r="D161" s="246">
        <f>'Exh A'!K25+'Exh A'!K38</f>
        <v>0</v>
      </c>
      <c r="E161" s="90"/>
      <c r="F161" s="240" t="s">
        <v>559</v>
      </c>
      <c r="G161" s="14"/>
    </row>
    <row r="162" spans="1:13">
      <c r="B162" s="1" t="s">
        <v>560</v>
      </c>
      <c r="C162" s="14"/>
      <c r="D162" s="152"/>
      <c r="E162" s="90" t="s">
        <v>561</v>
      </c>
      <c r="F162" s="240" t="s">
        <v>562</v>
      </c>
      <c r="G162" s="240"/>
      <c r="H162" s="240"/>
      <c r="I162" s="241"/>
      <c r="J162" s="240"/>
      <c r="K162" s="240"/>
      <c r="L162" s="240"/>
      <c r="M162" s="26"/>
    </row>
    <row r="163" spans="1:13">
      <c r="B163" s="1" t="s">
        <v>563</v>
      </c>
      <c r="C163" s="14"/>
      <c r="D163" s="152"/>
      <c r="E163" s="90" t="s">
        <v>564</v>
      </c>
      <c r="F163" s="240" t="s">
        <v>565</v>
      </c>
      <c r="G163" s="240"/>
      <c r="H163" s="240"/>
      <c r="I163" s="241"/>
      <c r="J163" s="240"/>
      <c r="K163" s="240"/>
      <c r="L163" s="240"/>
    </row>
    <row r="164" spans="1:13">
      <c r="B164" s="1" t="s">
        <v>566</v>
      </c>
      <c r="C164" s="14"/>
      <c r="D164" s="237">
        <f>SUM(D161:D163)</f>
        <v>0</v>
      </c>
      <c r="E164" s="90"/>
      <c r="F164" s="1" t="s">
        <v>20</v>
      </c>
    </row>
    <row r="165" spans="1:13">
      <c r="C165" s="14"/>
      <c r="D165" s="24" t="str">
        <f>IF(D164='Exh A'!E25+'Exh A'!E38,"OK","ERROR")</f>
        <v>OK</v>
      </c>
      <c r="E165" s="90"/>
    </row>
    <row r="166" spans="1:13" ht="8.1" customHeight="1">
      <c r="C166" s="14"/>
      <c r="D166" s="24"/>
      <c r="E166" s="90"/>
    </row>
    <row r="167" spans="1:13">
      <c r="A167" s="12" t="s">
        <v>567</v>
      </c>
      <c r="D167" s="17"/>
      <c r="E167" s="90"/>
    </row>
    <row r="168" spans="1:13">
      <c r="B168" s="1" t="s">
        <v>568</v>
      </c>
      <c r="D168" s="45">
        <v>0</v>
      </c>
      <c r="E168" s="90" t="s">
        <v>569</v>
      </c>
      <c r="F168" s="1"/>
    </row>
    <row r="169" spans="1:13">
      <c r="B169" s="1" t="s">
        <v>570</v>
      </c>
      <c r="D169" s="45">
        <v>0</v>
      </c>
      <c r="E169" s="90" t="s">
        <v>571</v>
      </c>
      <c r="F169" s="1"/>
    </row>
    <row r="170" spans="1:13">
      <c r="B170" t="s">
        <v>572</v>
      </c>
      <c r="D170" s="45">
        <v>0</v>
      </c>
      <c r="E170" s="90" t="s">
        <v>573</v>
      </c>
    </row>
    <row r="171" spans="1:13">
      <c r="B171" t="s">
        <v>574</v>
      </c>
      <c r="D171" s="46">
        <v>0</v>
      </c>
      <c r="E171" s="90" t="s">
        <v>575</v>
      </c>
    </row>
    <row r="172" spans="1:13">
      <c r="C172" t="s">
        <v>341</v>
      </c>
      <c r="D172" s="103">
        <f>D168-D169-D170-D171</f>
        <v>0</v>
      </c>
      <c r="E172" s="90"/>
    </row>
    <row r="173" spans="1:13">
      <c r="C173" s="14" t="s">
        <v>576</v>
      </c>
      <c r="D173" s="24" t="str">
        <f>IF(D172='Exh A'!M27+'Exh A'!M40,"OK","ERROR")</f>
        <v>OK</v>
      </c>
      <c r="E173" s="90"/>
    </row>
    <row r="174" spans="1:13" ht="8.1" customHeight="1">
      <c r="C174" s="14"/>
      <c r="D174" s="24"/>
      <c r="E174" s="90"/>
    </row>
    <row r="175" spans="1:13" ht="12.75" customHeight="1">
      <c r="A175" s="12" t="s">
        <v>577</v>
      </c>
      <c r="C175" s="14"/>
      <c r="D175" s="24"/>
      <c r="E175" s="90"/>
    </row>
    <row r="176" spans="1:13" ht="12.75" customHeight="1">
      <c r="A176" s="1"/>
      <c r="B176" s="1" t="s">
        <v>578</v>
      </c>
      <c r="C176" s="14"/>
      <c r="D176" s="45">
        <v>0</v>
      </c>
      <c r="E176" s="90" t="s">
        <v>579</v>
      </c>
      <c r="F176" s="291" t="s">
        <v>580</v>
      </c>
      <c r="G176" s="292"/>
      <c r="H176" s="292"/>
      <c r="I176" s="292"/>
    </row>
    <row r="177" spans="1:9" ht="12.75" customHeight="1">
      <c r="B177" s="1" t="s">
        <v>581</v>
      </c>
      <c r="C177" s="14"/>
      <c r="D177" s="46">
        <v>0</v>
      </c>
      <c r="E177" s="90"/>
      <c r="F177" s="291" t="s">
        <v>580</v>
      </c>
      <c r="G177" s="292"/>
      <c r="H177" s="292"/>
      <c r="I177" s="292"/>
    </row>
    <row r="178" spans="1:9" ht="12.75" customHeight="1">
      <c r="B178" s="1"/>
      <c r="C178" s="14" t="s">
        <v>582</v>
      </c>
      <c r="D178" s="103">
        <f>SUM(D176:D177)</f>
        <v>0</v>
      </c>
      <c r="E178" s="90"/>
    </row>
    <row r="179" spans="1:9" ht="12" customHeight="1">
      <c r="C179" s="14"/>
      <c r="D179" s="24" t="str">
        <f>IF(D178='Exh A'!E52,"OK","ERROR")</f>
        <v>OK</v>
      </c>
      <c r="E179" s="90"/>
    </row>
    <row r="180" spans="1:9" ht="12.75" customHeight="1">
      <c r="A180" s="12" t="s">
        <v>583</v>
      </c>
      <c r="C180" s="14"/>
      <c r="D180" s="24"/>
      <c r="E180" s="90"/>
      <c r="F180" s="291" t="s">
        <v>584</v>
      </c>
      <c r="G180" s="292"/>
      <c r="H180" s="292"/>
      <c r="I180" s="292"/>
    </row>
    <row r="181" spans="1:9" ht="12.75" customHeight="1">
      <c r="A181" s="1"/>
      <c r="B181" s="1" t="s">
        <v>578</v>
      </c>
      <c r="C181" s="14"/>
      <c r="D181" s="45">
        <v>0</v>
      </c>
      <c r="E181" s="90" t="s">
        <v>585</v>
      </c>
    </row>
    <row r="182" spans="1:9" ht="12.75" customHeight="1">
      <c r="B182" s="1" t="s">
        <v>586</v>
      </c>
      <c r="C182" s="14"/>
      <c r="D182" s="46">
        <v>0</v>
      </c>
      <c r="E182" s="90"/>
      <c r="F182" s="291" t="s">
        <v>584</v>
      </c>
      <c r="G182" s="292"/>
      <c r="H182" s="292"/>
      <c r="I182" s="292"/>
    </row>
    <row r="183" spans="1:9" ht="12.75" customHeight="1">
      <c r="B183" s="1"/>
      <c r="C183" s="14" t="s">
        <v>582</v>
      </c>
      <c r="D183" s="103">
        <f>SUM(D181:D182)</f>
        <v>0</v>
      </c>
      <c r="E183" s="90"/>
    </row>
    <row r="184" spans="1:9" ht="12.75" customHeight="1">
      <c r="C184" s="14"/>
      <c r="D184" s="24" t="str">
        <f>IF(D183='Exh A'!E51,"OK","ERROR")</f>
        <v>OK</v>
      </c>
      <c r="E184" s="90"/>
    </row>
    <row r="185" spans="1:9" ht="12.75" customHeight="1">
      <c r="A185" s="12" t="s">
        <v>587</v>
      </c>
      <c r="C185" s="14"/>
      <c r="D185" s="24"/>
      <c r="E185" s="90"/>
    </row>
    <row r="186" spans="1:9" ht="12.75" customHeight="1">
      <c r="B186" s="1" t="s">
        <v>588</v>
      </c>
      <c r="C186" s="14"/>
      <c r="D186" s="152"/>
      <c r="E186" s="90" t="s">
        <v>589</v>
      </c>
      <c r="F186" s="240" t="s">
        <v>590</v>
      </c>
    </row>
    <row r="187" spans="1:9" ht="12.75" customHeight="1">
      <c r="B187" s="1" t="s">
        <v>591</v>
      </c>
      <c r="C187" s="14"/>
      <c r="D187" s="152"/>
      <c r="E187" s="90" t="s">
        <v>592</v>
      </c>
      <c r="F187" s="240" t="s">
        <v>593</v>
      </c>
    </row>
    <row r="188" spans="1:9" ht="12.75" customHeight="1">
      <c r="B188" t="s">
        <v>594</v>
      </c>
      <c r="C188" s="14"/>
      <c r="D188" s="247"/>
      <c r="E188" s="90" t="s">
        <v>20</v>
      </c>
      <c r="F188" s="240" t="s">
        <v>593</v>
      </c>
    </row>
    <row r="189" spans="1:9" ht="12.75" customHeight="1">
      <c r="C189" s="14" t="s">
        <v>595</v>
      </c>
      <c r="D189" s="238">
        <f>SUM(D186:D188)</f>
        <v>0</v>
      </c>
      <c r="E189" s="90"/>
    </row>
    <row r="190" spans="1:9" ht="12.75" customHeight="1">
      <c r="C190" s="14"/>
      <c r="D190" s="24" t="str">
        <f>IF(D189=A_27,"OK","ERROR")</f>
        <v>OK</v>
      </c>
      <c r="E190" s="90"/>
    </row>
    <row r="191" spans="1:9" ht="12.75" customHeight="1">
      <c r="A191" s="12" t="s">
        <v>596</v>
      </c>
      <c r="C191" s="14"/>
      <c r="D191" s="24"/>
      <c r="E191" s="90"/>
    </row>
    <row r="192" spans="1:9" ht="12.75" customHeight="1">
      <c r="B192" s="1" t="s">
        <v>597</v>
      </c>
      <c r="C192" s="14"/>
      <c r="D192" s="152"/>
      <c r="E192" s="90" t="s">
        <v>598</v>
      </c>
      <c r="F192" s="240" t="s">
        <v>590</v>
      </c>
    </row>
    <row r="193" spans="1:9">
      <c r="B193" s="1" t="s">
        <v>599</v>
      </c>
      <c r="C193" s="14"/>
      <c r="D193" s="152"/>
      <c r="E193" s="90" t="s">
        <v>600</v>
      </c>
      <c r="F193" s="240" t="s">
        <v>593</v>
      </c>
    </row>
    <row r="194" spans="1:9" ht="12.75" customHeight="1">
      <c r="B194" s="1" t="s">
        <v>601</v>
      </c>
      <c r="C194" s="14"/>
      <c r="D194" s="247"/>
      <c r="E194" s="90" t="s">
        <v>20</v>
      </c>
      <c r="F194" s="240" t="s">
        <v>593</v>
      </c>
    </row>
    <row r="195" spans="1:9" ht="12.75" customHeight="1">
      <c r="C195" s="14" t="s">
        <v>595</v>
      </c>
      <c r="D195" s="238">
        <f>SUM(D192:D194)</f>
        <v>0</v>
      </c>
      <c r="E195" s="90"/>
    </row>
    <row r="196" spans="1:9" ht="12.75" customHeight="1">
      <c r="C196" s="14"/>
      <c r="D196" s="24" t="str">
        <f>IF(D195=A_28,"OK","ERROR")</f>
        <v>OK</v>
      </c>
      <c r="E196" s="90"/>
    </row>
    <row r="197" spans="1:9" ht="6.75" customHeight="1">
      <c r="C197" s="14"/>
      <c r="D197" s="24"/>
      <c r="E197" s="90"/>
    </row>
    <row r="198" spans="1:9">
      <c r="A198" s="12" t="s">
        <v>602</v>
      </c>
      <c r="C198" s="14"/>
      <c r="D198" s="45"/>
      <c r="E198" s="90"/>
    </row>
    <row r="199" spans="1:9">
      <c r="A199" s="1"/>
      <c r="B199" s="1" t="s">
        <v>603</v>
      </c>
      <c r="C199" s="14"/>
      <c r="D199" s="17">
        <f>B_23-D200</f>
        <v>0</v>
      </c>
      <c r="E199" s="90" t="s">
        <v>604</v>
      </c>
      <c r="F199" s="291" t="s">
        <v>605</v>
      </c>
      <c r="G199" s="292"/>
      <c r="H199" s="292"/>
      <c r="I199" s="292"/>
    </row>
    <row r="200" spans="1:9">
      <c r="B200" s="1" t="s">
        <v>606</v>
      </c>
      <c r="C200" s="14"/>
      <c r="D200" s="45">
        <v>0</v>
      </c>
    </row>
    <row r="201" spans="1:9">
      <c r="B201" s="1"/>
      <c r="C201" s="14"/>
      <c r="D201" s="104">
        <f>SUM(D199:D200)</f>
        <v>0</v>
      </c>
    </row>
    <row r="202" spans="1:9">
      <c r="D202" s="24" t="str">
        <f>IF(D201=B_23,"OK","ERROR")</f>
        <v>OK</v>
      </c>
    </row>
    <row r="203" spans="1:9" ht="7.5" customHeight="1">
      <c r="D203" s="24"/>
    </row>
    <row r="204" spans="1:9">
      <c r="A204" s="12" t="s">
        <v>607</v>
      </c>
      <c r="B204" s="12"/>
      <c r="C204" s="12"/>
      <c r="D204" s="24"/>
    </row>
    <row r="205" spans="1:9">
      <c r="A205" s="12"/>
      <c r="B205" s="1" t="s">
        <v>608</v>
      </c>
      <c r="C205" s="12"/>
      <c r="D205" s="145">
        <f>B_9+-D206</f>
        <v>0</v>
      </c>
      <c r="E205" s="48" t="s">
        <v>609</v>
      </c>
      <c r="F205" s="48" t="s">
        <v>610</v>
      </c>
      <c r="G205" s="242"/>
      <c r="H205" s="242"/>
    </row>
    <row r="206" spans="1:9">
      <c r="B206" s="1" t="s">
        <v>611</v>
      </c>
      <c r="D206" s="152"/>
      <c r="E206" s="48" t="s">
        <v>612</v>
      </c>
      <c r="F206" s="48" t="s">
        <v>613</v>
      </c>
    </row>
    <row r="207" spans="1:9">
      <c r="B207" s="1"/>
      <c r="C207" s="1" t="s">
        <v>614</v>
      </c>
      <c r="D207" s="243">
        <f>SUM(D205:D206)</f>
        <v>0</v>
      </c>
      <c r="F207" s="48"/>
    </row>
    <row r="208" spans="1:9">
      <c r="D208" s="24" t="str">
        <f>IF(D207=B_9,"OK","ERROR")</f>
        <v>OK</v>
      </c>
    </row>
    <row r="209" spans="1:9" ht="7.5" customHeight="1">
      <c r="C209" s="14"/>
      <c r="D209" s="24"/>
      <c r="E209" s="90"/>
    </row>
    <row r="210" spans="1:9" ht="15" customHeight="1">
      <c r="A210" s="12" t="s">
        <v>615</v>
      </c>
      <c r="C210" s="14"/>
      <c r="D210" s="45"/>
      <c r="E210" s="90"/>
      <c r="F210" s="48"/>
    </row>
    <row r="211" spans="1:9" ht="15" customHeight="1">
      <c r="A211" s="1"/>
      <c r="B211" s="1" t="s">
        <v>616</v>
      </c>
      <c r="C211" s="14"/>
      <c r="D211" s="17">
        <f>B_24-D212</f>
        <v>0</v>
      </c>
      <c r="E211" s="90" t="s">
        <v>617</v>
      </c>
      <c r="F211" s="291" t="s">
        <v>618</v>
      </c>
      <c r="G211" s="292"/>
      <c r="H211" s="292"/>
      <c r="I211" s="292"/>
    </row>
    <row r="212" spans="1:9">
      <c r="B212" s="1" t="s">
        <v>619</v>
      </c>
      <c r="C212" s="14"/>
      <c r="D212" s="45">
        <v>0</v>
      </c>
    </row>
    <row r="213" spans="1:9">
      <c r="B213" s="1"/>
      <c r="C213" s="14"/>
      <c r="D213" s="104">
        <f>SUM(D211:D212)</f>
        <v>0</v>
      </c>
    </row>
    <row r="214" spans="1:9">
      <c r="D214" s="24" t="str">
        <f>IF(D213=B_24,"OK","ERROR")</f>
        <v>OK</v>
      </c>
    </row>
    <row r="215" spans="1:9">
      <c r="A215" s="12" t="s">
        <v>620</v>
      </c>
      <c r="C215" s="14"/>
      <c r="D215" s="45"/>
      <c r="E215" s="90"/>
      <c r="F215" s="48"/>
    </row>
    <row r="216" spans="1:9">
      <c r="A216" s="1"/>
      <c r="B216" s="1" t="s">
        <v>621</v>
      </c>
      <c r="C216" s="14"/>
      <c r="D216" s="17">
        <f>-B_25-D217</f>
        <v>0</v>
      </c>
      <c r="E216" s="90" t="s">
        <v>622</v>
      </c>
      <c r="F216" s="291" t="s">
        <v>605</v>
      </c>
      <c r="G216" s="292"/>
      <c r="H216" s="292"/>
      <c r="I216" s="292"/>
    </row>
    <row r="217" spans="1:9">
      <c r="B217" s="1" t="s">
        <v>623</v>
      </c>
      <c r="C217" s="14"/>
      <c r="D217" s="45">
        <v>0</v>
      </c>
    </row>
    <row r="218" spans="1:9">
      <c r="B218" s="1"/>
      <c r="C218" s="14"/>
      <c r="D218" s="104">
        <f>SUM(D216:D217)</f>
        <v>0</v>
      </c>
    </row>
    <row r="219" spans="1:9">
      <c r="D219" s="24" t="str">
        <f>IF(D218=-B_25,"OK","ERROR")</f>
        <v>OK</v>
      </c>
    </row>
    <row r="220" spans="1:9" hidden="1">
      <c r="A220" s="160" t="s">
        <v>624</v>
      </c>
      <c r="B220" s="161"/>
      <c r="C220" s="162"/>
      <c r="D220" s="163"/>
      <c r="E220" s="174"/>
    </row>
    <row r="221" spans="1:9" hidden="1">
      <c r="A221" s="161"/>
      <c r="B221" s="161" t="s">
        <v>625</v>
      </c>
      <c r="C221" s="162"/>
      <c r="D221" s="164">
        <f>B_7-D222</f>
        <v>0</v>
      </c>
      <c r="E221" s="174" t="s">
        <v>626</v>
      </c>
      <c r="F221" s="291" t="s">
        <v>627</v>
      </c>
      <c r="G221" s="292"/>
      <c r="H221" s="292"/>
      <c r="I221" s="292"/>
    </row>
    <row r="222" spans="1:9" hidden="1">
      <c r="A222" s="161"/>
      <c r="B222" s="161" t="s">
        <v>628</v>
      </c>
      <c r="C222" s="162"/>
      <c r="D222" s="163"/>
      <c r="E222" s="174" t="s">
        <v>629</v>
      </c>
    </row>
    <row r="223" spans="1:9" hidden="1">
      <c r="B223" s="1"/>
      <c r="C223" s="14"/>
      <c r="D223" s="104">
        <f>SUM(D221:D222)</f>
        <v>0</v>
      </c>
    </row>
    <row r="224" spans="1:9" hidden="1">
      <c r="D224" s="24" t="str">
        <f>IF(D223=B_7,"OK","ERROR")</f>
        <v>OK</v>
      </c>
    </row>
    <row r="225" spans="1:9" ht="7.5" customHeight="1"/>
    <row r="226" spans="1:9">
      <c r="A226" s="12" t="s">
        <v>630</v>
      </c>
      <c r="C226" s="14"/>
      <c r="D226" s="45"/>
      <c r="E226" s="90"/>
    </row>
    <row r="227" spans="1:9">
      <c r="A227" s="1"/>
      <c r="B227" s="1" t="s">
        <v>631</v>
      </c>
      <c r="C227" s="14"/>
      <c r="D227" s="17">
        <f>B_9C-D228</f>
        <v>0</v>
      </c>
      <c r="E227" s="90" t="s">
        <v>632</v>
      </c>
      <c r="F227" s="291" t="s">
        <v>605</v>
      </c>
      <c r="G227" s="292"/>
      <c r="H227" s="292"/>
      <c r="I227" s="292"/>
    </row>
    <row r="228" spans="1:9">
      <c r="B228" s="1" t="s">
        <v>633</v>
      </c>
      <c r="C228" s="14"/>
      <c r="D228" s="45">
        <v>0</v>
      </c>
      <c r="E228" s="90" t="s">
        <v>634</v>
      </c>
    </row>
    <row r="229" spans="1:9">
      <c r="B229" s="1"/>
      <c r="C229" s="14"/>
      <c r="D229" s="104">
        <f>SUM(D227:D228)</f>
        <v>0</v>
      </c>
    </row>
    <row r="230" spans="1:9">
      <c r="D230" s="24" t="str">
        <f>IF(D229=B_9C,"OK","ERROR")</f>
        <v>OK</v>
      </c>
    </row>
  </sheetData>
  <sheetProtection algorithmName="SHA-512" hashValue="mhPPxP9NYDTOVDf9+x92sd6mH8aSZe0bgVXzXvloHK9T88QHfXQIDtTPehq5t/x3MXB2d7zCahkQpzx9ipj2bg==" saltValue="K4NDIuZjAEvBemXCC9yuvA==" spinCount="100000" sheet="1" autoFilter="0"/>
  <mergeCells count="13">
    <mergeCell ref="F221:I221"/>
    <mergeCell ref="F227:I227"/>
    <mergeCell ref="F199:I199"/>
    <mergeCell ref="F211:I211"/>
    <mergeCell ref="B22:C22"/>
    <mergeCell ref="A142:C142"/>
    <mergeCell ref="B24:C24"/>
    <mergeCell ref="B25:C25"/>
    <mergeCell ref="F182:I182"/>
    <mergeCell ref="F176:I176"/>
    <mergeCell ref="F177:I177"/>
    <mergeCell ref="F180:I180"/>
    <mergeCell ref="F216:I216"/>
  </mergeCells>
  <phoneticPr fontId="0" type="noConversion"/>
  <conditionalFormatting sqref="C35">
    <cfRule type="containsText" dxfId="72" priority="13" operator="containsText" text="Internal Service Funds - Do not complete this section">
      <formula>NOT(ISERROR(SEARCH("Internal Service Funds - Do not complete this section",C35)))</formula>
    </cfRule>
  </conditionalFormatting>
  <conditionalFormatting sqref="C66">
    <cfRule type="containsText" dxfId="71" priority="12" operator="containsText" text="Internal Service Funds - Do not complete this section">
      <formula>NOT(ISERROR(SEARCH("Internal Service Funds - Do not complete this section",C66)))</formula>
    </cfRule>
  </conditionalFormatting>
  <conditionalFormatting sqref="D11:D12 F11:F12">
    <cfRule type="cellIs" dxfId="70" priority="73" stopIfTrue="1" operator="equal">
      <formula>"ERROR"</formula>
    </cfRule>
  </conditionalFormatting>
  <conditionalFormatting sqref="D19">
    <cfRule type="cellIs" dxfId="69" priority="60" stopIfTrue="1" operator="equal">
      <formula>"ERROR"</formula>
    </cfRule>
  </conditionalFormatting>
  <conditionalFormatting sqref="D27">
    <cfRule type="cellIs" dxfId="68" priority="72" stopIfTrue="1" operator="equal">
      <formula>"ERROR"</formula>
    </cfRule>
  </conditionalFormatting>
  <conditionalFormatting sqref="D35">
    <cfRule type="cellIs" dxfId="67" priority="15" stopIfTrue="1" operator="equal">
      <formula>"ERROR"</formula>
    </cfRule>
  </conditionalFormatting>
  <conditionalFormatting sqref="D50">
    <cfRule type="cellIs" dxfId="66" priority="58" stopIfTrue="1" operator="equal">
      <formula>"ERROR"</formula>
    </cfRule>
  </conditionalFormatting>
  <conditionalFormatting sqref="D57">
    <cfRule type="cellIs" dxfId="65" priority="8" stopIfTrue="1" operator="equal">
      <formula>"ERROR"</formula>
    </cfRule>
  </conditionalFormatting>
  <conditionalFormatting sqref="D66">
    <cfRule type="cellIs" dxfId="64" priority="17" stopIfTrue="1" operator="equal">
      <formula>"ERROR"</formula>
    </cfRule>
  </conditionalFormatting>
  <conditionalFormatting sqref="D81">
    <cfRule type="cellIs" dxfId="63" priority="48" stopIfTrue="1" operator="equal">
      <formula>"ERROR"</formula>
    </cfRule>
  </conditionalFormatting>
  <conditionalFormatting sqref="D87:D89 D93:D94">
    <cfRule type="cellIs" dxfId="62" priority="40" stopIfTrue="1" operator="equal">
      <formula>"ERROR"</formula>
    </cfRule>
  </conditionalFormatting>
  <conditionalFormatting sqref="D99:D103">
    <cfRule type="cellIs" dxfId="61" priority="31" stopIfTrue="1" operator="equal">
      <formula>"ERROR"</formula>
    </cfRule>
  </conditionalFormatting>
  <conditionalFormatting sqref="D105:D106">
    <cfRule type="cellIs" dxfId="60" priority="28" stopIfTrue="1" operator="equal">
      <formula>"ERROR"</formula>
    </cfRule>
  </conditionalFormatting>
  <conditionalFormatting sqref="D152:D154">
    <cfRule type="cellIs" dxfId="59" priority="4" stopIfTrue="1" operator="equal">
      <formula>"ERROR"</formula>
    </cfRule>
  </conditionalFormatting>
  <conditionalFormatting sqref="D158:D166">
    <cfRule type="cellIs" dxfId="58" priority="3" stopIfTrue="1" operator="equal">
      <formula>"ERROR"</formula>
    </cfRule>
  </conditionalFormatting>
  <conditionalFormatting sqref="D179:D180">
    <cfRule type="cellIs" dxfId="57" priority="27" stopIfTrue="1" operator="equal">
      <formula>"ERROR"</formula>
    </cfRule>
  </conditionalFormatting>
  <conditionalFormatting sqref="D202:D209">
    <cfRule type="cellIs" dxfId="56" priority="1" stopIfTrue="1" operator="equal">
      <formula>"ERROR"</formula>
    </cfRule>
  </conditionalFormatting>
  <conditionalFormatting sqref="D214 D224">
    <cfRule type="cellIs" dxfId="55" priority="26" stopIfTrue="1" operator="equal">
      <formula>"ERROR"</formula>
    </cfRule>
  </conditionalFormatting>
  <conditionalFormatting sqref="D219">
    <cfRule type="cellIs" dxfId="54" priority="6" stopIfTrue="1" operator="equal">
      <formula>"ERROR"</formula>
    </cfRule>
  </conditionalFormatting>
  <conditionalFormatting sqref="D230">
    <cfRule type="cellIs" dxfId="53" priority="50" stopIfTrue="1" operator="equal">
      <formula>"ERROR"</formula>
    </cfRule>
  </conditionalFormatting>
  <conditionalFormatting sqref="D43:F45 E46:E47 E49:E51 D75:D76 F75:F76 E79:E81 F106 D113:D115 D121:D124 D140:D142 D146 D148 D173:D175 D184:D197">
    <cfRule type="cellIs" dxfId="52" priority="78" stopIfTrue="1" operator="equal">
      <formula>"ERROR"</formula>
    </cfRule>
  </conditionalFormatting>
  <conditionalFormatting sqref="D52:F52 E53:E54 E56:E64">
    <cfRule type="cellIs" dxfId="51" priority="9" stopIfTrue="1" operator="equal">
      <formula>"ERROR"</formula>
    </cfRule>
  </conditionalFormatting>
  <conditionalFormatting sqref="D77:F77">
    <cfRule type="cellIs" dxfId="50" priority="49" stopIfTrue="1" operator="equal">
      <formula>"ERROR"</formula>
    </cfRule>
  </conditionalFormatting>
  <conditionalFormatting sqref="D83:F83">
    <cfRule type="cellIs" dxfId="49" priority="45" stopIfTrue="1" operator="equal">
      <formula>"ERROR"</formula>
    </cfRule>
  </conditionalFormatting>
  <conditionalFormatting sqref="D95:F95">
    <cfRule type="cellIs" dxfId="48" priority="33" stopIfTrue="1" operator="equal">
      <formula>"ERROR"</formula>
    </cfRule>
  </conditionalFormatting>
  <conditionalFormatting sqref="E67">
    <cfRule type="cellIs" dxfId="47" priority="24" stopIfTrue="1" operator="equal">
      <formula>"ERROR"</formula>
    </cfRule>
  </conditionalFormatting>
  <conditionalFormatting sqref="E85:E89">
    <cfRule type="cellIs" dxfId="46" priority="41" stopIfTrue="1" operator="equal">
      <formula>"ERROR"</formula>
    </cfRule>
  </conditionalFormatting>
  <conditionalFormatting sqref="E91:E94">
    <cfRule type="cellIs" dxfId="45" priority="34" stopIfTrue="1" operator="equal">
      <formula>"ERROR"</formula>
    </cfRule>
  </conditionalFormatting>
  <conditionalFormatting sqref="E97:E104">
    <cfRule type="cellIs" dxfId="44" priority="32" stopIfTrue="1" operator="equal">
      <formula>"ERROR"</formula>
    </cfRule>
  </conditionalFormatting>
  <conditionalFormatting sqref="E127">
    <cfRule type="cellIs" dxfId="43" priority="55" stopIfTrue="1" operator="equal">
      <formula>"ERROR – Not equal to change in allowance Investments/Pooled Investments"</formula>
    </cfRule>
  </conditionalFormatting>
  <conditionalFormatting sqref="E132">
    <cfRule type="cellIs" dxfId="42" priority="2" stopIfTrue="1" operator="equal">
      <formula>"ERROR – Not equal to change in allowance Investments/Pooled Investments"</formula>
    </cfRule>
  </conditionalFormatting>
  <conditionalFormatting sqref="F19">
    <cfRule type="cellIs" dxfId="41" priority="59" stopIfTrue="1" operator="equal">
      <formula>"ERROR"</formula>
    </cfRule>
  </conditionalFormatting>
  <conditionalFormatting sqref="F27">
    <cfRule type="cellIs" dxfId="40" priority="65" stopIfTrue="1" operator="equal">
      <formula>"ERROR"</formula>
    </cfRule>
  </conditionalFormatting>
  <conditionalFormatting sqref="F35">
    <cfRule type="cellIs" dxfId="39" priority="14" stopIfTrue="1" operator="equal">
      <formula>"ERROR"</formula>
    </cfRule>
  </conditionalFormatting>
  <conditionalFormatting sqref="F50">
    <cfRule type="cellIs" dxfId="38" priority="57" stopIfTrue="1" operator="equal">
      <formula>"ERROR"</formula>
    </cfRule>
  </conditionalFormatting>
  <conditionalFormatting sqref="F57">
    <cfRule type="cellIs" dxfId="37" priority="7" stopIfTrue="1" operator="equal">
      <formula>"ERROR"</formula>
    </cfRule>
  </conditionalFormatting>
  <conditionalFormatting sqref="F66">
    <cfRule type="cellIs" dxfId="36" priority="16" stopIfTrue="1" operator="equal">
      <formula>"ERROR"</formula>
    </cfRule>
  </conditionalFormatting>
  <conditionalFormatting sqref="F81">
    <cfRule type="cellIs" dxfId="35" priority="42" stopIfTrue="1" operator="equal">
      <formula>"ERROR"</formula>
    </cfRule>
  </conditionalFormatting>
  <conditionalFormatting sqref="F87:F89">
    <cfRule type="cellIs" dxfId="34" priority="39" stopIfTrue="1" operator="equal">
      <formula>"ERROR"</formula>
    </cfRule>
  </conditionalFormatting>
  <conditionalFormatting sqref="F93:F94">
    <cfRule type="cellIs" dxfId="33" priority="36" stopIfTrue="1" operator="equal">
      <formula>"ERROR"</formula>
    </cfRule>
  </conditionalFormatting>
  <conditionalFormatting sqref="F99:F104">
    <cfRule type="cellIs" dxfId="32" priority="30" stopIfTrue="1" operator="equal">
      <formula>"ERROR"</formula>
    </cfRule>
  </conditionalFormatting>
  <conditionalFormatting sqref="H81">
    <cfRule type="cellIs" dxfId="31" priority="38" stopIfTrue="1" operator="equal">
      <formula>"ERROR"</formula>
    </cfRule>
  </conditionalFormatting>
  <conditionalFormatting sqref="H87:H89">
    <cfRule type="cellIs" dxfId="30" priority="37" stopIfTrue="1" operator="equal">
      <formula>"ERROR"</formula>
    </cfRule>
  </conditionalFormatting>
  <conditionalFormatting sqref="H93:H94">
    <cfRule type="cellIs" dxfId="29" priority="35" stopIfTrue="1" operator="equal">
      <formula>"ERROR"</formula>
    </cfRule>
  </conditionalFormatting>
  <conditionalFormatting sqref="H99:H104">
    <cfRule type="cellIs" dxfId="28" priority="29" stopIfTrue="1" operator="equal">
      <formula>"ERROR"</formula>
    </cfRule>
  </conditionalFormatting>
  <pageMargins left="0.45" right="0.45" top="0.5" bottom="0.5" header="0.5" footer="0.3"/>
  <pageSetup scale="91" fitToHeight="0" orientation="landscape" r:id="rId1"/>
  <headerFooter alignWithMargins="0">
    <oddFooter>Page &amp;P of &amp;N</oddFooter>
  </headerFooter>
  <rowBreaks count="5" manualBreakCount="5">
    <brk id="43" max="8" man="1"/>
    <brk id="81" max="8" man="1"/>
    <brk id="121" max="8" man="1"/>
    <brk id="158" max="8" man="1"/>
    <brk id="197" max="8" man="1"/>
  </rowBreaks>
  <ignoredErrors>
    <ignoredError sqref="D90"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211"/>
  <sheetViews>
    <sheetView zoomScale="130" zoomScaleNormal="130" workbookViewId="0">
      <selection activeCell="D5" sqref="D5"/>
    </sheetView>
  </sheetViews>
  <sheetFormatPr defaultRowHeight="12.75"/>
  <cols>
    <col min="1" max="3" width="2.7109375" customWidth="1"/>
    <col min="4" max="4" width="56.7109375" customWidth="1"/>
    <col min="5" max="5" width="18.85546875" customWidth="1"/>
    <col min="6" max="6" width="2.140625" customWidth="1"/>
    <col min="7" max="7" width="19.140625" customWidth="1"/>
    <col min="8" max="8" width="2.140625" customWidth="1"/>
    <col min="9" max="9" width="5.140625" customWidth="1"/>
    <col min="10" max="10" width="2.140625" customWidth="1"/>
    <col min="11" max="11" width="18.7109375" customWidth="1"/>
  </cols>
  <sheetData>
    <row r="1" spans="1:12">
      <c r="A1" s="12" t="str">
        <f>Info!C4</f>
        <v>Select Proprietary Fund (Click Here)</v>
      </c>
      <c r="K1" s="28" t="s">
        <v>635</v>
      </c>
    </row>
    <row r="2" spans="1:12">
      <c r="A2" s="12" t="s">
        <v>636</v>
      </c>
    </row>
    <row r="3" spans="1:12" ht="9" customHeight="1" thickBot="1">
      <c r="A3" s="23"/>
      <c r="B3" s="16"/>
      <c r="C3" s="16"/>
      <c r="D3" s="16"/>
      <c r="E3" s="16"/>
      <c r="F3" s="16"/>
      <c r="G3" s="16"/>
      <c r="H3" s="16"/>
      <c r="I3" s="16"/>
      <c r="J3" s="16"/>
      <c r="K3" s="16"/>
    </row>
    <row r="4" spans="1:12" s="26" customFormat="1" ht="12.75" customHeight="1"/>
    <row r="5" spans="1:12">
      <c r="E5" s="13" t="s">
        <v>637</v>
      </c>
      <c r="F5" s="13"/>
      <c r="G5" s="13" t="s">
        <v>638</v>
      </c>
      <c r="H5" s="13"/>
      <c r="I5" s="13" t="s">
        <v>639</v>
      </c>
      <c r="J5" s="13"/>
      <c r="K5" s="13" t="s">
        <v>640</v>
      </c>
    </row>
    <row r="6" spans="1:12" ht="6" customHeight="1">
      <c r="E6" s="13"/>
      <c r="F6" s="13"/>
      <c r="G6" s="13"/>
      <c r="H6" s="13"/>
      <c r="I6" s="13"/>
      <c r="J6" s="13"/>
      <c r="K6" s="13"/>
    </row>
    <row r="7" spans="1:12">
      <c r="A7" s="12" t="s">
        <v>641</v>
      </c>
    </row>
    <row r="8" spans="1:12">
      <c r="B8" t="s">
        <v>18</v>
      </c>
      <c r="E8" s="17"/>
      <c r="F8" s="17"/>
      <c r="G8" s="17"/>
      <c r="H8" s="17"/>
    </row>
    <row r="9" spans="1:12">
      <c r="C9" t="s">
        <v>187</v>
      </c>
      <c r="E9" s="21">
        <f>L_2</f>
        <v>0</v>
      </c>
      <c r="F9" s="27"/>
      <c r="G9" s="17"/>
      <c r="H9" s="17"/>
      <c r="I9" s="93" t="s">
        <v>188</v>
      </c>
      <c r="J9" s="15"/>
    </row>
    <row r="10" spans="1:12">
      <c r="D10" t="s">
        <v>642</v>
      </c>
      <c r="E10" s="21">
        <f>IF(A_17A&lt;0,-A_17A,0)</f>
        <v>0</v>
      </c>
      <c r="F10" s="27"/>
      <c r="G10" s="21">
        <f>IF(A_17A&gt;0,A_17A,0)</f>
        <v>0</v>
      </c>
      <c r="H10" s="17"/>
      <c r="I10" s="93"/>
      <c r="J10" s="15"/>
    </row>
    <row r="11" spans="1:12">
      <c r="C11" s="1" t="s">
        <v>189</v>
      </c>
      <c r="E11" s="21">
        <f>B_4</f>
        <v>0</v>
      </c>
      <c r="F11" s="27"/>
      <c r="G11" s="17"/>
      <c r="H11" s="17"/>
      <c r="I11" s="93" t="s">
        <v>190</v>
      </c>
      <c r="J11" s="15"/>
    </row>
    <row r="12" spans="1:12">
      <c r="C12" t="s">
        <v>195</v>
      </c>
      <c r="E12" s="21">
        <f>B_1</f>
        <v>0</v>
      </c>
      <c r="F12" s="27"/>
      <c r="G12" s="17"/>
      <c r="H12" s="17"/>
      <c r="I12" s="93" t="s">
        <v>196</v>
      </c>
      <c r="J12" s="15"/>
    </row>
    <row r="13" spans="1:12">
      <c r="A13" s="1"/>
      <c r="D13" s="1" t="s">
        <v>643</v>
      </c>
      <c r="E13" s="21"/>
      <c r="F13" s="27"/>
      <c r="G13" s="21">
        <f>-E_80</f>
        <v>0</v>
      </c>
      <c r="H13" s="17"/>
      <c r="I13" s="93" t="s">
        <v>589</v>
      </c>
      <c r="J13" s="15"/>
      <c r="L13" s="239"/>
    </row>
    <row r="14" spans="1:12">
      <c r="C14" t="s">
        <v>644</v>
      </c>
      <c r="E14" s="21">
        <f>B_2</f>
        <v>0</v>
      </c>
      <c r="F14" s="27"/>
      <c r="G14" s="17"/>
      <c r="H14" s="17"/>
      <c r="I14" s="93" t="s">
        <v>198</v>
      </c>
      <c r="J14" s="15"/>
    </row>
    <row r="15" spans="1:12">
      <c r="C15" t="s">
        <v>199</v>
      </c>
      <c r="E15" s="21">
        <f>B_6</f>
        <v>0</v>
      </c>
      <c r="F15" s="27"/>
      <c r="G15" s="17"/>
      <c r="H15" s="17"/>
      <c r="I15" s="93" t="s">
        <v>200</v>
      </c>
      <c r="J15" s="15"/>
    </row>
    <row r="16" spans="1:12">
      <c r="C16" t="s">
        <v>201</v>
      </c>
      <c r="E16" s="21">
        <f>B_5A</f>
        <v>0</v>
      </c>
      <c r="F16" s="27"/>
      <c r="G16" s="17"/>
      <c r="H16" s="17"/>
      <c r="I16" s="93" t="s">
        <v>202</v>
      </c>
      <c r="J16" s="15"/>
    </row>
    <row r="17" spans="1:18">
      <c r="C17" t="s">
        <v>645</v>
      </c>
      <c r="E17" s="21">
        <f>IF(E_71&gt;0,E_71,0)</f>
        <v>0</v>
      </c>
      <c r="F17" s="27"/>
      <c r="G17" s="21">
        <f>IF(E_71&lt;0,-E_71,0)</f>
        <v>0</v>
      </c>
      <c r="H17" s="17"/>
      <c r="I17" s="93"/>
      <c r="J17" s="15"/>
    </row>
    <row r="18" spans="1:18">
      <c r="C18" s="1" t="s">
        <v>646</v>
      </c>
      <c r="E18" s="21">
        <f>IF(E_1&lt;0,-E_1,0)</f>
        <v>0</v>
      </c>
      <c r="F18" s="27"/>
      <c r="G18" s="21">
        <f>IF(E_1&gt;0,E_1,0)</f>
        <v>0</v>
      </c>
      <c r="H18" s="17"/>
      <c r="I18" s="93" t="s">
        <v>418</v>
      </c>
      <c r="J18" s="15"/>
    </row>
    <row r="19" spans="1:18">
      <c r="C19" s="1" t="s">
        <v>647</v>
      </c>
      <c r="E19" s="21">
        <f>IF(E_3&lt;0,-E_3,0)</f>
        <v>0</v>
      </c>
      <c r="F19" s="27"/>
      <c r="G19" s="21">
        <f>IF(E_3&gt;0,E_3,0)</f>
        <v>0</v>
      </c>
      <c r="H19" s="17"/>
      <c r="I19" s="93" t="s">
        <v>426</v>
      </c>
      <c r="J19" s="15"/>
    </row>
    <row r="20" spans="1:18">
      <c r="C20" s="1" t="s">
        <v>648</v>
      </c>
      <c r="E20" s="21">
        <f>IF(A_5&lt;0,-A_5,0)</f>
        <v>0</v>
      </c>
      <c r="F20" s="27"/>
      <c r="G20" s="21">
        <f>IF(A_5&gt;0,A_5,0)</f>
        <v>0</v>
      </c>
      <c r="H20" s="17"/>
      <c r="I20" s="130" t="s">
        <v>79</v>
      </c>
      <c r="J20" s="15"/>
    </row>
    <row r="21" spans="1:18">
      <c r="C21" s="1" t="s">
        <v>649</v>
      </c>
      <c r="E21" s="21">
        <f>IF(A_18+A_18A&lt;0,-A_18-A_18A,0)</f>
        <v>0</v>
      </c>
      <c r="F21" s="27"/>
      <c r="G21" s="21">
        <f>IF(A_18+A_18A&gt;0,A_18+A_18A,0)</f>
        <v>0</v>
      </c>
      <c r="H21" s="17"/>
      <c r="I21" s="130" t="s">
        <v>650</v>
      </c>
      <c r="J21" s="15"/>
    </row>
    <row r="22" spans="1:18">
      <c r="C22" s="1" t="s">
        <v>651</v>
      </c>
      <c r="E22" s="21">
        <f>IF(E_9&lt;0,-E_9,0)</f>
        <v>0</v>
      </c>
      <c r="F22" s="27"/>
      <c r="G22" s="21">
        <f>IF(E_9&gt;0,E_9,0)</f>
        <v>0</v>
      </c>
      <c r="H22" s="17"/>
      <c r="I22" s="130" t="s">
        <v>432</v>
      </c>
      <c r="J22" s="15"/>
    </row>
    <row r="23" spans="1:18">
      <c r="C23" s="1" t="s">
        <v>652</v>
      </c>
      <c r="E23" s="21">
        <f>IF(SUM(E10+E85+E107+E122)=0,IF(A_17&lt;0,-A_17,0),0)</f>
        <v>0</v>
      </c>
      <c r="F23" s="27"/>
      <c r="G23" s="21">
        <f>IF(SUM(G10+G85+G107+G122)=0,IF(A_17&gt;0,A_17,0),0)</f>
        <v>0</v>
      </c>
      <c r="H23" s="17"/>
      <c r="I23" s="130" t="s">
        <v>84</v>
      </c>
      <c r="J23" s="15"/>
      <c r="L23" s="159"/>
      <c r="M23" s="159"/>
      <c r="N23" s="159"/>
      <c r="O23" s="159"/>
      <c r="P23" s="159"/>
      <c r="Q23" s="159"/>
      <c r="R23" s="159"/>
    </row>
    <row r="24" spans="1:18">
      <c r="C24" s="1" t="s">
        <v>653</v>
      </c>
      <c r="E24" s="17">
        <f>IF(A_14&lt;0,-A_14,0)</f>
        <v>0</v>
      </c>
      <c r="F24" s="27"/>
      <c r="G24" s="17">
        <f>IF(A_14&gt;0,A_14,0)</f>
        <v>0</v>
      </c>
      <c r="H24" s="17"/>
      <c r="I24" s="26" t="s">
        <v>86</v>
      </c>
      <c r="J24" s="15"/>
      <c r="L24" s="159"/>
      <c r="M24" s="159"/>
      <c r="N24" s="159"/>
      <c r="O24" s="159"/>
      <c r="P24" s="159"/>
      <c r="Q24" s="159"/>
      <c r="R24" s="159"/>
    </row>
    <row r="25" spans="1:18" ht="13.5" thickBot="1">
      <c r="C25" s="1" t="s">
        <v>654</v>
      </c>
      <c r="E25" s="98">
        <f>IF(E_30&gt;0,E_30,0)</f>
        <v>0</v>
      </c>
      <c r="F25" s="27"/>
      <c r="G25" s="98">
        <f>IF(E_30&lt;0,-E_30,0)</f>
        <v>0</v>
      </c>
      <c r="H25" s="17"/>
      <c r="I25" s="94" t="s">
        <v>484</v>
      </c>
      <c r="J25" s="15"/>
      <c r="K25" s="29">
        <f>SUM(E9:E25)-SUM(G9:G25)</f>
        <v>0</v>
      </c>
      <c r="L25" s="159"/>
      <c r="M25" s="159"/>
      <c r="N25" s="159"/>
      <c r="O25" s="159"/>
      <c r="P25" s="159"/>
      <c r="Q25" s="159"/>
      <c r="R25" s="159"/>
    </row>
    <row r="26" spans="1:18">
      <c r="B26" s="1" t="s">
        <v>655</v>
      </c>
      <c r="C26" s="1"/>
      <c r="E26" s="17"/>
      <c r="F26" s="27"/>
      <c r="G26" s="17"/>
      <c r="H26" s="17"/>
      <c r="I26" s="27"/>
      <c r="J26" s="15"/>
      <c r="K26" s="17"/>
    </row>
    <row r="27" spans="1:18">
      <c r="C27" s="1" t="s">
        <v>191</v>
      </c>
      <c r="E27" s="21">
        <f>B_3</f>
        <v>0</v>
      </c>
      <c r="F27" s="27"/>
      <c r="G27" s="17"/>
      <c r="H27" s="17"/>
      <c r="I27" s="93" t="s">
        <v>192</v>
      </c>
      <c r="J27" s="15"/>
      <c r="K27" s="17"/>
    </row>
    <row r="28" spans="1:18" ht="13.5" thickBot="1">
      <c r="C28" s="1" t="s">
        <v>656</v>
      </c>
      <c r="E28" s="98">
        <f>IF(E_6&lt;0,-E_6,0)</f>
        <v>0</v>
      </c>
      <c r="F28" s="27"/>
      <c r="G28" s="29">
        <f>IF(E_6&gt;0,E_6,0)</f>
        <v>0</v>
      </c>
      <c r="H28" s="17"/>
      <c r="I28" s="94" t="s">
        <v>424</v>
      </c>
      <c r="J28" s="15"/>
      <c r="K28" s="29">
        <f>SUM(E27:E28)-SUM(G27:G28)</f>
        <v>0</v>
      </c>
    </row>
    <row r="29" spans="1:18" ht="13.5" thickBot="1">
      <c r="A29" s="269"/>
      <c r="B29" s="1" t="s">
        <v>657</v>
      </c>
      <c r="E29" s="207"/>
      <c r="F29" s="27"/>
      <c r="G29" s="207">
        <f>E_65</f>
        <v>0</v>
      </c>
      <c r="H29" s="17"/>
      <c r="I29" s="96" t="s">
        <v>569</v>
      </c>
      <c r="J29" s="15"/>
      <c r="K29" s="29">
        <f>-G29</f>
        <v>0</v>
      </c>
    </row>
    <row r="30" spans="1:18" ht="13.5" thickBot="1">
      <c r="A30" s="269"/>
      <c r="B30" s="1" t="s">
        <v>658</v>
      </c>
      <c r="E30" s="29">
        <f>E_64</f>
        <v>0</v>
      </c>
      <c r="F30" s="27"/>
      <c r="G30" s="207"/>
      <c r="H30" s="17"/>
      <c r="I30" s="97" t="s">
        <v>511</v>
      </c>
      <c r="J30" s="15"/>
      <c r="K30" s="29">
        <f>E30</f>
        <v>0</v>
      </c>
    </row>
    <row r="31" spans="1:18" ht="13.5" thickBot="1">
      <c r="A31" s="269"/>
      <c r="B31" s="1" t="s">
        <v>659</v>
      </c>
      <c r="E31" s="92">
        <f>E_66</f>
        <v>0</v>
      </c>
      <c r="F31" s="27"/>
      <c r="G31" s="92"/>
      <c r="H31" s="17"/>
      <c r="I31" s="97" t="s">
        <v>571</v>
      </c>
      <c r="J31" s="15"/>
      <c r="K31" s="29">
        <f>E31</f>
        <v>0</v>
      </c>
    </row>
    <row r="32" spans="1:18">
      <c r="B32" t="s">
        <v>22</v>
      </c>
      <c r="E32" s="17"/>
      <c r="F32" s="27"/>
      <c r="G32" s="17"/>
      <c r="H32" s="17"/>
      <c r="I32" s="27"/>
      <c r="J32" s="15"/>
    </row>
    <row r="33" spans="3:12">
      <c r="C33" t="s">
        <v>211</v>
      </c>
      <c r="E33" s="17"/>
      <c r="F33" s="27"/>
      <c r="G33" s="21">
        <f>B_7</f>
        <v>0</v>
      </c>
      <c r="H33" s="17"/>
      <c r="I33" s="93" t="s">
        <v>212</v>
      </c>
      <c r="J33" s="15"/>
    </row>
    <row r="34" spans="3:12">
      <c r="C34" t="s">
        <v>213</v>
      </c>
      <c r="E34" s="17"/>
      <c r="F34" s="27"/>
      <c r="G34" s="21">
        <f>B_8</f>
        <v>0</v>
      </c>
      <c r="H34" s="17"/>
      <c r="I34" s="93" t="s">
        <v>214</v>
      </c>
      <c r="J34" s="15"/>
    </row>
    <row r="35" spans="3:12">
      <c r="D35" t="s">
        <v>660</v>
      </c>
      <c r="E35" s="21">
        <f>IF(A_19A&gt;0,A_19A,0)</f>
        <v>0</v>
      </c>
      <c r="F35" s="27"/>
      <c r="G35" s="21">
        <f>IF(A_19A&lt;0,-A_19A,0)</f>
        <v>0</v>
      </c>
      <c r="H35" s="17"/>
      <c r="I35" s="93" t="s">
        <v>473</v>
      </c>
      <c r="J35" s="15"/>
    </row>
    <row r="36" spans="3:12">
      <c r="C36" s="1" t="s">
        <v>219</v>
      </c>
      <c r="E36" s="17"/>
      <c r="F36" s="27"/>
      <c r="G36" s="21">
        <f>B_7A</f>
        <v>0</v>
      </c>
      <c r="H36" s="17"/>
      <c r="I36" s="93" t="s">
        <v>220</v>
      </c>
      <c r="J36" s="15"/>
    </row>
    <row r="37" spans="3:12">
      <c r="C37" s="1" t="s">
        <v>223</v>
      </c>
      <c r="E37" s="17"/>
      <c r="F37" s="27"/>
      <c r="G37" s="31">
        <f>B_9D</f>
        <v>0</v>
      </c>
      <c r="H37" s="17"/>
      <c r="I37" s="95" t="s">
        <v>506</v>
      </c>
      <c r="J37" s="15"/>
    </row>
    <row r="38" spans="3:12">
      <c r="C38" s="1" t="s">
        <v>225</v>
      </c>
      <c r="E38" s="17"/>
      <c r="F38" s="27"/>
      <c r="G38" s="31">
        <f>B_9B</f>
        <v>0</v>
      </c>
      <c r="H38" s="17"/>
      <c r="I38" s="95" t="s">
        <v>661</v>
      </c>
      <c r="J38" s="15"/>
    </row>
    <row r="39" spans="3:12">
      <c r="C39" s="1" t="s">
        <v>662</v>
      </c>
      <c r="E39" s="17"/>
      <c r="F39" s="27"/>
      <c r="G39" s="132">
        <f>E_15+E_14</f>
        <v>0</v>
      </c>
      <c r="H39" s="17"/>
      <c r="I39" s="95" t="s">
        <v>663</v>
      </c>
      <c r="J39" s="15"/>
    </row>
    <row r="40" spans="3:12">
      <c r="C40" s="1" t="s">
        <v>31</v>
      </c>
      <c r="E40" s="21">
        <f>I_2</f>
        <v>0</v>
      </c>
      <c r="F40" s="27"/>
      <c r="G40" s="17"/>
      <c r="H40" s="17"/>
      <c r="I40" s="95" t="s">
        <v>664</v>
      </c>
      <c r="J40" s="15"/>
    </row>
    <row r="41" spans="3:12">
      <c r="C41" s="1" t="s">
        <v>40</v>
      </c>
      <c r="E41" s="21">
        <f>I_5</f>
        <v>0</v>
      </c>
      <c r="F41" s="27"/>
      <c r="G41" s="17"/>
      <c r="H41" s="17"/>
      <c r="I41" s="95" t="s">
        <v>665</v>
      </c>
      <c r="J41" s="15"/>
    </row>
    <row r="42" spans="3:12">
      <c r="C42" t="s">
        <v>666</v>
      </c>
      <c r="E42" s="21">
        <f>IF(E_51&gt;0,E_51,0)</f>
        <v>0</v>
      </c>
      <c r="F42" s="27"/>
      <c r="G42" s="21">
        <f>IF(E_51&lt;0,-E_51,0)</f>
        <v>0</v>
      </c>
      <c r="H42" s="17"/>
      <c r="I42" s="95" t="s">
        <v>573</v>
      </c>
      <c r="J42" s="15"/>
    </row>
    <row r="43" spans="3:12">
      <c r="C43" t="s">
        <v>667</v>
      </c>
      <c r="E43" s="21">
        <f>E_52</f>
        <v>0</v>
      </c>
      <c r="F43" s="27"/>
      <c r="G43" s="17"/>
      <c r="H43" s="17"/>
      <c r="I43" s="95" t="s">
        <v>575</v>
      </c>
      <c r="J43" s="15"/>
    </row>
    <row r="44" spans="3:12">
      <c r="C44" s="1" t="s">
        <v>668</v>
      </c>
      <c r="E44" s="21">
        <f>IF(A_2&lt;0,-A_2,0)</f>
        <v>0</v>
      </c>
      <c r="F44" s="27"/>
      <c r="G44" s="21">
        <f>IF(A_2&gt;0,A_2,0)</f>
        <v>0</v>
      </c>
      <c r="H44" s="17"/>
      <c r="I44" s="95" t="s">
        <v>93</v>
      </c>
      <c r="J44" s="15"/>
    </row>
    <row r="45" spans="3:12" ht="13.5">
      <c r="C45" s="1" t="s">
        <v>669</v>
      </c>
      <c r="E45" s="21">
        <f>IF(((A_3B+A_3C)-(A_3D+A_3E))&gt;0,((A_3B+A_3C)-(A_3D+A_3E)),0)</f>
        <v>0</v>
      </c>
      <c r="F45" s="27"/>
      <c r="G45" s="21">
        <f>IF(((A_3B+A_3C)-(A_3D+A_3E))&lt;0,-((A_3B+A_3C)-(A_3D+A_3E)),0)</f>
        <v>0</v>
      </c>
      <c r="H45" s="17"/>
      <c r="I45" s="95" t="s">
        <v>670</v>
      </c>
      <c r="J45" s="15"/>
      <c r="L45" s="48"/>
    </row>
    <row r="46" spans="3:12">
      <c r="C46" t="s">
        <v>671</v>
      </c>
      <c r="E46" s="21">
        <f>IF(E_21&gt;0,E_21,0)</f>
        <v>0</v>
      </c>
      <c r="F46" s="27"/>
      <c r="G46" s="21">
        <f>IF(E_21&lt;0,-E_21,0)</f>
        <v>0</v>
      </c>
      <c r="H46" s="17"/>
      <c r="I46" s="95" t="s">
        <v>449</v>
      </c>
      <c r="J46" s="15"/>
    </row>
    <row r="47" spans="3:12">
      <c r="C47" t="s">
        <v>672</v>
      </c>
      <c r="E47" s="21">
        <f>IF(SUM(E35+E61+E89+E99+E123)=0,IF(A_19&gt;0,A_19,0),0)</f>
        <v>0</v>
      </c>
      <c r="F47" s="27"/>
      <c r="G47" s="21">
        <f>IF(SUM(G35+G61+G89+G99+G123)=0,IF(A_19&lt;0,-A_19,0),0)</f>
        <v>0</v>
      </c>
      <c r="H47" s="17"/>
      <c r="I47" s="95" t="s">
        <v>137</v>
      </c>
      <c r="J47" s="15"/>
      <c r="L47" s="159"/>
    </row>
    <row r="48" spans="3:12" hidden="1">
      <c r="C48" s="1" t="s">
        <v>673</v>
      </c>
      <c r="E48" s="31"/>
      <c r="F48" s="27"/>
      <c r="G48" s="31"/>
      <c r="H48" s="17"/>
      <c r="I48" s="95" t="s">
        <v>139</v>
      </c>
      <c r="J48" s="15"/>
    </row>
    <row r="49" spans="2:12">
      <c r="C49" s="1" t="s">
        <v>674</v>
      </c>
      <c r="E49" s="21">
        <f>IF(E_26&gt;0,E_26,0)</f>
        <v>0</v>
      </c>
      <c r="F49" s="27"/>
      <c r="G49" s="21">
        <f>IF(E_26&lt;0,-E_26,0)</f>
        <v>0</v>
      </c>
      <c r="H49" s="17"/>
      <c r="I49" s="95" t="s">
        <v>460</v>
      </c>
      <c r="J49" s="15"/>
      <c r="L49" s="159"/>
    </row>
    <row r="50" spans="2:12">
      <c r="C50" s="1" t="s">
        <v>675</v>
      </c>
      <c r="E50" s="21">
        <f>IF(E_27&gt;0,E_27,0)</f>
        <v>0</v>
      </c>
      <c r="F50" s="27"/>
      <c r="G50" s="21">
        <f>IF(E_27&lt;0,-E_27,0)</f>
        <v>0</v>
      </c>
      <c r="H50" s="17"/>
      <c r="I50" s="95" t="s">
        <v>466</v>
      </c>
      <c r="J50" s="15"/>
    </row>
    <row r="51" spans="2:12">
      <c r="C51" s="1" t="s">
        <v>676</v>
      </c>
      <c r="E51" s="31">
        <f>IF(A_20B&gt;0,A_20B,0)</f>
        <v>0</v>
      </c>
      <c r="F51" s="27"/>
      <c r="G51" s="31">
        <f>IF(A_20B&lt;0,-A_20B,0)</f>
        <v>0</v>
      </c>
      <c r="H51" s="17"/>
      <c r="I51" s="95" t="s">
        <v>504</v>
      </c>
      <c r="J51" s="15"/>
    </row>
    <row r="52" spans="2:12">
      <c r="C52" s="1" t="s">
        <v>677</v>
      </c>
      <c r="E52" s="31">
        <f>IF(A_12&gt;0,A_12,0)</f>
        <v>0</v>
      </c>
      <c r="F52" s="27"/>
      <c r="G52" s="31">
        <f>IF(A_12&lt;0,-A_12,0)</f>
        <v>0</v>
      </c>
      <c r="H52" s="17"/>
      <c r="I52" s="95" t="s">
        <v>135</v>
      </c>
      <c r="J52" s="15"/>
    </row>
    <row r="53" spans="2:12" hidden="1">
      <c r="C53" s="1" t="s">
        <v>678</v>
      </c>
      <c r="E53" s="21">
        <f>IF(L_4&gt;0,L_4,0)</f>
        <v>0</v>
      </c>
      <c r="F53" s="27"/>
      <c r="G53" s="21">
        <f>IF(L_4&lt;0,-L_4,0)</f>
        <v>0</v>
      </c>
      <c r="H53" s="17"/>
      <c r="I53" s="95" t="s">
        <v>679</v>
      </c>
      <c r="J53" s="15"/>
    </row>
    <row r="54" spans="2:12" ht="13.5" thickBot="1">
      <c r="C54" s="1" t="s">
        <v>126</v>
      </c>
      <c r="E54" s="98">
        <f>IF(A_7&gt;0,A_7,0)</f>
        <v>0</v>
      </c>
      <c r="F54" s="27"/>
      <c r="G54" s="98">
        <f>IF(A_7&lt;0,-A_7,0)</f>
        <v>0</v>
      </c>
      <c r="H54" s="17"/>
      <c r="I54" s="94" t="s">
        <v>127</v>
      </c>
      <c r="J54" s="15"/>
      <c r="K54" s="29">
        <f>SUM(E33:E54)-SUM(G33:G54)</f>
        <v>0</v>
      </c>
    </row>
    <row r="55" spans="2:12">
      <c r="B55" t="s">
        <v>680</v>
      </c>
      <c r="E55" s="17"/>
      <c r="F55" s="27"/>
      <c r="G55" s="17"/>
      <c r="H55" s="17"/>
      <c r="I55" s="27"/>
      <c r="J55" s="15"/>
      <c r="K55" s="17"/>
    </row>
    <row r="56" spans="2:12">
      <c r="C56" s="1" t="s">
        <v>207</v>
      </c>
      <c r="E56" s="17"/>
      <c r="F56" s="27"/>
      <c r="G56" s="21">
        <f>B_7B</f>
        <v>0</v>
      </c>
      <c r="H56" s="17"/>
      <c r="I56" s="93" t="s">
        <v>208</v>
      </c>
      <c r="J56" s="15"/>
      <c r="K56" s="17"/>
    </row>
    <row r="57" spans="2:12">
      <c r="C57" s="1" t="s">
        <v>681</v>
      </c>
      <c r="E57" s="21">
        <f>I_1</f>
        <v>0</v>
      </c>
      <c r="F57" s="27"/>
      <c r="G57" s="17"/>
      <c r="H57" s="17"/>
      <c r="I57" s="93" t="s">
        <v>682</v>
      </c>
      <c r="J57" s="15"/>
      <c r="K57" s="17"/>
    </row>
    <row r="58" spans="2:12">
      <c r="C58" s="1" t="s">
        <v>683</v>
      </c>
      <c r="E58" s="21">
        <f>I_4</f>
        <v>0</v>
      </c>
      <c r="F58" s="27"/>
      <c r="G58" s="17"/>
      <c r="H58" s="17"/>
      <c r="I58" s="93" t="s">
        <v>684</v>
      </c>
      <c r="J58" s="15"/>
      <c r="K58" s="17"/>
    </row>
    <row r="59" spans="2:12">
      <c r="C59" t="s">
        <v>685</v>
      </c>
      <c r="E59" s="17"/>
      <c r="F59" s="27"/>
      <c r="G59" s="21">
        <f>E_63</f>
        <v>0</v>
      </c>
      <c r="H59" s="17"/>
      <c r="I59" s="93" t="s">
        <v>579</v>
      </c>
      <c r="J59" s="15"/>
      <c r="K59" s="17"/>
    </row>
    <row r="60" spans="2:12">
      <c r="C60" t="s">
        <v>686</v>
      </c>
      <c r="E60" s="17"/>
      <c r="F60" s="27"/>
      <c r="G60" s="21">
        <f>E_72</f>
        <v>0</v>
      </c>
      <c r="H60" s="17"/>
      <c r="I60" s="93" t="s">
        <v>585</v>
      </c>
      <c r="J60" s="15"/>
      <c r="K60" s="17"/>
    </row>
    <row r="61" spans="2:12">
      <c r="C61" s="1" t="s">
        <v>672</v>
      </c>
      <c r="E61" s="21">
        <f>IF(A_19C&gt;0,A_19C,0)</f>
        <v>0</v>
      </c>
      <c r="F61" s="27"/>
      <c r="G61" s="21">
        <f>IF(A_19C&lt;0,-A_19C,0)</f>
        <v>0</v>
      </c>
      <c r="H61" s="17"/>
      <c r="I61" s="95" t="s">
        <v>475</v>
      </c>
      <c r="J61" s="15"/>
      <c r="K61" s="17"/>
    </row>
    <row r="62" spans="2:12">
      <c r="C62" s="1" t="s">
        <v>687</v>
      </c>
      <c r="E62" s="21">
        <f>IF(A_8&gt;0,A_8,0)</f>
        <v>0</v>
      </c>
      <c r="F62" s="27"/>
      <c r="G62" s="31">
        <f>IF(A_8&lt;0,-A_8,0)</f>
        <v>0</v>
      </c>
      <c r="H62" s="17"/>
      <c r="I62" s="93" t="s">
        <v>123</v>
      </c>
      <c r="J62" s="15"/>
      <c r="K62" s="17"/>
    </row>
    <row r="63" spans="2:12" ht="13.5">
      <c r="C63" s="1" t="s">
        <v>688</v>
      </c>
      <c r="E63" s="31">
        <f>IF(A_20A&gt;0,A_20A,0)</f>
        <v>0</v>
      </c>
      <c r="F63" s="27"/>
      <c r="G63" s="31">
        <f>IF(A_20&lt;0,-A_20,0)</f>
        <v>0</v>
      </c>
      <c r="H63" s="17"/>
      <c r="I63" s="95" t="s">
        <v>502</v>
      </c>
      <c r="J63" s="15"/>
      <c r="K63" s="17" t="s">
        <v>20</v>
      </c>
      <c r="L63" s="48"/>
    </row>
    <row r="64" spans="2:12" ht="13.5" customHeight="1">
      <c r="C64" s="1" t="s">
        <v>392</v>
      </c>
      <c r="D64" s="159"/>
      <c r="E64" s="223">
        <f>IF(D_9&gt;0,D_9,0)</f>
        <v>0</v>
      </c>
      <c r="F64" s="177"/>
      <c r="G64" s="223">
        <f>IF(D_9&lt;0,-D_9,0)</f>
        <v>0</v>
      </c>
      <c r="H64" s="178"/>
      <c r="I64" s="180" t="s">
        <v>393</v>
      </c>
      <c r="J64" s="15"/>
      <c r="K64" s="17"/>
      <c r="L64" s="48"/>
    </row>
    <row r="65" spans="2:11" ht="13.5" thickBot="1">
      <c r="C65" s="1" t="s">
        <v>689</v>
      </c>
      <c r="E65" s="29">
        <f>IF(D_5&gt;0,D_5,0)</f>
        <v>0</v>
      </c>
      <c r="F65" s="27"/>
      <c r="G65" s="29">
        <f>IF(D_5&lt;0,-D_5,0)</f>
        <v>0</v>
      </c>
      <c r="H65" s="17"/>
      <c r="I65" s="94" t="s">
        <v>397</v>
      </c>
      <c r="J65" s="15"/>
      <c r="K65" s="29">
        <f>SUM(E56:E65)-SUM(G56:G65)</f>
        <v>0</v>
      </c>
    </row>
    <row r="66" spans="2:11">
      <c r="B66" t="s">
        <v>690</v>
      </c>
      <c r="E66" s="17"/>
      <c r="F66" s="27"/>
      <c r="G66" s="17"/>
      <c r="H66" s="17"/>
      <c r="I66" s="27"/>
      <c r="J66" s="15"/>
    </row>
    <row r="67" spans="2:11">
      <c r="C67" s="1" t="s">
        <v>691</v>
      </c>
      <c r="E67" s="21">
        <f>IF(B_13&lt;0,-B_13,0)</f>
        <v>0</v>
      </c>
      <c r="F67" s="27"/>
      <c r="G67" s="21">
        <f>IF(B_13&gt;0,B_13,0)</f>
        <v>0</v>
      </c>
      <c r="H67" s="17"/>
      <c r="I67" s="93" t="s">
        <v>216</v>
      </c>
      <c r="J67" s="15"/>
      <c r="K67" s="17"/>
    </row>
    <row r="68" spans="2:11">
      <c r="C68" s="1" t="s">
        <v>692</v>
      </c>
      <c r="E68" s="21">
        <f>IF(E_69&lt;0,-E_69,0)</f>
        <v>0</v>
      </c>
      <c r="F68" s="27"/>
      <c r="G68" s="21">
        <f>IF(E_69&gt;0,E_69,0)</f>
        <v>0</v>
      </c>
      <c r="H68" s="17"/>
      <c r="I68" s="93" t="s">
        <v>422</v>
      </c>
      <c r="J68" s="15"/>
      <c r="K68" s="17"/>
    </row>
    <row r="69" spans="2:11">
      <c r="C69" s="1" t="s">
        <v>693</v>
      </c>
      <c r="E69" s="21">
        <f>IF(E_23&gt;0,E_23,0)</f>
        <v>0</v>
      </c>
      <c r="F69" s="27"/>
      <c r="G69" s="21">
        <f>IF(E_23&lt;0,-E_23,0)</f>
        <v>0</v>
      </c>
      <c r="H69" s="17"/>
      <c r="I69" s="93" t="s">
        <v>451</v>
      </c>
      <c r="J69" s="15"/>
      <c r="K69" s="17"/>
    </row>
    <row r="70" spans="2:11">
      <c r="C70" t="s">
        <v>217</v>
      </c>
      <c r="E70" s="31">
        <f>IF(E_85&lt;0,E_85,0)</f>
        <v>0</v>
      </c>
      <c r="F70" s="27"/>
      <c r="G70" s="31">
        <f>IF(E_85&gt;0,E_85,0)</f>
        <v>0</v>
      </c>
      <c r="H70" s="17"/>
      <c r="I70" s="95" t="s">
        <v>609</v>
      </c>
      <c r="J70" s="15"/>
      <c r="K70" s="17"/>
    </row>
    <row r="71" spans="2:11">
      <c r="C71" t="s">
        <v>209</v>
      </c>
      <c r="E71" s="31">
        <f>IF(B_12&lt;0,-B_12,0)</f>
        <v>0</v>
      </c>
      <c r="F71" s="27"/>
      <c r="G71" s="31">
        <f>IF(B_12&gt;0,B_12,0)</f>
        <v>0</v>
      </c>
      <c r="H71" s="17"/>
      <c r="I71" s="95" t="s">
        <v>210</v>
      </c>
      <c r="J71" s="15"/>
      <c r="K71" s="17"/>
    </row>
    <row r="72" spans="2:11">
      <c r="C72" s="1" t="s">
        <v>694</v>
      </c>
      <c r="E72" s="21">
        <f>IF(E_29&gt;0,E_29,0)</f>
        <v>0</v>
      </c>
      <c r="F72" s="27"/>
      <c r="G72" s="21">
        <f>IF(E_29&lt;0,-E_29,0)</f>
        <v>0</v>
      </c>
      <c r="H72" s="17"/>
      <c r="I72" s="95" t="s">
        <v>470</v>
      </c>
      <c r="J72" s="15"/>
      <c r="K72" s="17"/>
    </row>
    <row r="73" spans="2:11">
      <c r="C73" t="s">
        <v>695</v>
      </c>
      <c r="E73" s="21">
        <f>IF(E_70&gt;0,E_70,0)</f>
        <v>0</v>
      </c>
      <c r="F73" s="27"/>
      <c r="G73" s="21">
        <f>IF(E_70&lt;0,-E_70,0)</f>
        <v>0</v>
      </c>
      <c r="H73" s="17"/>
      <c r="I73" s="95" t="s">
        <v>464</v>
      </c>
      <c r="J73" s="15"/>
      <c r="K73" s="17"/>
    </row>
    <row r="74" spans="2:11">
      <c r="C74" s="1" t="s">
        <v>696</v>
      </c>
      <c r="E74" s="21">
        <f>IF(A_9&gt;0,A_9,0)</f>
        <v>0</v>
      </c>
      <c r="F74" s="27"/>
      <c r="G74" s="31">
        <f>IF(A_9&lt;0,-A_9,0)</f>
        <v>0</v>
      </c>
      <c r="H74" s="17"/>
      <c r="I74" s="95" t="s">
        <v>129</v>
      </c>
      <c r="J74" s="15"/>
      <c r="K74" s="17"/>
    </row>
    <row r="75" spans="2:11">
      <c r="C75" s="1" t="s">
        <v>697</v>
      </c>
      <c r="E75" s="21">
        <f>IF(A_10&gt;0,A_10,0)</f>
        <v>0</v>
      </c>
      <c r="F75" s="27"/>
      <c r="G75" s="31">
        <f>IF(A_10&lt;0,-A_10,0)</f>
        <v>0</v>
      </c>
      <c r="H75" s="17"/>
      <c r="I75" s="95" t="s">
        <v>131</v>
      </c>
      <c r="J75" s="15"/>
      <c r="K75" s="17"/>
    </row>
    <row r="76" spans="2:11">
      <c r="C76" s="1" t="s">
        <v>698</v>
      </c>
      <c r="E76" s="21">
        <f>IF(A_11&gt;0,A_11,0)</f>
        <v>0</v>
      </c>
      <c r="F76" s="27"/>
      <c r="G76" s="31">
        <f>IF(A_11&lt;0,-A_11,0)</f>
        <v>0</v>
      </c>
      <c r="H76" s="17"/>
      <c r="I76" s="95" t="s">
        <v>133</v>
      </c>
      <c r="J76" s="15"/>
      <c r="K76" s="17"/>
    </row>
    <row r="77" spans="2:11" ht="13.5" thickBot="1">
      <c r="C77" s="1" t="s">
        <v>699</v>
      </c>
      <c r="E77" s="29">
        <f>IF(E_2&lt;0,-E_2,0)</f>
        <v>0</v>
      </c>
      <c r="F77" s="27"/>
      <c r="G77" s="29">
        <f>IF(E_2&gt;0,E_2,0)</f>
        <v>0</v>
      </c>
      <c r="H77" s="17"/>
      <c r="I77" s="94" t="s">
        <v>434</v>
      </c>
      <c r="J77" s="15"/>
      <c r="K77" s="29">
        <f>SUM(E67:E77)-SUM(G67:G77)</f>
        <v>0</v>
      </c>
    </row>
    <row r="78" spans="2:11">
      <c r="B78" t="s">
        <v>700</v>
      </c>
      <c r="E78" s="17"/>
      <c r="F78" s="27"/>
      <c r="G78" s="17"/>
      <c r="H78" s="17"/>
      <c r="I78" s="27"/>
      <c r="J78" s="15"/>
    </row>
    <row r="79" spans="2:11">
      <c r="C79" t="s">
        <v>701</v>
      </c>
      <c r="E79" s="21">
        <f>E_12</f>
        <v>0</v>
      </c>
      <c r="F79" s="27"/>
      <c r="G79" s="17"/>
      <c r="H79" s="17"/>
      <c r="I79" s="93" t="s">
        <v>604</v>
      </c>
      <c r="J79" s="15"/>
    </row>
    <row r="80" spans="2:11">
      <c r="C80" s="1" t="s">
        <v>702</v>
      </c>
      <c r="E80" s="17"/>
      <c r="F80" s="27"/>
      <c r="G80" s="21">
        <f>I_3</f>
        <v>0</v>
      </c>
      <c r="H80" s="17"/>
      <c r="I80" s="95" t="s">
        <v>703</v>
      </c>
      <c r="J80" s="15"/>
    </row>
    <row r="81" spans="1:11">
      <c r="C81" s="1" t="s">
        <v>704</v>
      </c>
      <c r="E81" s="17"/>
      <c r="F81" s="27"/>
      <c r="G81" s="21">
        <f>I_6</f>
        <v>0</v>
      </c>
      <c r="H81" s="17"/>
      <c r="I81" s="95" t="s">
        <v>705</v>
      </c>
      <c r="J81" s="15"/>
    </row>
    <row r="82" spans="1:11">
      <c r="C82" s="1" t="s">
        <v>706</v>
      </c>
      <c r="E82" s="17"/>
      <c r="F82" s="27"/>
      <c r="G82" s="31">
        <f>-E_87</f>
        <v>0</v>
      </c>
      <c r="H82" s="17"/>
      <c r="I82" s="93" t="s">
        <v>598</v>
      </c>
      <c r="J82" s="15"/>
    </row>
    <row r="83" spans="1:11">
      <c r="C83" s="1" t="s">
        <v>707</v>
      </c>
      <c r="E83" s="17">
        <f>-E_86</f>
        <v>0</v>
      </c>
      <c r="F83" s="27"/>
      <c r="G83" s="17"/>
      <c r="H83" s="17"/>
      <c r="I83" s="93" t="s">
        <v>612</v>
      </c>
      <c r="J83" s="15"/>
    </row>
    <row r="84" spans="1:11">
      <c r="C84" s="1" t="s">
        <v>708</v>
      </c>
      <c r="E84" s="17">
        <f>E_5</f>
        <v>0</v>
      </c>
      <c r="F84" s="27"/>
      <c r="G84" s="17"/>
      <c r="H84" s="17"/>
      <c r="I84" s="93" t="s">
        <v>617</v>
      </c>
      <c r="J84" s="15"/>
      <c r="K84" s="17"/>
    </row>
    <row r="85" spans="1:11">
      <c r="C85" s="1" t="s">
        <v>652</v>
      </c>
      <c r="E85" s="17">
        <f>IF(A_17D&lt;0,-A_17D,0)</f>
        <v>0</v>
      </c>
      <c r="F85" s="27"/>
      <c r="G85" s="17">
        <f>IF(A_17D&gt;0,A_17D,0)</f>
        <v>0</v>
      </c>
      <c r="H85" s="17"/>
      <c r="I85" s="130" t="s">
        <v>443</v>
      </c>
      <c r="J85" s="15"/>
      <c r="K85" s="17"/>
    </row>
    <row r="86" spans="1:11" ht="13.5" thickBot="1">
      <c r="C86" s="1" t="s">
        <v>709</v>
      </c>
      <c r="E86" s="29">
        <f>IF(E_4&lt;0,-E_4,0)</f>
        <v>0</v>
      </c>
      <c r="F86" s="27"/>
      <c r="G86" s="29">
        <f>IF(E_4&gt;0,E_4,0)</f>
        <v>0</v>
      </c>
      <c r="H86" s="17"/>
      <c r="I86" s="96" t="s">
        <v>420</v>
      </c>
      <c r="J86" s="15"/>
      <c r="K86" s="29">
        <f>SUM(E79:E86)-SUM(G79:G86)</f>
        <v>0</v>
      </c>
    </row>
    <row r="87" spans="1:11">
      <c r="B87" t="s">
        <v>710</v>
      </c>
      <c r="C87" s="1"/>
      <c r="E87" s="17"/>
      <c r="F87" s="27"/>
      <c r="G87" s="17"/>
      <c r="H87" s="17"/>
      <c r="I87" s="27"/>
      <c r="J87" s="15"/>
      <c r="K87" s="17"/>
    </row>
    <row r="88" spans="1:11">
      <c r="C88" s="1" t="s">
        <v>711</v>
      </c>
      <c r="E88" s="17"/>
      <c r="F88" s="27"/>
      <c r="G88" s="17">
        <f>E_16</f>
        <v>0</v>
      </c>
      <c r="H88" s="17"/>
      <c r="I88" s="27" t="s">
        <v>634</v>
      </c>
      <c r="J88" s="15"/>
      <c r="K88" s="17"/>
    </row>
    <row r="89" spans="1:11">
      <c r="C89" s="1" t="s">
        <v>672</v>
      </c>
      <c r="E89" s="17">
        <f>IF(A_19E&gt;0,A_19E,0)</f>
        <v>0</v>
      </c>
      <c r="F89" s="17"/>
      <c r="G89" s="17">
        <f>IF(A_19E&lt;0,-A_19E,0)</f>
        <v>0</v>
      </c>
      <c r="H89" s="17"/>
      <c r="I89" s="95" t="s">
        <v>477</v>
      </c>
      <c r="J89" s="15"/>
      <c r="K89" s="17"/>
    </row>
    <row r="90" spans="1:11" ht="13.5" thickBot="1">
      <c r="C90" s="1" t="s">
        <v>712</v>
      </c>
      <c r="E90" s="17"/>
      <c r="F90" s="27"/>
      <c r="G90" s="29">
        <f>E_77</f>
        <v>0</v>
      </c>
      <c r="H90" s="17"/>
      <c r="I90" s="96" t="s">
        <v>622</v>
      </c>
      <c r="J90" s="15"/>
      <c r="K90" s="29">
        <f>SUM(E88:E90)-SUM(G88:G90)</f>
        <v>0</v>
      </c>
    </row>
    <row r="91" spans="1:11">
      <c r="C91" s="1"/>
      <c r="E91" s="17"/>
      <c r="F91" s="27"/>
      <c r="G91" s="17"/>
      <c r="H91" s="17"/>
      <c r="I91" s="27"/>
      <c r="J91" s="15"/>
      <c r="K91" s="17"/>
    </row>
    <row r="92" spans="1:11">
      <c r="A92" s="12" t="s">
        <v>713</v>
      </c>
      <c r="E92" s="17"/>
      <c r="F92" s="27"/>
      <c r="G92" s="17"/>
      <c r="H92" s="17"/>
      <c r="I92" s="27"/>
      <c r="J92" s="15"/>
    </row>
    <row r="93" spans="1:11">
      <c r="A93" s="12"/>
      <c r="B93" t="s">
        <v>714</v>
      </c>
      <c r="E93" s="17"/>
      <c r="F93" s="27"/>
      <c r="G93" s="17"/>
      <c r="H93" s="17"/>
      <c r="I93" s="27"/>
      <c r="J93" s="15"/>
    </row>
    <row r="94" spans="1:11">
      <c r="A94" s="12"/>
      <c r="C94" s="1" t="s">
        <v>232</v>
      </c>
      <c r="E94" s="21">
        <f>B_14</f>
        <v>0</v>
      </c>
      <c r="F94" s="27"/>
      <c r="G94" s="17"/>
      <c r="H94" s="17"/>
      <c r="I94" s="93" t="s">
        <v>233</v>
      </c>
      <c r="J94" s="15"/>
      <c r="K94" s="17"/>
    </row>
    <row r="95" spans="1:11">
      <c r="A95" s="12"/>
      <c r="C95" s="1" t="s">
        <v>715</v>
      </c>
      <c r="E95" s="21">
        <f>IF(E_7&lt;0,-E_7,0)</f>
        <v>0</v>
      </c>
      <c r="F95" s="27"/>
      <c r="G95" s="21">
        <f>IF(E_7&gt;0,E_7,0)</f>
        <v>0</v>
      </c>
      <c r="H95" s="17"/>
      <c r="I95" s="95" t="s">
        <v>428</v>
      </c>
      <c r="J95" s="15"/>
      <c r="K95" s="17"/>
    </row>
    <row r="96" spans="1:11" ht="13.5" thickBot="1">
      <c r="A96" s="12"/>
      <c r="C96" s="1" t="s">
        <v>716</v>
      </c>
      <c r="E96" s="98">
        <f>IF(E_31&gt;0,E_31,0)</f>
        <v>0</v>
      </c>
      <c r="F96" s="27"/>
      <c r="G96" s="98">
        <f>IF(E_31&lt;0,-E_31,0)</f>
        <v>0</v>
      </c>
      <c r="H96" s="17"/>
      <c r="I96" s="94" t="s">
        <v>486</v>
      </c>
      <c r="J96" s="15"/>
      <c r="K96" s="29">
        <f>SUM(E94:E96)-SUM(G94:G96)</f>
        <v>0</v>
      </c>
    </row>
    <row r="97" spans="1:19">
      <c r="A97" s="12"/>
      <c r="B97" t="s">
        <v>717</v>
      </c>
      <c r="C97" s="1"/>
      <c r="E97" s="17"/>
      <c r="F97" s="27"/>
      <c r="G97" s="17"/>
      <c r="H97" s="17"/>
      <c r="I97" s="27"/>
      <c r="J97" s="15"/>
      <c r="K97" s="17"/>
    </row>
    <row r="98" spans="1:19">
      <c r="A98" s="12"/>
      <c r="C98" s="1" t="s">
        <v>248</v>
      </c>
      <c r="E98" s="17"/>
      <c r="F98" s="27"/>
      <c r="G98" s="17">
        <f>-B_21</f>
        <v>0</v>
      </c>
      <c r="H98" s="17"/>
      <c r="I98" s="93" t="s">
        <v>249</v>
      </c>
      <c r="J98" s="15"/>
      <c r="K98" s="17"/>
    </row>
    <row r="99" spans="1:19">
      <c r="A99" s="12"/>
      <c r="C99" s="1" t="s">
        <v>718</v>
      </c>
      <c r="E99" s="17">
        <f>IF(A_19G&gt;0,A_19G,0)</f>
        <v>0</v>
      </c>
      <c r="F99" s="27"/>
      <c r="G99" s="17">
        <f>IF(A_19G&lt;0,-A_19G,0)</f>
        <v>0</v>
      </c>
      <c r="H99" s="17"/>
      <c r="I99" s="27" t="s">
        <v>479</v>
      </c>
      <c r="J99" s="15"/>
      <c r="K99" s="17"/>
    </row>
    <row r="100" spans="1:19">
      <c r="A100" s="12"/>
      <c r="C100" s="1" t="s">
        <v>719</v>
      </c>
      <c r="E100" s="17">
        <f>IF(E_28&gt;0,E_28,0)</f>
        <v>0</v>
      </c>
      <c r="F100" s="27"/>
      <c r="G100" s="17">
        <f>IF(E_28&lt;0,-E_28,0)</f>
        <v>0</v>
      </c>
      <c r="H100" s="17"/>
      <c r="I100" s="27" t="s">
        <v>468</v>
      </c>
      <c r="J100" s="15"/>
      <c r="K100" s="17"/>
    </row>
    <row r="101" spans="1:19" ht="13.5" thickBot="1">
      <c r="A101" s="12"/>
      <c r="C101" s="1" t="s">
        <v>720</v>
      </c>
      <c r="E101" s="29">
        <f>IF(E_25&gt;0,E_25,0)</f>
        <v>0</v>
      </c>
      <c r="F101" s="27"/>
      <c r="G101" s="29">
        <f>IF(E_25&lt;0,-E_25,0)</f>
        <v>0</v>
      </c>
      <c r="H101" s="17"/>
      <c r="I101" s="94" t="s">
        <v>462</v>
      </c>
      <c r="J101" s="15"/>
      <c r="K101" s="29">
        <f>SUM(E98:E101)-SUM(G98:G101)</f>
        <v>0</v>
      </c>
    </row>
    <row r="102" spans="1:19" ht="13.5" thickBot="1">
      <c r="A102" s="12"/>
      <c r="B102" s="1" t="s">
        <v>721</v>
      </c>
      <c r="C102" s="1"/>
      <c r="E102" s="29">
        <f>B_27</f>
        <v>0</v>
      </c>
      <c r="F102" s="27"/>
      <c r="G102" s="17"/>
      <c r="H102" s="17"/>
      <c r="I102" s="96" t="s">
        <v>237</v>
      </c>
      <c r="J102" s="15"/>
      <c r="K102" s="29">
        <f>E102</f>
        <v>0</v>
      </c>
    </row>
    <row r="103" spans="1:19">
      <c r="B103" t="s">
        <v>238</v>
      </c>
      <c r="C103" s="1"/>
      <c r="E103" s="167">
        <f>B_26</f>
        <v>0</v>
      </c>
      <c r="F103" s="27"/>
      <c r="G103" s="17"/>
      <c r="H103" s="17"/>
      <c r="I103" s="93" t="s">
        <v>239</v>
      </c>
      <c r="J103" s="15"/>
      <c r="K103" s="17"/>
      <c r="L103" s="159"/>
      <c r="M103" s="159"/>
      <c r="N103" s="159"/>
      <c r="O103" s="159"/>
      <c r="P103" s="159"/>
      <c r="Q103" s="159"/>
    </row>
    <row r="104" spans="1:19" ht="13.5" thickBot="1">
      <c r="C104" s="1" t="s">
        <v>44</v>
      </c>
      <c r="E104" s="29"/>
      <c r="F104" s="27"/>
      <c r="G104" s="29">
        <f>I_7</f>
        <v>0</v>
      </c>
      <c r="H104" s="17"/>
      <c r="I104" s="93" t="s">
        <v>722</v>
      </c>
      <c r="J104" s="15"/>
      <c r="K104" s="29">
        <f>E103-G104</f>
        <v>0</v>
      </c>
      <c r="L104" s="159"/>
      <c r="M104" s="159"/>
      <c r="N104" s="159"/>
      <c r="O104" s="159"/>
      <c r="P104" s="159"/>
      <c r="Q104" s="159"/>
    </row>
    <row r="105" spans="1:19" ht="13.5" thickBot="1">
      <c r="A105" s="12"/>
      <c r="B105" t="s">
        <v>157</v>
      </c>
      <c r="C105" s="1"/>
      <c r="E105" s="29">
        <f>IF(A_13&gt;0,A_13,0)</f>
        <v>0</v>
      </c>
      <c r="F105" s="27"/>
      <c r="G105" s="17"/>
      <c r="H105" s="17"/>
      <c r="I105" s="96" t="s">
        <v>158</v>
      </c>
      <c r="J105" s="15"/>
      <c r="K105" s="29">
        <f>E105</f>
        <v>0</v>
      </c>
    </row>
    <row r="106" spans="1:19" ht="13.5" thickBot="1">
      <c r="A106" s="12"/>
      <c r="B106" t="s">
        <v>723</v>
      </c>
      <c r="C106" s="1"/>
      <c r="E106" s="17"/>
      <c r="F106" s="27"/>
      <c r="G106" s="29">
        <f>IF(A_13&lt;0,-A_13,0)</f>
        <v>0</v>
      </c>
      <c r="H106" s="17"/>
      <c r="I106" s="96" t="s">
        <v>158</v>
      </c>
      <c r="J106" s="15"/>
      <c r="K106" s="29">
        <f>-G106</f>
        <v>0</v>
      </c>
    </row>
    <row r="107" spans="1:19">
      <c r="A107" s="12"/>
      <c r="B107" s="1" t="s">
        <v>724</v>
      </c>
      <c r="C107" s="1"/>
      <c r="E107" s="17">
        <f>IF(A_17G&lt;0,-A_17G,0)</f>
        <v>0</v>
      </c>
      <c r="F107" s="27"/>
      <c r="G107" s="17">
        <f>IF(A_17G&gt;0,A_17G,0)</f>
        <v>0</v>
      </c>
      <c r="H107" s="17"/>
      <c r="I107" s="248" t="s">
        <v>445</v>
      </c>
      <c r="J107" s="15"/>
      <c r="K107" s="167"/>
    </row>
    <row r="108" spans="1:19" ht="13.5" thickBot="1">
      <c r="A108" s="12"/>
      <c r="B108" t="s">
        <v>725</v>
      </c>
      <c r="C108" s="1"/>
      <c r="E108" s="29">
        <f>E_53</f>
        <v>0</v>
      </c>
      <c r="F108" s="27"/>
      <c r="G108" s="17"/>
      <c r="H108" s="17"/>
      <c r="I108" s="96" t="s">
        <v>549</v>
      </c>
      <c r="J108" s="15"/>
      <c r="K108" s="29">
        <f>SUM(E107:E108)-G107</f>
        <v>0</v>
      </c>
    </row>
    <row r="109" spans="1:19" ht="13.5" thickBot="1">
      <c r="A109" s="12"/>
      <c r="B109" t="s">
        <v>726</v>
      </c>
      <c r="C109" s="1"/>
      <c r="E109" s="17"/>
      <c r="F109" s="27"/>
      <c r="G109" s="29">
        <f>E_81</f>
        <v>0</v>
      </c>
      <c r="H109" s="17"/>
      <c r="I109" s="96" t="s">
        <v>554</v>
      </c>
      <c r="J109" s="15"/>
      <c r="K109" s="29">
        <f>-G109</f>
        <v>0</v>
      </c>
      <c r="L109" s="159"/>
      <c r="M109" s="159" t="s">
        <v>20</v>
      </c>
      <c r="N109" s="159"/>
      <c r="O109" s="159"/>
      <c r="P109" s="159"/>
      <c r="Q109" s="159"/>
      <c r="R109" s="159"/>
      <c r="S109" s="159"/>
    </row>
    <row r="110" spans="1:19">
      <c r="A110" s="12"/>
      <c r="B110" t="s">
        <v>727</v>
      </c>
      <c r="C110" s="1"/>
      <c r="E110" s="17"/>
      <c r="F110" s="27"/>
      <c r="G110" s="17"/>
      <c r="H110" s="17"/>
      <c r="I110" s="27"/>
      <c r="J110" s="15"/>
    </row>
    <row r="111" spans="1:19">
      <c r="A111" s="12"/>
      <c r="C111" s="1" t="s">
        <v>234</v>
      </c>
      <c r="E111" s="21">
        <f>B_15</f>
        <v>0</v>
      </c>
      <c r="F111" s="27"/>
      <c r="G111" s="17"/>
      <c r="H111" s="17"/>
      <c r="I111" s="93" t="s">
        <v>235</v>
      </c>
      <c r="J111" s="15"/>
    </row>
    <row r="112" spans="1:19">
      <c r="A112" s="12"/>
      <c r="C112" s="1" t="s">
        <v>728</v>
      </c>
      <c r="E112" s="31">
        <f>IF(E_10&lt;0,-E_10,0)</f>
        <v>0</v>
      </c>
      <c r="F112" s="27"/>
      <c r="G112" s="21">
        <f>IF(E_10&gt;0,E_10,0)</f>
        <v>0</v>
      </c>
      <c r="H112" s="17"/>
      <c r="I112" s="95" t="s">
        <v>436</v>
      </c>
      <c r="J112" s="15"/>
    </row>
    <row r="113" spans="1:11" ht="13.5" thickBot="1">
      <c r="A113" s="12"/>
      <c r="C113" s="1" t="s">
        <v>729</v>
      </c>
      <c r="E113" s="29">
        <f>IF(E_33&gt;0,E_33,0)</f>
        <v>0</v>
      </c>
      <c r="F113" s="27"/>
      <c r="G113" s="29">
        <f>IF(E_33&lt;0,-E_33,0)</f>
        <v>0</v>
      </c>
      <c r="H113" s="17"/>
      <c r="I113" s="96" t="s">
        <v>490</v>
      </c>
      <c r="J113" s="15"/>
      <c r="K113" s="29">
        <f>SUM(E111:E113)-SUM(G111:G113)</f>
        <v>0</v>
      </c>
    </row>
    <row r="114" spans="1:11" ht="13.5" thickBot="1">
      <c r="A114" s="12"/>
      <c r="B114" s="1" t="s">
        <v>730</v>
      </c>
      <c r="C114" s="1"/>
      <c r="E114" s="92">
        <f>E_44</f>
        <v>0</v>
      </c>
      <c r="F114" s="27"/>
      <c r="G114" s="17"/>
      <c r="H114" s="17"/>
      <c r="I114" s="96" t="s">
        <v>545</v>
      </c>
      <c r="J114" s="15"/>
      <c r="K114" s="92">
        <f>E114</f>
        <v>0</v>
      </c>
    </row>
    <row r="115" spans="1:11" ht="11.1" customHeight="1">
      <c r="A115" s="12"/>
      <c r="C115" s="1"/>
      <c r="E115" s="17"/>
      <c r="F115" s="27"/>
      <c r="G115" s="17"/>
      <c r="H115" s="17"/>
      <c r="I115" s="27"/>
      <c r="J115" s="15"/>
      <c r="K115" s="17"/>
    </row>
    <row r="116" spans="1:11">
      <c r="A116" s="12" t="s">
        <v>731</v>
      </c>
      <c r="E116" s="17"/>
      <c r="F116" s="27"/>
      <c r="G116" s="17"/>
      <c r="H116" s="17"/>
      <c r="I116" s="27"/>
      <c r="J116" s="15"/>
    </row>
    <row r="117" spans="1:11">
      <c r="A117" s="12" t="s">
        <v>732</v>
      </c>
      <c r="E117" s="17"/>
      <c r="F117" s="27"/>
      <c r="G117" s="17"/>
      <c r="H117" s="17"/>
      <c r="I117" s="27"/>
      <c r="J117" s="15"/>
    </row>
    <row r="118" spans="1:11">
      <c r="B118" t="s">
        <v>733</v>
      </c>
      <c r="C118" s="1"/>
      <c r="E118" s="17"/>
      <c r="F118" s="27"/>
      <c r="I118" s="27"/>
      <c r="J118" s="15"/>
    </row>
    <row r="119" spans="1:11">
      <c r="C119" s="1" t="s">
        <v>734</v>
      </c>
      <c r="F119" s="27"/>
      <c r="G119" s="17">
        <f>C_1</f>
        <v>0</v>
      </c>
      <c r="H119" s="17"/>
      <c r="I119" s="93" t="s">
        <v>321</v>
      </c>
      <c r="J119" s="15"/>
    </row>
    <row r="120" spans="1:11">
      <c r="C120" s="1" t="s">
        <v>735</v>
      </c>
      <c r="E120" s="17"/>
      <c r="F120" s="27"/>
      <c r="G120" s="17">
        <f>C_12</f>
        <v>0</v>
      </c>
      <c r="H120" s="17"/>
      <c r="I120" s="93" t="s">
        <v>326</v>
      </c>
      <c r="J120" s="15"/>
    </row>
    <row r="121" spans="1:11">
      <c r="C121" s="1" t="s">
        <v>736</v>
      </c>
      <c r="E121" s="17"/>
      <c r="F121" s="27"/>
      <c r="G121" s="17">
        <f>C_14</f>
        <v>0</v>
      </c>
      <c r="H121" s="17"/>
      <c r="I121" s="93" t="s">
        <v>332</v>
      </c>
      <c r="J121" s="15"/>
    </row>
    <row r="122" spans="1:11">
      <c r="C122" s="1" t="s">
        <v>652</v>
      </c>
      <c r="E122" s="17">
        <f>IF(A_17F&lt;0,-A_17F,0)</f>
        <v>0</v>
      </c>
      <c r="F122" s="27"/>
      <c r="G122" s="17">
        <f>IF(A_17F&gt;0,A_17F,0)</f>
        <v>0</v>
      </c>
      <c r="H122" s="17"/>
      <c r="I122" s="130" t="s">
        <v>447</v>
      </c>
      <c r="J122" s="15"/>
    </row>
    <row r="123" spans="1:11">
      <c r="C123" s="1" t="s">
        <v>672</v>
      </c>
      <c r="E123" s="17">
        <f>IF(A_19F&gt;0,A_19F,0)</f>
        <v>0</v>
      </c>
      <c r="F123" s="17"/>
      <c r="G123" s="17">
        <f>IF(A_19F&lt;0,-A_19F,0)</f>
        <v>0</v>
      </c>
      <c r="H123" s="17"/>
      <c r="I123" s="130" t="s">
        <v>482</v>
      </c>
      <c r="J123" s="15"/>
    </row>
    <row r="124" spans="1:11" ht="13.5" thickBot="1">
      <c r="C124" t="s">
        <v>737</v>
      </c>
      <c r="E124" s="29">
        <f>IF(E_22&gt;0,E_22,0)</f>
        <v>0</v>
      </c>
      <c r="F124" s="27"/>
      <c r="G124" s="29">
        <f>IF(E_22&lt;0,-E_22,0)</f>
        <v>0</v>
      </c>
      <c r="H124" s="17"/>
      <c r="I124" s="94" t="s">
        <v>454</v>
      </c>
      <c r="J124" s="15"/>
      <c r="K124" s="29">
        <f>SUM(E119:E124)-SUM(G119:G124)</f>
        <v>0</v>
      </c>
    </row>
    <row r="125" spans="1:11">
      <c r="B125" t="s">
        <v>365</v>
      </c>
      <c r="F125" s="26"/>
      <c r="G125" s="17"/>
      <c r="H125" s="17"/>
      <c r="I125" s="27"/>
      <c r="J125" s="15"/>
      <c r="K125" s="17"/>
    </row>
    <row r="126" spans="1:11" ht="13.5" thickBot="1">
      <c r="C126" t="s">
        <v>365</v>
      </c>
      <c r="E126" s="29">
        <f>C_7</f>
        <v>0</v>
      </c>
      <c r="F126" s="27"/>
      <c r="G126" s="17"/>
      <c r="H126" s="17"/>
      <c r="I126" s="96" t="s">
        <v>356</v>
      </c>
      <c r="J126" s="15"/>
      <c r="K126" s="29">
        <f>E126</f>
        <v>0</v>
      </c>
    </row>
    <row r="127" spans="1:11" ht="13.5" thickBot="1">
      <c r="B127" t="s">
        <v>725</v>
      </c>
      <c r="E127" s="29">
        <f>E_54</f>
        <v>0</v>
      </c>
      <c r="F127" s="27"/>
      <c r="G127" s="17"/>
      <c r="H127" s="17"/>
      <c r="I127" s="96" t="s">
        <v>551</v>
      </c>
      <c r="J127" s="15"/>
      <c r="K127" s="29">
        <f>E127</f>
        <v>0</v>
      </c>
    </row>
    <row r="128" spans="1:11" ht="13.5" thickBot="1">
      <c r="B128" s="1" t="s">
        <v>726</v>
      </c>
      <c r="E128" s="17"/>
      <c r="F128" s="27"/>
      <c r="G128" s="29">
        <f>E_82</f>
        <v>0</v>
      </c>
      <c r="H128" s="17"/>
      <c r="I128" s="97" t="s">
        <v>556</v>
      </c>
      <c r="J128" s="15"/>
      <c r="K128" s="92">
        <f>-G128</f>
        <v>0</v>
      </c>
    </row>
    <row r="129" spans="1:12" ht="12.6" customHeight="1">
      <c r="A129" s="12"/>
      <c r="B129" s="1" t="s">
        <v>738</v>
      </c>
      <c r="E129" s="17"/>
      <c r="F129" s="27"/>
      <c r="G129" s="17"/>
      <c r="H129" s="17"/>
      <c r="I129" s="27"/>
      <c r="J129" s="15"/>
      <c r="K129" s="17"/>
    </row>
    <row r="130" spans="1:12" ht="12.6" customHeight="1">
      <c r="A130" s="12"/>
      <c r="C130" t="s">
        <v>258</v>
      </c>
      <c r="E130" s="21">
        <f>B_19</f>
        <v>0</v>
      </c>
      <c r="F130" s="27"/>
      <c r="G130" s="17"/>
      <c r="H130" s="17"/>
      <c r="I130" s="93" t="s">
        <v>259</v>
      </c>
      <c r="J130" s="15"/>
      <c r="K130" s="17"/>
    </row>
    <row r="131" spans="1:12" ht="12.6" customHeight="1">
      <c r="A131" s="12"/>
      <c r="C131" t="s">
        <v>739</v>
      </c>
      <c r="E131" s="21">
        <f>IF(E_32&gt;0,E_32,0)</f>
        <v>0</v>
      </c>
      <c r="F131" s="27"/>
      <c r="G131" s="21">
        <f>IF(E_32&lt;0,-E_32,0)</f>
        <v>0</v>
      </c>
      <c r="H131" s="17"/>
      <c r="I131" s="93" t="s">
        <v>488</v>
      </c>
      <c r="J131" s="15"/>
      <c r="K131" s="17"/>
    </row>
    <row r="132" spans="1:12" ht="12.6" customHeight="1" thickBot="1">
      <c r="A132" s="12"/>
      <c r="C132" s="1" t="s">
        <v>740</v>
      </c>
      <c r="E132" s="98">
        <f>IF(E_8&lt;0,-E_8,0)</f>
        <v>0</v>
      </c>
      <c r="F132" s="27"/>
      <c r="G132" s="98">
        <f>IF(E_8&gt;0,E_8,0)</f>
        <v>0</v>
      </c>
      <c r="H132" s="17"/>
      <c r="I132" s="94" t="s">
        <v>430</v>
      </c>
      <c r="J132" s="15"/>
      <c r="K132" s="29">
        <f>SUM(E130:E132)-SUM(G130:G132)</f>
        <v>0</v>
      </c>
    </row>
    <row r="133" spans="1:12" ht="12.6" customHeight="1">
      <c r="A133" s="12"/>
      <c r="B133" t="s">
        <v>741</v>
      </c>
      <c r="E133" s="17"/>
      <c r="F133" s="27"/>
      <c r="G133" s="17"/>
      <c r="H133" s="17"/>
      <c r="I133" s="27"/>
      <c r="J133" s="15"/>
    </row>
    <row r="134" spans="1:12" ht="12.6" customHeight="1">
      <c r="A134" s="12"/>
      <c r="C134" t="s">
        <v>260</v>
      </c>
      <c r="E134" s="21">
        <f>B_20</f>
        <v>0</v>
      </c>
      <c r="F134" s="27"/>
      <c r="G134" s="17"/>
      <c r="H134" s="17"/>
      <c r="I134" s="93" t="s">
        <v>261</v>
      </c>
      <c r="J134" s="15"/>
    </row>
    <row r="135" spans="1:12" ht="12.6" customHeight="1">
      <c r="A135" s="12"/>
      <c r="C135" t="s">
        <v>742</v>
      </c>
      <c r="E135" s="21">
        <f>IF(E_11&lt;0,-E_11,0)</f>
        <v>0</v>
      </c>
      <c r="F135" s="27"/>
      <c r="G135" s="21">
        <f>IF(E_11&gt;0,E_11,0)</f>
        <v>0</v>
      </c>
      <c r="H135" s="17"/>
      <c r="I135" s="93" t="s">
        <v>438</v>
      </c>
      <c r="J135" s="15"/>
    </row>
    <row r="136" spans="1:12" ht="12.6" customHeight="1">
      <c r="A136" s="12"/>
      <c r="C136" t="s">
        <v>743</v>
      </c>
      <c r="E136" s="31">
        <f>IF(E_34&gt;0,E_34,0)</f>
        <v>0</v>
      </c>
      <c r="F136" s="27"/>
      <c r="G136" s="21">
        <f>IF(E_34&lt;0,-E_34,0)</f>
        <v>0</v>
      </c>
      <c r="H136" s="17"/>
      <c r="I136" s="93" t="s">
        <v>492</v>
      </c>
      <c r="J136" s="15"/>
    </row>
    <row r="137" spans="1:12" ht="12.6" customHeight="1" thickBot="1">
      <c r="A137" s="12"/>
      <c r="C137" t="s">
        <v>744</v>
      </c>
      <c r="E137" s="17"/>
      <c r="F137" s="27"/>
      <c r="G137" s="98">
        <f>C_3-C_10</f>
        <v>0</v>
      </c>
      <c r="H137" s="17"/>
      <c r="I137" s="94" t="s">
        <v>335</v>
      </c>
      <c r="J137" s="15"/>
      <c r="K137" s="29">
        <f>SUM(E134:E137)-SUM(G134:G137)</f>
        <v>0</v>
      </c>
    </row>
    <row r="138" spans="1:12" ht="12.6" customHeight="1">
      <c r="B138" t="s">
        <v>745</v>
      </c>
      <c r="E138" s="17"/>
      <c r="F138" s="27"/>
      <c r="G138" s="17"/>
      <c r="H138" s="17"/>
      <c r="I138" s="27"/>
      <c r="J138" s="15"/>
      <c r="K138" s="17"/>
    </row>
    <row r="139" spans="1:12" s="201" customFormat="1" ht="12.6" hidden="1" customHeight="1">
      <c r="C139" s="201" t="s">
        <v>746</v>
      </c>
      <c r="E139" s="202"/>
      <c r="F139" s="203"/>
      <c r="G139" s="202">
        <f>D_2</f>
        <v>0</v>
      </c>
      <c r="H139" s="202"/>
      <c r="I139" s="203" t="s">
        <v>377</v>
      </c>
      <c r="J139" s="204"/>
      <c r="K139" s="202"/>
      <c r="L139" s="201" t="s">
        <v>379</v>
      </c>
    </row>
    <row r="140" spans="1:12" ht="12.6" customHeight="1">
      <c r="C140" t="s">
        <v>747</v>
      </c>
      <c r="E140" s="17"/>
      <c r="F140" s="27"/>
      <c r="G140" s="17">
        <f>D_2A</f>
        <v>0</v>
      </c>
      <c r="H140" s="17"/>
      <c r="I140" s="27" t="s">
        <v>380</v>
      </c>
      <c r="J140" s="15"/>
      <c r="K140" s="17"/>
    </row>
    <row r="141" spans="1:12" s="201" customFormat="1" ht="12.6" hidden="1" customHeight="1">
      <c r="C141" s="201" t="s">
        <v>748</v>
      </c>
      <c r="E141" s="202"/>
      <c r="F141" s="203"/>
      <c r="G141" s="202">
        <f>D_2B</f>
        <v>0</v>
      </c>
      <c r="H141" s="202"/>
      <c r="I141" s="203" t="s">
        <v>382</v>
      </c>
      <c r="J141" s="204"/>
      <c r="K141" s="202"/>
      <c r="L141" s="201" t="s">
        <v>379</v>
      </c>
    </row>
    <row r="142" spans="1:12" ht="12.6" customHeight="1">
      <c r="C142" s="1" t="s">
        <v>749</v>
      </c>
      <c r="E142" s="17"/>
      <c r="F142" s="27"/>
      <c r="G142" s="17">
        <f>D_4</f>
        <v>0</v>
      </c>
      <c r="H142" s="17"/>
      <c r="I142" s="27" t="s">
        <v>385</v>
      </c>
      <c r="J142" s="15"/>
      <c r="K142" s="17"/>
    </row>
    <row r="143" spans="1:12" ht="12.6" customHeight="1" thickBot="1">
      <c r="C143" s="1" t="s">
        <v>750</v>
      </c>
      <c r="E143" s="17"/>
      <c r="F143" s="27"/>
      <c r="G143" s="29">
        <f>D_11</f>
        <v>0</v>
      </c>
      <c r="H143" s="17"/>
      <c r="I143" s="96" t="s">
        <v>388</v>
      </c>
      <c r="J143" s="15"/>
      <c r="K143" s="29">
        <f>SUM(E140:E143)-SUM(G140:G143)</f>
        <v>0</v>
      </c>
    </row>
    <row r="144" spans="1:12" ht="12.6" customHeight="1">
      <c r="B144" t="s">
        <v>751</v>
      </c>
      <c r="E144" s="17"/>
      <c r="F144" s="27"/>
      <c r="G144" s="17"/>
      <c r="H144" s="17"/>
      <c r="I144" s="27"/>
      <c r="J144" s="15"/>
      <c r="K144" s="17"/>
    </row>
    <row r="145" spans="1:17" ht="12.6" customHeight="1">
      <c r="C145" t="s">
        <v>752</v>
      </c>
      <c r="E145" s="17"/>
      <c r="F145" s="27"/>
      <c r="G145" s="21">
        <f>-B_16</f>
        <v>0</v>
      </c>
      <c r="H145" s="17"/>
      <c r="I145" s="93" t="s">
        <v>243</v>
      </c>
      <c r="J145" s="15"/>
      <c r="K145" s="17"/>
    </row>
    <row r="146" spans="1:17" ht="12.6" customHeight="1">
      <c r="C146" s="1" t="s">
        <v>753</v>
      </c>
      <c r="E146" s="17"/>
      <c r="F146" s="27"/>
      <c r="G146" s="31">
        <f>C_4</f>
        <v>0</v>
      </c>
      <c r="H146" s="17"/>
      <c r="I146" s="95" t="s">
        <v>337</v>
      </c>
      <c r="J146" s="15"/>
      <c r="K146" s="17"/>
    </row>
    <row r="147" spans="1:17" ht="12.6" customHeight="1" thickBot="1">
      <c r="C147" s="1" t="s">
        <v>754</v>
      </c>
      <c r="E147" s="29">
        <f>IF(A_15&gt;0,A_15,0)</f>
        <v>0</v>
      </c>
      <c r="F147" s="27"/>
      <c r="G147" s="98">
        <f>IF(A_15&lt;0,-A_15,0)</f>
        <v>0</v>
      </c>
      <c r="H147" s="17"/>
      <c r="I147" s="94" t="s">
        <v>146</v>
      </c>
      <c r="J147" s="15"/>
      <c r="K147" s="29">
        <f>SUM(E145:E147)-SUM(G145:G147)</f>
        <v>0</v>
      </c>
    </row>
    <row r="148" spans="1:17" ht="12" customHeight="1" thickBot="1">
      <c r="B148" t="s">
        <v>755</v>
      </c>
      <c r="C148" s="1"/>
      <c r="E148" s="92">
        <f>B_22</f>
        <v>0</v>
      </c>
      <c r="F148" s="27"/>
      <c r="G148" s="17"/>
      <c r="H148" s="17"/>
      <c r="I148" s="97" t="s">
        <v>251</v>
      </c>
      <c r="J148" s="15"/>
      <c r="K148" s="92">
        <f>E148</f>
        <v>0</v>
      </c>
    </row>
    <row r="149" spans="1:17" ht="12.6" customHeight="1" thickBot="1">
      <c r="B149" s="1" t="s">
        <v>756</v>
      </c>
      <c r="C149" s="1"/>
      <c r="E149" s="29">
        <f>E_45</f>
        <v>0</v>
      </c>
      <c r="F149" s="27"/>
      <c r="G149" s="17"/>
      <c r="H149" s="17"/>
      <c r="I149" s="96" t="s">
        <v>547</v>
      </c>
      <c r="J149" s="15"/>
      <c r="K149" s="29">
        <f>E149</f>
        <v>0</v>
      </c>
      <c r="L149" s="48"/>
    </row>
    <row r="150" spans="1:17" ht="12.6" hidden="1" customHeight="1">
      <c r="A150" s="226"/>
      <c r="B150" s="201" t="s">
        <v>757</v>
      </c>
      <c r="C150" s="201"/>
      <c r="D150" s="201"/>
      <c r="E150" s="202"/>
      <c r="F150" s="203"/>
      <c r="G150" s="202"/>
      <c r="H150" s="202"/>
      <c r="I150" s="203"/>
      <c r="J150" s="204"/>
      <c r="K150" s="202"/>
    </row>
    <row r="151" spans="1:17" ht="12.6" hidden="1" customHeight="1" thickBot="1">
      <c r="A151" s="226"/>
      <c r="B151" s="201"/>
      <c r="C151" s="227" t="s">
        <v>757</v>
      </c>
      <c r="D151" s="201"/>
      <c r="E151" s="228">
        <f>D_1</f>
        <v>0</v>
      </c>
      <c r="F151" s="203"/>
      <c r="G151" s="202"/>
      <c r="H151" s="202"/>
      <c r="I151" s="229" t="s">
        <v>403</v>
      </c>
      <c r="J151" s="204"/>
      <c r="K151" s="228">
        <f>E151</f>
        <v>0</v>
      </c>
      <c r="L151" t="s">
        <v>758</v>
      </c>
    </row>
    <row r="152" spans="1:17" ht="12.6" customHeight="1">
      <c r="A152" s="12"/>
      <c r="B152" s="1" t="s">
        <v>759</v>
      </c>
      <c r="C152" s="137"/>
      <c r="E152" s="17"/>
      <c r="F152" s="27"/>
      <c r="G152" s="17"/>
      <c r="H152" s="17"/>
      <c r="I152" s="27"/>
      <c r="J152" s="15"/>
      <c r="K152" s="17"/>
    </row>
    <row r="153" spans="1:17" ht="12.6" customHeight="1">
      <c r="A153" s="12"/>
      <c r="C153" s="100" t="s">
        <v>760</v>
      </c>
      <c r="E153" s="17">
        <f>B_28</f>
        <v>0</v>
      </c>
      <c r="F153" s="27"/>
      <c r="G153" s="17"/>
      <c r="H153" s="17"/>
      <c r="I153" s="27" t="s">
        <v>241</v>
      </c>
      <c r="J153" s="15"/>
      <c r="K153" s="17"/>
    </row>
    <row r="154" spans="1:17" ht="12.6" customHeight="1">
      <c r="A154" s="12"/>
      <c r="C154" s="100" t="s">
        <v>761</v>
      </c>
      <c r="E154" s="17">
        <f>E_83</f>
        <v>0</v>
      </c>
      <c r="F154" s="27"/>
      <c r="G154" s="17"/>
      <c r="H154" s="17"/>
      <c r="I154" s="27" t="s">
        <v>592</v>
      </c>
      <c r="J154" s="15"/>
      <c r="K154" s="17"/>
    </row>
    <row r="155" spans="1:17" ht="12.6" customHeight="1" thickBot="1">
      <c r="A155" s="12"/>
      <c r="C155" s="100" t="s">
        <v>762</v>
      </c>
      <c r="E155" s="29">
        <f>-E_79</f>
        <v>0</v>
      </c>
      <c r="F155" s="27"/>
      <c r="G155" s="17"/>
      <c r="H155" s="17"/>
      <c r="I155" s="96" t="s">
        <v>564</v>
      </c>
      <c r="J155" s="15"/>
      <c r="K155" s="29">
        <f>SUM(E153:E155)</f>
        <v>0</v>
      </c>
      <c r="L155" s="159"/>
      <c r="M155" s="159"/>
      <c r="N155" s="159"/>
      <c r="O155" s="159"/>
      <c r="P155" s="159"/>
      <c r="Q155" s="159"/>
    </row>
    <row r="156" spans="1:17" ht="12.6" customHeight="1">
      <c r="A156" s="12"/>
      <c r="B156" s="1" t="s">
        <v>763</v>
      </c>
      <c r="C156" s="100"/>
      <c r="E156" s="17"/>
      <c r="F156" s="27"/>
      <c r="G156" s="17"/>
      <c r="H156" s="17"/>
      <c r="I156" s="27"/>
      <c r="J156" s="15"/>
      <c r="K156" s="17"/>
      <c r="L156" s="159"/>
      <c r="M156" s="159"/>
      <c r="N156" s="159"/>
      <c r="O156" s="159"/>
      <c r="P156" s="159"/>
      <c r="Q156" s="159"/>
    </row>
    <row r="157" spans="1:17" ht="13.5" thickBot="1">
      <c r="C157" s="100" t="s">
        <v>764</v>
      </c>
      <c r="E157" s="29">
        <f>E_88</f>
        <v>0</v>
      </c>
      <c r="I157" s="96" t="s">
        <v>600</v>
      </c>
      <c r="K157" s="29">
        <f>E157</f>
        <v>0</v>
      </c>
    </row>
    <row r="158" spans="1:17" ht="11.1" customHeight="1">
      <c r="A158" s="12"/>
      <c r="C158" s="1" t="s">
        <v>20</v>
      </c>
    </row>
    <row r="159" spans="1:17">
      <c r="A159" s="12" t="s">
        <v>765</v>
      </c>
      <c r="E159" s="17"/>
      <c r="F159" s="27"/>
      <c r="G159" s="17"/>
      <c r="H159" s="17"/>
      <c r="I159" s="27"/>
      <c r="J159" s="15"/>
    </row>
    <row r="160" spans="1:17">
      <c r="A160" s="269"/>
      <c r="B160" t="s">
        <v>766</v>
      </c>
      <c r="E160" s="17"/>
      <c r="F160" s="27"/>
      <c r="G160" s="17"/>
      <c r="H160" s="17"/>
      <c r="I160" s="27"/>
      <c r="J160" s="15"/>
    </row>
    <row r="161" spans="1:12">
      <c r="A161" s="269"/>
      <c r="C161" t="s">
        <v>767</v>
      </c>
      <c r="E161" s="21">
        <f>E_39</f>
        <v>0</v>
      </c>
      <c r="F161" s="27"/>
      <c r="G161" s="17"/>
      <c r="H161" s="17"/>
      <c r="I161" s="93" t="s">
        <v>518</v>
      </c>
      <c r="J161" s="15"/>
    </row>
    <row r="162" spans="1:12" ht="13.5" thickBot="1">
      <c r="A162" s="269"/>
      <c r="C162" t="s">
        <v>768</v>
      </c>
      <c r="E162" s="98">
        <f>IF(E_41&gt;0,E_41,0)</f>
        <v>0</v>
      </c>
      <c r="F162" s="27"/>
      <c r="G162" s="29">
        <f>IF(E_41&lt;0,-E_41,0)</f>
        <v>0</v>
      </c>
      <c r="H162" s="17"/>
      <c r="I162" s="94" t="s">
        <v>531</v>
      </c>
      <c r="J162" s="15"/>
      <c r="K162" s="29">
        <f>SUM(E161:E162)-SUM(G161:G162)</f>
        <v>0</v>
      </c>
    </row>
    <row r="163" spans="1:12">
      <c r="A163" s="269"/>
      <c r="B163" t="s">
        <v>769</v>
      </c>
      <c r="E163" s="17"/>
      <c r="F163" s="27"/>
      <c r="G163" s="17"/>
      <c r="H163" s="17"/>
      <c r="I163" s="27"/>
      <c r="J163" s="15"/>
    </row>
    <row r="164" spans="1:12" ht="15.75" thickBot="1">
      <c r="A164" s="269"/>
      <c r="C164" t="s">
        <v>770</v>
      </c>
      <c r="E164" s="133"/>
      <c r="F164" s="27"/>
      <c r="G164" s="29">
        <f>E_37</f>
        <v>0</v>
      </c>
      <c r="H164" s="17"/>
      <c r="I164" s="96" t="s">
        <v>516</v>
      </c>
      <c r="J164" s="15"/>
      <c r="K164" s="29">
        <f>SUM(E164:E165)-SUM(G164:G165)</f>
        <v>0</v>
      </c>
    </row>
    <row r="165" spans="1:12" ht="13.5" hidden="1" thickBot="1">
      <c r="A165" s="269"/>
      <c r="C165" t="s">
        <v>771</v>
      </c>
      <c r="E165" s="17"/>
      <c r="F165" s="27"/>
      <c r="G165" s="29"/>
      <c r="H165" s="17"/>
      <c r="I165" s="96" t="s">
        <v>540</v>
      </c>
      <c r="J165" s="15"/>
      <c r="L165" t="s">
        <v>772</v>
      </c>
    </row>
    <row r="166" spans="1:12">
      <c r="A166" s="269"/>
      <c r="B166" t="s">
        <v>773</v>
      </c>
      <c r="E166" s="17"/>
      <c r="F166" s="27"/>
      <c r="G166" s="167"/>
      <c r="H166" s="17"/>
      <c r="I166" s="27"/>
      <c r="J166" s="15"/>
      <c r="K166" s="17"/>
    </row>
    <row r="167" spans="1:12" ht="13.5" thickBot="1">
      <c r="A167" s="269"/>
      <c r="B167" s="166" t="s">
        <v>773</v>
      </c>
      <c r="E167" s="17"/>
      <c r="F167" s="27"/>
      <c r="G167" s="29">
        <f>E_38</f>
        <v>0</v>
      </c>
      <c r="H167" s="17"/>
      <c r="I167" s="96" t="s">
        <v>524</v>
      </c>
      <c r="J167" s="15"/>
      <c r="K167" s="29">
        <f>SUM(E167:E168)-SUM(G167:G168)</f>
        <v>0</v>
      </c>
    </row>
    <row r="168" spans="1:12" ht="13.5" hidden="1" thickBot="1">
      <c r="A168" s="269"/>
      <c r="B168" s="99" t="s">
        <v>774</v>
      </c>
      <c r="E168" s="17"/>
      <c r="F168" s="27"/>
      <c r="G168" s="29"/>
      <c r="H168" s="17"/>
      <c r="I168" s="96" t="s">
        <v>541</v>
      </c>
      <c r="J168" s="15"/>
      <c r="L168" t="s">
        <v>772</v>
      </c>
    </row>
    <row r="169" spans="1:12">
      <c r="A169" s="269"/>
      <c r="B169" s="100" t="s">
        <v>775</v>
      </c>
      <c r="E169" s="17"/>
      <c r="F169" s="27"/>
      <c r="G169" s="17"/>
      <c r="H169" s="17"/>
      <c r="I169" s="27"/>
      <c r="J169" s="15"/>
      <c r="K169" s="17"/>
    </row>
    <row r="170" spans="1:12">
      <c r="A170" s="269"/>
      <c r="B170" s="99" t="s">
        <v>775</v>
      </c>
      <c r="E170" s="17">
        <f>E_42</f>
        <v>0</v>
      </c>
      <c r="F170" s="27"/>
      <c r="G170" s="17"/>
      <c r="H170" s="17"/>
      <c r="I170" s="93" t="s">
        <v>528</v>
      </c>
      <c r="J170" s="15"/>
      <c r="K170" s="17"/>
    </row>
    <row r="171" spans="1:12" ht="13.5" thickBot="1">
      <c r="A171" s="269"/>
      <c r="B171" s="99" t="s">
        <v>768</v>
      </c>
      <c r="E171" s="98">
        <f>IF(E_74&gt;0,E_74,0)</f>
        <v>0</v>
      </c>
      <c r="F171" s="27"/>
      <c r="G171" s="29">
        <f>IF(E_74&lt;0,-E_74,0)</f>
        <v>0</v>
      </c>
      <c r="H171" s="17"/>
      <c r="I171" s="96" t="s">
        <v>535</v>
      </c>
      <c r="J171" s="15"/>
      <c r="K171" s="29">
        <f>SUM(E170:E171)-SUM(G170:G171)</f>
        <v>0</v>
      </c>
    </row>
    <row r="172" spans="1:12" s="88" customFormat="1" hidden="1"/>
    <row r="173" spans="1:12" s="88" customFormat="1" hidden="1"/>
    <row r="174" spans="1:12" s="88" customFormat="1" hidden="1"/>
    <row r="175" spans="1:12">
      <c r="A175" s="269"/>
      <c r="B175" s="1" t="s">
        <v>776</v>
      </c>
      <c r="E175" s="17"/>
      <c r="F175" s="27"/>
      <c r="G175" s="17"/>
      <c r="H175" s="17"/>
      <c r="I175" s="27"/>
      <c r="J175" s="15"/>
      <c r="K175" s="17"/>
    </row>
    <row r="176" spans="1:12">
      <c r="A176" s="269"/>
      <c r="B176" s="1"/>
      <c r="C176" t="s">
        <v>193</v>
      </c>
      <c r="E176" s="21">
        <f>B_10-E_64</f>
        <v>0</v>
      </c>
      <c r="F176" s="27"/>
      <c r="G176" s="17"/>
      <c r="H176" s="17"/>
      <c r="I176" s="93" t="s">
        <v>777</v>
      </c>
      <c r="J176" s="15"/>
      <c r="K176" s="17"/>
    </row>
    <row r="177" spans="1:11">
      <c r="A177" s="269"/>
      <c r="C177" s="1" t="s">
        <v>778</v>
      </c>
      <c r="E177" s="31">
        <f>L_7+E_75</f>
        <v>0</v>
      </c>
      <c r="F177" s="27"/>
      <c r="G177" s="17"/>
      <c r="H177" s="17"/>
      <c r="I177" s="95" t="s">
        <v>779</v>
      </c>
      <c r="J177" s="15"/>
      <c r="K177" s="17"/>
    </row>
    <row r="178" spans="1:11">
      <c r="A178" s="269"/>
      <c r="C178" s="1" t="s">
        <v>771</v>
      </c>
      <c r="E178" s="31"/>
      <c r="F178" s="27"/>
      <c r="G178" s="21">
        <f>E_43</f>
        <v>0</v>
      </c>
      <c r="H178" s="17"/>
      <c r="I178" s="95" t="s">
        <v>540</v>
      </c>
      <c r="J178" s="15"/>
      <c r="K178" s="17"/>
    </row>
    <row r="179" spans="1:11">
      <c r="A179" s="269"/>
      <c r="C179" s="1" t="s">
        <v>780</v>
      </c>
      <c r="E179" s="31">
        <f>C_5</f>
        <v>0</v>
      </c>
      <c r="F179" s="27"/>
      <c r="G179" s="17"/>
      <c r="H179" s="17"/>
      <c r="I179" s="95" t="s">
        <v>339</v>
      </c>
      <c r="J179" s="15"/>
      <c r="K179" s="17"/>
    </row>
    <row r="180" spans="1:11" ht="13.5" thickBot="1">
      <c r="A180" s="269"/>
      <c r="C180" s="1" t="s">
        <v>781</v>
      </c>
      <c r="E180" s="29">
        <f>IF(A_6&lt;0,-A_6,0)</f>
        <v>0</v>
      </c>
      <c r="F180" s="27"/>
      <c r="G180" s="29">
        <f>IF(A_6&gt;0,A_6,0)</f>
        <v>0</v>
      </c>
      <c r="H180" s="17"/>
      <c r="I180" s="96" t="s">
        <v>77</v>
      </c>
      <c r="J180" s="15"/>
      <c r="K180" s="29">
        <f>SUM(E176:E180)-SUM(G176:G180)</f>
        <v>0</v>
      </c>
    </row>
    <row r="181" spans="1:11">
      <c r="E181" s="17"/>
      <c r="F181" s="27"/>
      <c r="G181" s="17"/>
      <c r="H181" s="17"/>
      <c r="I181" s="27"/>
      <c r="J181" s="15"/>
    </row>
    <row r="182" spans="1:11" ht="13.5" thickBot="1">
      <c r="D182" t="s">
        <v>341</v>
      </c>
      <c r="E182" s="134">
        <f>SUM(E9:E180)</f>
        <v>0</v>
      </c>
      <c r="F182" s="135"/>
      <c r="G182" s="134">
        <f>SUM(G9:G180)</f>
        <v>0</v>
      </c>
      <c r="H182" s="17"/>
      <c r="I182" s="27"/>
      <c r="J182" s="15"/>
      <c r="K182" s="134">
        <f>ROUND(E182-G182,2)</f>
        <v>0</v>
      </c>
    </row>
    <row r="183" spans="1:11" ht="13.5" thickTop="1">
      <c r="E183" s="17"/>
      <c r="F183" s="135"/>
      <c r="G183" s="17"/>
      <c r="H183" s="17"/>
      <c r="I183" s="27"/>
      <c r="J183" s="15"/>
    </row>
    <row r="184" spans="1:11">
      <c r="A184" s="25" t="s">
        <v>178</v>
      </c>
      <c r="E184" s="17"/>
      <c r="F184" s="135"/>
      <c r="G184" s="17"/>
      <c r="H184" s="17"/>
      <c r="I184" s="27"/>
      <c r="J184" s="15"/>
    </row>
    <row r="185" spans="1:11">
      <c r="B185" s="137" t="s">
        <v>782</v>
      </c>
      <c r="E185" s="24"/>
      <c r="F185" s="15"/>
      <c r="G185" s="17"/>
      <c r="H185" s="17"/>
      <c r="I185" s="15"/>
      <c r="J185" s="15"/>
    </row>
    <row r="186" spans="1:11">
      <c r="C186" t="s">
        <v>783</v>
      </c>
      <c r="E186" s="24" t="str">
        <f>IF(K182=ROUND(SUM('Exh A'!M11:M13)+SUM('Exh A'!M34:M34),2),"OK","ERROR")</f>
        <v>OK</v>
      </c>
      <c r="F186" s="15"/>
      <c r="G186" s="24" t="str">
        <f>IF(E186="OK","—","OFF BY")</f>
        <v>—</v>
      </c>
      <c r="H186" s="17"/>
      <c r="J186" s="15"/>
      <c r="K186" s="32" t="str">
        <f>IF(E186="OK","—",ROUND('Exh A'!M11+'Exh A'!M12+'Exh A'!M13+'Exh A'!M34-K182,2))</f>
        <v>—</v>
      </c>
    </row>
    <row r="187" spans="1:11">
      <c r="E187" s="24"/>
      <c r="F187" s="15"/>
      <c r="G187" s="24"/>
      <c r="H187" s="17"/>
      <c r="J187" s="15"/>
      <c r="K187" s="32"/>
    </row>
    <row r="188" spans="1:11">
      <c r="A188" s="101" t="s">
        <v>784</v>
      </c>
      <c r="E188" s="24"/>
      <c r="F188" s="15"/>
      <c r="G188" s="24"/>
      <c r="H188" s="17"/>
      <c r="J188" s="15"/>
      <c r="K188" s="32"/>
    </row>
    <row r="189" spans="1:11">
      <c r="B189" t="s">
        <v>785</v>
      </c>
      <c r="E189" s="17">
        <f>ROUND(((K25+G23-E23)*Info!$D$20)-G23+E23,2)</f>
        <v>0</v>
      </c>
      <c r="F189" s="15"/>
      <c r="G189" s="24"/>
      <c r="H189" s="17"/>
      <c r="J189" s="15"/>
      <c r="K189" s="32"/>
    </row>
    <row r="190" spans="1:11">
      <c r="B190" t="s">
        <v>786</v>
      </c>
      <c r="E190" s="17">
        <f>ROUND(((K54+G47-E47)*Info!$D$23)-G47+E47,2)</f>
        <v>0</v>
      </c>
      <c r="F190" s="15"/>
      <c r="G190" s="24"/>
      <c r="H190" s="17"/>
      <c r="J190" s="15"/>
      <c r="K190" s="32"/>
    </row>
    <row r="191" spans="1:11">
      <c r="B191" t="s">
        <v>787</v>
      </c>
      <c r="E191" s="17">
        <f>ROUND(K77*Info!$D$24,2)</f>
        <v>0</v>
      </c>
      <c r="F191" s="15"/>
      <c r="G191" s="24"/>
      <c r="H191" s="17"/>
      <c r="J191" s="15"/>
      <c r="K191" s="32"/>
    </row>
    <row r="192" spans="1:11">
      <c r="E192" s="136"/>
      <c r="F192" s="15"/>
      <c r="H192" s="17"/>
      <c r="I192" s="15"/>
      <c r="J192" s="15"/>
    </row>
    <row r="193" spans="5:10">
      <c r="E193" s="17"/>
      <c r="F193" s="15"/>
      <c r="G193" s="17"/>
      <c r="H193" s="17"/>
      <c r="I193" s="15"/>
      <c r="J193" s="15"/>
    </row>
    <row r="194" spans="5:10">
      <c r="E194" s="17"/>
      <c r="F194" s="15"/>
      <c r="G194" s="17"/>
      <c r="H194" s="17"/>
      <c r="I194" s="15"/>
      <c r="J194" s="15"/>
    </row>
    <row r="195" spans="5:10">
      <c r="E195" s="17"/>
      <c r="F195" s="15"/>
      <c r="G195" s="17"/>
      <c r="H195" s="17"/>
      <c r="I195" s="15"/>
      <c r="J195" s="15"/>
    </row>
    <row r="196" spans="5:10">
      <c r="E196" s="17"/>
      <c r="F196" s="15"/>
      <c r="G196" s="17"/>
      <c r="H196" s="17"/>
      <c r="I196" s="15"/>
      <c r="J196" s="15"/>
    </row>
    <row r="197" spans="5:10">
      <c r="E197" s="17"/>
      <c r="F197" s="15"/>
      <c r="G197" s="17"/>
      <c r="H197" s="17"/>
      <c r="I197" s="15"/>
      <c r="J197" s="15"/>
    </row>
    <row r="198" spans="5:10">
      <c r="E198" s="17"/>
      <c r="F198" s="15"/>
      <c r="G198" s="17"/>
      <c r="H198" s="17"/>
      <c r="I198" s="15"/>
      <c r="J198" s="15"/>
    </row>
    <row r="199" spans="5:10">
      <c r="E199" s="17"/>
      <c r="F199" s="15"/>
      <c r="G199" s="17"/>
      <c r="H199" s="17"/>
      <c r="I199" s="15"/>
      <c r="J199" s="15"/>
    </row>
    <row r="200" spans="5:10">
      <c r="E200" s="17"/>
      <c r="F200" s="15"/>
      <c r="G200" s="17"/>
      <c r="H200" s="17"/>
      <c r="I200" s="15"/>
      <c r="J200" s="15"/>
    </row>
    <row r="201" spans="5:10">
      <c r="E201" s="17"/>
      <c r="F201" s="15"/>
      <c r="G201" s="17"/>
      <c r="H201" s="17"/>
      <c r="I201" s="15"/>
      <c r="J201" s="15"/>
    </row>
    <row r="202" spans="5:10">
      <c r="E202" s="17"/>
      <c r="F202" s="15"/>
      <c r="G202" s="17"/>
      <c r="H202" s="17"/>
      <c r="I202" s="15"/>
      <c r="J202" s="15"/>
    </row>
    <row r="203" spans="5:10">
      <c r="E203" s="17"/>
      <c r="F203" s="15"/>
      <c r="G203" s="17"/>
      <c r="H203" s="17"/>
      <c r="I203" s="15"/>
      <c r="J203" s="15"/>
    </row>
    <row r="204" spans="5:10">
      <c r="F204" s="15"/>
      <c r="I204" s="15"/>
      <c r="J204" s="15"/>
    </row>
    <row r="205" spans="5:10">
      <c r="F205" s="15"/>
      <c r="I205" s="15"/>
      <c r="J205" s="15"/>
    </row>
    <row r="206" spans="5:10">
      <c r="F206" s="15"/>
      <c r="I206" s="15"/>
      <c r="J206" s="15"/>
    </row>
    <row r="207" spans="5:10">
      <c r="F207" s="15"/>
      <c r="I207" s="15"/>
      <c r="J207" s="15"/>
    </row>
    <row r="208" spans="5:10">
      <c r="F208" s="15"/>
      <c r="I208" s="15"/>
      <c r="J208" s="15"/>
    </row>
    <row r="209" spans="6:10">
      <c r="F209" s="15"/>
      <c r="I209" s="15"/>
      <c r="J209" s="15"/>
    </row>
    <row r="210" spans="6:10">
      <c r="F210" s="15"/>
      <c r="I210" s="15"/>
      <c r="J210" s="15"/>
    </row>
    <row r="211" spans="6:10">
      <c r="F211" s="15"/>
      <c r="I211" s="15"/>
      <c r="J211" s="15"/>
    </row>
  </sheetData>
  <sheetProtection algorithmName="SHA-512" hashValue="NbfQ1eoRg6C5KRrOOwKvxO7YQC2dFTXykSQ8mMxUMd4TuPuVTOYe1VZbwhW6IdZ25bq3/6qZ4/KqHmG5/nPEvQ==" saltValue="h45EsqkT9wAe+lKt/K8ZEw==" spinCount="100000" sheet="1" autoFilter="0"/>
  <sortState xmlns:xlrd2="http://schemas.microsoft.com/office/spreadsheetml/2017/richdata2" ref="A63:I74">
    <sortCondition ref="A63:A74"/>
  </sortState>
  <phoneticPr fontId="0" type="noConversion"/>
  <conditionalFormatting sqref="E185:E188">
    <cfRule type="cellIs" dxfId="27" priority="1" stopIfTrue="1" operator="equal">
      <formula>"ERROR"</formula>
    </cfRule>
  </conditionalFormatting>
  <conditionalFormatting sqref="G186:G191">
    <cfRule type="cellIs" dxfId="26" priority="2" stopIfTrue="1" operator="equal">
      <formula>"OFF BY"</formula>
    </cfRule>
  </conditionalFormatting>
  <conditionalFormatting sqref="K186:K191">
    <cfRule type="cellIs" dxfId="25" priority="3" stopIfTrue="1" operator="notEqual">
      <formula>"—"</formula>
    </cfRule>
  </conditionalFormatting>
  <pageMargins left="0.55000000000000004" right="0.55000000000000004" top="0.35" bottom="0.45" header="0.5" footer="0.2"/>
  <pageSetup scale="96" fitToHeight="0" orientation="landscape" r:id="rId1"/>
  <headerFooter alignWithMargins="0">
    <oddFooter>Page &amp;P of &amp;N</oddFooter>
  </headerFooter>
  <rowBreaks count="3" manualBreakCount="3">
    <brk id="86" max="10" man="1"/>
    <brk id="124" max="10" man="1"/>
    <brk id="168"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FF0000"/>
  </sheetPr>
  <dimension ref="A1:F149"/>
  <sheetViews>
    <sheetView topLeftCell="A4" workbookViewId="0">
      <selection activeCell="D6" sqref="D6"/>
    </sheetView>
  </sheetViews>
  <sheetFormatPr defaultRowHeight="12.75"/>
  <cols>
    <col min="1" max="2" width="2.7109375" customWidth="1"/>
    <col min="3" max="3" width="65.7109375" customWidth="1"/>
    <col min="4" max="4" width="16.42578125" customWidth="1"/>
    <col min="5" max="5" width="4.5703125" style="15" customWidth="1"/>
    <col min="6" max="6" width="3.28515625" customWidth="1"/>
  </cols>
  <sheetData>
    <row r="1" spans="1:6">
      <c r="A1" s="12" t="e">
        <f>Info!#REF!</f>
        <v>#REF!</v>
      </c>
    </row>
    <row r="2" spans="1:6">
      <c r="A2" s="12" t="s">
        <v>788</v>
      </c>
    </row>
    <row r="3" spans="1:6" ht="13.5" thickBot="1">
      <c r="A3" s="16"/>
      <c r="B3" s="16"/>
      <c r="C3" s="16"/>
      <c r="D3" s="16"/>
      <c r="E3" s="144"/>
    </row>
    <row r="5" spans="1:6">
      <c r="D5" s="10">
        <v>2022</v>
      </c>
    </row>
    <row r="6" spans="1:6" ht="13.5" thickBot="1">
      <c r="A6" s="269" t="s">
        <v>789</v>
      </c>
      <c r="D6" s="15"/>
    </row>
    <row r="7" spans="1:6" ht="13.5" thickBot="1">
      <c r="B7" s="1" t="s">
        <v>790</v>
      </c>
      <c r="D7" s="175"/>
      <c r="E7" s="139" t="s">
        <v>791</v>
      </c>
      <c r="F7" s="1"/>
    </row>
    <row r="8" spans="1:6">
      <c r="B8" s="1" t="s">
        <v>792</v>
      </c>
      <c r="D8" s="139">
        <f>B_5-D7</f>
        <v>0</v>
      </c>
      <c r="E8" s="139" t="s">
        <v>793</v>
      </c>
      <c r="F8" s="1"/>
    </row>
    <row r="9" spans="1:6">
      <c r="B9" s="1" t="s">
        <v>341</v>
      </c>
      <c r="D9" s="140">
        <f>SUM(D6:D8)</f>
        <v>0</v>
      </c>
      <c r="E9" s="139"/>
      <c r="F9" s="1"/>
    </row>
    <row r="10" spans="1:6">
      <c r="D10" s="141" t="str">
        <f>IF(D9=B_5,"OK","ERROR")</f>
        <v>OK</v>
      </c>
      <c r="E10" s="139"/>
      <c r="F10" s="1"/>
    </row>
    <row r="11" spans="1:6" hidden="1">
      <c r="A11" s="269" t="s">
        <v>794</v>
      </c>
      <c r="D11" s="139"/>
      <c r="E11" s="139"/>
      <c r="F11" s="1"/>
    </row>
    <row r="12" spans="1:6" hidden="1">
      <c r="B12" t="s">
        <v>795</v>
      </c>
      <c r="D12" s="139">
        <f>B_8</f>
        <v>0</v>
      </c>
      <c r="E12" s="139" t="s">
        <v>214</v>
      </c>
      <c r="F12" s="1"/>
    </row>
    <row r="13" spans="1:6" hidden="1">
      <c r="B13" t="s">
        <v>790</v>
      </c>
      <c r="D13" s="139">
        <f>L_1</f>
        <v>0</v>
      </c>
      <c r="E13" s="139" t="s">
        <v>791</v>
      </c>
      <c r="F13" s="1"/>
    </row>
    <row r="14" spans="1:6" hidden="1">
      <c r="B14" t="s">
        <v>792</v>
      </c>
      <c r="D14" s="140">
        <f>+D12-D13</f>
        <v>0</v>
      </c>
      <c r="E14" s="139" t="s">
        <v>796</v>
      </c>
      <c r="F14" s="1"/>
    </row>
    <row r="15" spans="1:6">
      <c r="D15" s="139"/>
      <c r="E15" s="139"/>
      <c r="F15" s="1"/>
    </row>
    <row r="16" spans="1:6">
      <c r="A16" s="269" t="s">
        <v>797</v>
      </c>
      <c r="B16" s="1"/>
      <c r="D16" s="142"/>
      <c r="E16" s="139"/>
      <c r="F16" s="100"/>
    </row>
    <row r="17" spans="1:6">
      <c r="A17" s="269"/>
      <c r="B17" s="1" t="s">
        <v>798</v>
      </c>
      <c r="D17" s="143"/>
      <c r="E17" s="139"/>
      <c r="F17" s="100"/>
    </row>
    <row r="18" spans="1:6" ht="13.5" thickBot="1">
      <c r="A18" s="269"/>
      <c r="B18" s="1" t="s">
        <v>799</v>
      </c>
      <c r="D18" s="143">
        <f>D20-D17-D19</f>
        <v>0</v>
      </c>
      <c r="E18" s="139" t="s">
        <v>679</v>
      </c>
      <c r="F18" s="1"/>
    </row>
    <row r="19" spans="1:6" ht="13.5" thickBot="1">
      <c r="B19" s="1" t="s">
        <v>800</v>
      </c>
      <c r="D19" s="150"/>
      <c r="E19" s="139" t="s">
        <v>801</v>
      </c>
      <c r="F19" s="100"/>
    </row>
    <row r="20" spans="1:6">
      <c r="C20" s="1" t="s">
        <v>802</v>
      </c>
      <c r="D20" s="149"/>
      <c r="E20" s="139"/>
      <c r="F20" s="100"/>
    </row>
    <row r="21" spans="1:6">
      <c r="B21" s="14"/>
      <c r="C21" s="14" t="s">
        <v>289</v>
      </c>
      <c r="D21" s="141" t="str">
        <f>IF(SUM(D17:D19)='Exh A'!E66,"OK","ERROR")</f>
        <v>OK</v>
      </c>
      <c r="E21" s="139"/>
      <c r="F21" s="100"/>
    </row>
    <row r="22" spans="1:6">
      <c r="B22" s="14"/>
      <c r="C22" s="14"/>
      <c r="D22" s="142"/>
      <c r="E22" s="139"/>
      <c r="F22" s="100"/>
    </row>
    <row r="23" spans="1:6">
      <c r="A23" s="12" t="s">
        <v>803</v>
      </c>
      <c r="D23" s="142"/>
      <c r="E23" s="139"/>
      <c r="F23" s="100"/>
    </row>
    <row r="24" spans="1:6" ht="13.5" thickBot="1">
      <c r="B24" t="s">
        <v>804</v>
      </c>
      <c r="D24" s="143"/>
      <c r="E24" s="139"/>
      <c r="F24" s="100"/>
    </row>
    <row r="25" spans="1:6" ht="13.5" thickBot="1">
      <c r="B25" t="s">
        <v>805</v>
      </c>
      <c r="D25" s="150"/>
      <c r="E25" s="139"/>
      <c r="F25" s="100"/>
    </row>
    <row r="26" spans="1:6">
      <c r="B26" s="1"/>
      <c r="C26" t="s">
        <v>806</v>
      </c>
      <c r="D26" s="149">
        <f>SUM(D24:D25)</f>
        <v>0</v>
      </c>
      <c r="E26" s="139" t="s">
        <v>807</v>
      </c>
      <c r="F26" s="100"/>
    </row>
    <row r="27" spans="1:6">
      <c r="B27" s="14"/>
      <c r="C27" s="14"/>
      <c r="D27" s="141"/>
      <c r="E27" s="141"/>
      <c r="F27" s="100"/>
    </row>
    <row r="28" spans="1:6">
      <c r="A28" s="12" t="s">
        <v>803</v>
      </c>
      <c r="D28" s="141"/>
      <c r="E28" s="141"/>
      <c r="F28" s="100"/>
    </row>
    <row r="29" spans="1:6">
      <c r="B29" t="s">
        <v>808</v>
      </c>
      <c r="D29" s="143">
        <f>E_50</f>
        <v>0</v>
      </c>
      <c r="E29" s="141"/>
      <c r="F29" s="100"/>
    </row>
    <row r="30" spans="1:6">
      <c r="B30" t="s">
        <v>805</v>
      </c>
      <c r="D30" s="143">
        <f>-D25</f>
        <v>0</v>
      </c>
      <c r="E30" s="141"/>
      <c r="F30" s="100"/>
    </row>
    <row r="31" spans="1:6">
      <c r="B31" s="1"/>
      <c r="C31" t="s">
        <v>806</v>
      </c>
      <c r="D31" s="140">
        <f>SUM(D29:D30)</f>
        <v>0</v>
      </c>
      <c r="E31" s="139" t="s">
        <v>809</v>
      </c>
      <c r="F31" s="100"/>
    </row>
    <row r="32" spans="1:6">
      <c r="B32" s="1"/>
      <c r="C32" s="14"/>
      <c r="D32" s="143"/>
      <c r="E32" s="141"/>
      <c r="F32" s="100"/>
    </row>
    <row r="33" spans="1:6">
      <c r="B33" s="1"/>
      <c r="C33" s="1"/>
      <c r="D33" s="142"/>
      <c r="E33" s="141"/>
      <c r="F33" s="100"/>
    </row>
    <row r="34" spans="1:6">
      <c r="B34" s="1"/>
      <c r="C34" s="14"/>
      <c r="D34" s="141"/>
      <c r="E34" s="141"/>
      <c r="F34" s="100"/>
    </row>
    <row r="35" spans="1:6">
      <c r="B35" s="1"/>
      <c r="C35" s="1"/>
      <c r="D35" s="143"/>
      <c r="E35" s="141"/>
      <c r="F35" s="100"/>
    </row>
    <row r="36" spans="1:6">
      <c r="A36" s="12"/>
      <c r="B36" s="14"/>
      <c r="D36" s="142"/>
      <c r="E36" s="139"/>
      <c r="F36" s="100"/>
    </row>
    <row r="37" spans="1:6">
      <c r="B37" s="1"/>
      <c r="D37" s="143"/>
      <c r="E37" s="139"/>
      <c r="F37" s="100"/>
    </row>
    <row r="38" spans="1:6">
      <c r="B38" s="1"/>
      <c r="D38" s="143"/>
      <c r="E38" s="139"/>
      <c r="F38" s="100"/>
    </row>
    <row r="39" spans="1:6">
      <c r="B39" s="1"/>
      <c r="D39" s="143"/>
      <c r="E39" s="139"/>
      <c r="F39" s="100"/>
    </row>
    <row r="40" spans="1:6">
      <c r="B40" s="1"/>
      <c r="D40" s="143"/>
      <c r="E40" s="139"/>
      <c r="F40" s="100"/>
    </row>
    <row r="41" spans="1:6">
      <c r="B41" s="1"/>
      <c r="D41" s="143"/>
      <c r="E41" s="139"/>
      <c r="F41" s="100"/>
    </row>
    <row r="42" spans="1:6">
      <c r="B42" s="1"/>
      <c r="D42" s="142"/>
      <c r="E42" s="139"/>
      <c r="F42" s="100"/>
    </row>
    <row r="43" spans="1:6">
      <c r="B43" s="1"/>
      <c r="C43" s="14"/>
      <c r="D43" s="141"/>
      <c r="E43" s="139"/>
      <c r="F43" s="100"/>
    </row>
    <row r="44" spans="1:6">
      <c r="B44" s="1"/>
      <c r="C44" s="14"/>
      <c r="D44" s="141"/>
      <c r="E44" s="139"/>
      <c r="F44" s="100"/>
    </row>
    <row r="45" spans="1:6">
      <c r="A45" s="269"/>
      <c r="B45" s="14"/>
      <c r="C45" s="14"/>
      <c r="D45" s="141"/>
      <c r="E45" s="141"/>
      <c r="F45" s="100"/>
    </row>
    <row r="46" spans="1:6">
      <c r="A46" s="269"/>
      <c r="B46" s="1"/>
      <c r="C46" s="14"/>
      <c r="D46" s="143"/>
      <c r="E46" s="139"/>
      <c r="F46" s="100"/>
    </row>
    <row r="47" spans="1:6">
      <c r="B47" s="1"/>
      <c r="C47" s="14"/>
      <c r="D47" s="143"/>
      <c r="E47" s="141"/>
      <c r="F47" s="100"/>
    </row>
    <row r="48" spans="1:6">
      <c r="B48" s="1"/>
      <c r="C48" s="1"/>
      <c r="D48" s="142"/>
      <c r="E48" s="141"/>
      <c r="F48" s="100"/>
    </row>
    <row r="49" spans="1:6">
      <c r="B49" s="1"/>
      <c r="C49" s="14"/>
      <c r="D49" s="141"/>
      <c r="E49" s="141"/>
      <c r="F49" s="100"/>
    </row>
    <row r="50" spans="1:6">
      <c r="B50" s="1"/>
      <c r="D50" s="142"/>
      <c r="E50" s="139"/>
      <c r="F50" s="100"/>
    </row>
    <row r="51" spans="1:6">
      <c r="A51" s="269"/>
      <c r="B51" s="14"/>
      <c r="C51" s="14"/>
      <c r="D51" s="141"/>
      <c r="E51" s="141"/>
      <c r="F51" s="100"/>
    </row>
    <row r="52" spans="1:6">
      <c r="A52" s="269"/>
      <c r="B52" s="1"/>
      <c r="C52" s="14"/>
      <c r="D52" s="143"/>
      <c r="E52" s="139"/>
      <c r="F52" s="100"/>
    </row>
    <row r="53" spans="1:6">
      <c r="B53" s="1"/>
      <c r="C53" s="14"/>
      <c r="D53" s="143"/>
      <c r="E53" s="141"/>
      <c r="F53" s="100"/>
    </row>
    <row r="54" spans="1:6">
      <c r="B54" s="1"/>
      <c r="C54" s="1"/>
      <c r="D54" s="142"/>
      <c r="E54" s="141"/>
      <c r="F54" s="100"/>
    </row>
    <row r="55" spans="1:6">
      <c r="B55" s="1"/>
      <c r="C55" s="14"/>
      <c r="D55" s="141"/>
      <c r="E55" s="141"/>
      <c r="F55" s="100"/>
    </row>
    <row r="56" spans="1:6">
      <c r="B56" s="1"/>
      <c r="C56" s="14"/>
      <c r="D56" s="141"/>
      <c r="E56" s="141"/>
      <c r="F56" s="100"/>
    </row>
    <row r="57" spans="1:6">
      <c r="A57" s="269"/>
      <c r="B57" s="14"/>
      <c r="C57" s="14"/>
      <c r="D57" s="141"/>
      <c r="E57" s="141"/>
      <c r="F57" s="100"/>
    </row>
    <row r="58" spans="1:6">
      <c r="A58" s="269"/>
      <c r="B58" s="1"/>
      <c r="C58" s="14"/>
      <c r="D58" s="143"/>
      <c r="E58" s="139"/>
      <c r="F58" s="100"/>
    </row>
    <row r="59" spans="1:6">
      <c r="B59" s="1"/>
      <c r="C59" s="14"/>
      <c r="D59" s="143"/>
      <c r="E59" s="141"/>
      <c r="F59" s="100"/>
    </row>
    <row r="60" spans="1:6">
      <c r="B60" s="1"/>
      <c r="C60" s="1"/>
      <c r="D60" s="19"/>
      <c r="E60" s="24"/>
      <c r="F60" s="100"/>
    </row>
    <row r="61" spans="1:6">
      <c r="B61" s="1"/>
      <c r="C61" s="14"/>
      <c r="D61" s="24"/>
      <c r="E61" s="24"/>
      <c r="F61" s="100"/>
    </row>
    <row r="62" spans="1:6">
      <c r="B62" s="1"/>
      <c r="C62" s="14"/>
      <c r="D62" s="24"/>
      <c r="E62" s="24"/>
      <c r="F62" s="100"/>
    </row>
    <row r="63" spans="1:6">
      <c r="A63" s="269"/>
      <c r="B63" s="14"/>
      <c r="C63" s="14"/>
      <c r="D63" s="24"/>
      <c r="E63" s="24"/>
      <c r="F63" s="100"/>
    </row>
    <row r="64" spans="1:6">
      <c r="A64" s="269"/>
      <c r="B64" s="1"/>
      <c r="C64" s="14"/>
      <c r="D64" s="54"/>
      <c r="E64" s="145"/>
      <c r="F64" s="100"/>
    </row>
    <row r="65" spans="1:6">
      <c r="B65" s="1"/>
      <c r="C65" s="14"/>
      <c r="D65" s="54"/>
      <c r="E65" s="24"/>
      <c r="F65" s="100"/>
    </row>
    <row r="66" spans="1:6">
      <c r="B66" s="1"/>
      <c r="C66" s="1"/>
      <c r="D66" s="19"/>
      <c r="E66" s="24"/>
      <c r="F66" s="100"/>
    </row>
    <row r="67" spans="1:6">
      <c r="B67" s="1"/>
      <c r="C67" s="14"/>
      <c r="D67" s="24"/>
      <c r="E67" s="24"/>
      <c r="F67" s="100"/>
    </row>
    <row r="68" spans="1:6">
      <c r="B68" s="1"/>
      <c r="C68" s="14"/>
      <c r="D68" s="24"/>
      <c r="E68" s="24"/>
      <c r="F68" s="100"/>
    </row>
    <row r="69" spans="1:6">
      <c r="B69" s="1"/>
      <c r="C69" s="14"/>
      <c r="D69" s="24"/>
      <c r="E69" s="24"/>
      <c r="F69" s="100"/>
    </row>
    <row r="70" spans="1:6">
      <c r="B70" s="1"/>
      <c r="C70" s="14"/>
      <c r="D70" s="24"/>
      <c r="E70" s="24"/>
      <c r="F70" s="100"/>
    </row>
    <row r="71" spans="1:6">
      <c r="B71" s="1"/>
      <c r="C71" s="14"/>
      <c r="D71" s="24"/>
      <c r="E71" s="24"/>
      <c r="F71" s="100"/>
    </row>
    <row r="72" spans="1:6">
      <c r="B72" s="1"/>
      <c r="C72" s="14"/>
      <c r="D72" s="24"/>
      <c r="E72" s="24"/>
      <c r="F72" s="100"/>
    </row>
    <row r="73" spans="1:6">
      <c r="B73" s="1"/>
      <c r="D73" s="19"/>
      <c r="E73" s="145"/>
      <c r="F73" s="100"/>
    </row>
    <row r="74" spans="1:6">
      <c r="B74" s="1"/>
      <c r="C74" s="14"/>
      <c r="D74" s="24"/>
      <c r="E74" s="2"/>
      <c r="F74" s="100"/>
    </row>
    <row r="75" spans="1:6">
      <c r="A75" s="12"/>
      <c r="D75" s="1"/>
      <c r="E75" s="2"/>
      <c r="F75" s="1"/>
    </row>
    <row r="76" spans="1:6">
      <c r="D76" s="54"/>
      <c r="E76" s="2"/>
      <c r="F76" s="1"/>
    </row>
    <row r="77" spans="1:6">
      <c r="B77" s="1"/>
      <c r="D77" s="54"/>
      <c r="E77" s="2"/>
      <c r="F77" s="1"/>
    </row>
    <row r="78" spans="1:6">
      <c r="B78" s="1"/>
      <c r="D78" s="54"/>
      <c r="E78" s="2"/>
      <c r="F78" s="1"/>
    </row>
    <row r="79" spans="1:6">
      <c r="D79" s="19"/>
      <c r="E79" s="2"/>
      <c r="F79" s="1"/>
    </row>
    <row r="80" spans="1:6">
      <c r="C80" s="14"/>
      <c r="D80" s="24"/>
      <c r="E80" s="2"/>
      <c r="F80" s="1"/>
    </row>
    <row r="81" spans="1:6">
      <c r="B81" s="14"/>
      <c r="D81" s="24"/>
      <c r="E81" s="2"/>
      <c r="F81" s="1"/>
    </row>
    <row r="82" spans="1:6">
      <c r="A82" s="269"/>
      <c r="B82" s="14"/>
      <c r="D82" s="24"/>
      <c r="E82" s="2"/>
      <c r="F82" s="1"/>
    </row>
    <row r="83" spans="1:6">
      <c r="B83" s="1"/>
      <c r="D83" s="54"/>
      <c r="E83" s="2"/>
      <c r="F83" s="1"/>
    </row>
    <row r="84" spans="1:6">
      <c r="B84" s="1"/>
      <c r="D84" s="54"/>
      <c r="E84" s="2"/>
      <c r="F84" s="1"/>
    </row>
    <row r="85" spans="1:6">
      <c r="B85" s="1"/>
      <c r="D85" s="54"/>
      <c r="E85" s="2"/>
      <c r="F85" s="1"/>
    </row>
    <row r="86" spans="1:6">
      <c r="B86" s="1"/>
      <c r="D86" s="54"/>
      <c r="E86" s="2"/>
      <c r="F86" s="1"/>
    </row>
    <row r="87" spans="1:6">
      <c r="B87" s="1"/>
      <c r="C87" s="1"/>
      <c r="D87" s="19"/>
      <c r="E87" s="2"/>
      <c r="F87" s="1"/>
    </row>
    <row r="88" spans="1:6">
      <c r="C88" s="14"/>
      <c r="D88" s="24"/>
      <c r="E88" s="2"/>
      <c r="F88" s="1"/>
    </row>
    <row r="89" spans="1:6">
      <c r="B89" s="1"/>
      <c r="C89" s="14"/>
      <c r="D89" s="24"/>
      <c r="E89" s="2"/>
      <c r="F89" s="1"/>
    </row>
    <row r="90" spans="1:6">
      <c r="A90" s="12"/>
      <c r="B90" s="14"/>
      <c r="D90" s="24"/>
      <c r="E90" s="2"/>
      <c r="F90" s="1"/>
    </row>
    <row r="91" spans="1:6">
      <c r="B91" s="1"/>
      <c r="D91" s="19"/>
      <c r="E91" s="2"/>
      <c r="F91" s="1"/>
    </row>
    <row r="92" spans="1:6">
      <c r="A92" s="14"/>
      <c r="C92" s="1"/>
      <c r="D92" s="54"/>
      <c r="E92" s="2"/>
      <c r="F92" s="1"/>
    </row>
    <row r="93" spans="1:6">
      <c r="C93" s="1"/>
      <c r="D93" s="54"/>
      <c r="E93" s="295"/>
      <c r="F93" s="295"/>
    </row>
    <row r="94" spans="1:6">
      <c r="C94" s="99"/>
      <c r="D94" s="19"/>
      <c r="E94" s="2"/>
      <c r="F94" s="1"/>
    </row>
    <row r="95" spans="1:6" ht="13.5">
      <c r="B95" s="100"/>
      <c r="D95" s="45"/>
      <c r="E95" s="50"/>
    </row>
    <row r="96" spans="1:6">
      <c r="B96" s="100"/>
      <c r="D96" s="45"/>
      <c r="E96" s="147"/>
    </row>
    <row r="97" spans="1:5" ht="13.5">
      <c r="B97" s="1"/>
      <c r="D97" s="45"/>
      <c r="E97" s="50"/>
    </row>
    <row r="98" spans="1:5">
      <c r="B98" s="14"/>
      <c r="C98" s="100"/>
      <c r="D98" s="17"/>
      <c r="E98" s="146"/>
    </row>
    <row r="99" spans="1:5" ht="13.5">
      <c r="C99" s="14"/>
      <c r="D99" s="24"/>
      <c r="E99" s="50"/>
    </row>
    <row r="100" spans="1:5" ht="13.5">
      <c r="C100" s="14"/>
      <c r="D100" s="24"/>
      <c r="E100" s="50"/>
    </row>
    <row r="101" spans="1:5" ht="13.5">
      <c r="A101" s="294"/>
      <c r="B101" s="294"/>
      <c r="C101" s="294"/>
      <c r="D101" s="24"/>
      <c r="E101" s="50"/>
    </row>
    <row r="102" spans="1:5" ht="13.5">
      <c r="B102" s="1"/>
      <c r="C102" s="14"/>
      <c r="D102" s="45"/>
      <c r="E102" s="50"/>
    </row>
    <row r="103" spans="1:5" ht="13.5">
      <c r="B103" s="1"/>
      <c r="C103" s="14"/>
      <c r="D103" s="45"/>
      <c r="E103" s="50"/>
    </row>
    <row r="104" spans="1:5" ht="13.5">
      <c r="C104" s="1"/>
      <c r="D104" s="17"/>
      <c r="E104" s="50"/>
    </row>
    <row r="105" spans="1:5" ht="13.5">
      <c r="C105" s="14"/>
      <c r="D105" s="24"/>
      <c r="E105" s="50"/>
    </row>
    <row r="106" spans="1:5" ht="13.5">
      <c r="B106" s="14"/>
      <c r="D106" s="17"/>
      <c r="E106" s="50"/>
    </row>
    <row r="107" spans="1:5" ht="13.5">
      <c r="A107" s="269"/>
      <c r="C107" s="14"/>
      <c r="D107" s="24"/>
      <c r="E107" s="50"/>
    </row>
    <row r="108" spans="1:5" ht="13.5">
      <c r="B108" s="1"/>
      <c r="C108" s="14"/>
      <c r="D108" s="45"/>
      <c r="E108" s="50"/>
    </row>
    <row r="109" spans="1:5" ht="13.5">
      <c r="B109" s="1"/>
      <c r="C109" s="14"/>
      <c r="D109" s="45"/>
      <c r="E109" s="50"/>
    </row>
    <row r="110" spans="1:5" ht="13.5">
      <c r="B110" s="1"/>
      <c r="C110" s="1"/>
      <c r="D110" s="17"/>
      <c r="E110" s="50"/>
    </row>
    <row r="111" spans="1:5" ht="13.5">
      <c r="C111" s="14"/>
      <c r="D111" s="24"/>
      <c r="E111" s="50"/>
    </row>
    <row r="112" spans="1:5" ht="13.5">
      <c r="C112" s="14"/>
      <c r="D112" s="24"/>
      <c r="E112" s="50"/>
    </row>
    <row r="113" spans="1:6" ht="13.5">
      <c r="A113" s="12"/>
      <c r="D113" s="17"/>
      <c r="E113" s="50"/>
    </row>
    <row r="114" spans="1:6" ht="13.5">
      <c r="B114" s="1"/>
      <c r="D114" s="45"/>
      <c r="E114" s="50"/>
    </row>
    <row r="115" spans="1:6" ht="13.5">
      <c r="B115" s="1"/>
      <c r="D115" s="45"/>
      <c r="E115" s="50"/>
    </row>
    <row r="116" spans="1:6" ht="13.5">
      <c r="D116" s="45"/>
      <c r="E116" s="50"/>
    </row>
    <row r="117" spans="1:6" ht="13.5">
      <c r="D117" s="45"/>
      <c r="E117" s="50"/>
    </row>
    <row r="118" spans="1:6" ht="13.5">
      <c r="D118" s="17"/>
      <c r="E118" s="50"/>
    </row>
    <row r="119" spans="1:6" ht="13.5">
      <c r="C119" s="14"/>
      <c r="D119" s="24"/>
      <c r="E119" s="50"/>
    </row>
    <row r="120" spans="1:6" ht="13.5">
      <c r="C120" s="14"/>
      <c r="D120" s="24"/>
      <c r="E120" s="50"/>
    </row>
    <row r="121" spans="1:6" ht="13.5">
      <c r="A121" s="12"/>
      <c r="C121" s="14"/>
      <c r="D121" s="24"/>
      <c r="E121" s="50"/>
    </row>
    <row r="122" spans="1:6" ht="13.5">
      <c r="A122" s="1"/>
      <c r="B122" s="1"/>
      <c r="C122" s="14"/>
      <c r="D122" s="45"/>
      <c r="E122" s="50"/>
      <c r="F122" s="48"/>
    </row>
    <row r="123" spans="1:6" ht="13.5">
      <c r="B123" s="1"/>
      <c r="C123" s="14"/>
      <c r="D123" s="45"/>
      <c r="E123" s="50"/>
    </row>
    <row r="124" spans="1:6" ht="13.5">
      <c r="B124" s="1"/>
      <c r="C124" s="14"/>
      <c r="D124" s="17"/>
      <c r="E124" s="50"/>
    </row>
    <row r="125" spans="1:6" ht="13.5">
      <c r="C125" s="14"/>
      <c r="D125" s="24"/>
      <c r="E125" s="50"/>
    </row>
    <row r="126" spans="1:6">
      <c r="A126" s="12"/>
      <c r="C126" s="14"/>
      <c r="D126" s="45"/>
      <c r="E126" s="135"/>
    </row>
    <row r="127" spans="1:6">
      <c r="A127" s="1"/>
      <c r="B127" s="1"/>
      <c r="C127" s="14"/>
      <c r="D127" s="45"/>
      <c r="E127" s="135"/>
    </row>
    <row r="128" spans="1:6">
      <c r="B128" s="1"/>
      <c r="C128" s="14"/>
      <c r="D128" s="45"/>
    </row>
    <row r="129" spans="1:5">
      <c r="B129" s="1"/>
      <c r="C129" s="14"/>
      <c r="D129" s="45"/>
    </row>
    <row r="130" spans="1:5">
      <c r="D130" s="24"/>
    </row>
    <row r="132" spans="1:5" ht="13.5">
      <c r="C132" s="14"/>
      <c r="D132" s="24"/>
      <c r="E132" s="50"/>
    </row>
    <row r="133" spans="1:5">
      <c r="A133" s="12"/>
      <c r="C133" s="14"/>
      <c r="D133" s="45"/>
      <c r="E133" s="135"/>
    </row>
    <row r="134" spans="1:5">
      <c r="A134" s="1"/>
      <c r="B134" s="1"/>
      <c r="C134" s="14"/>
      <c r="D134" s="45"/>
      <c r="E134" s="135"/>
    </row>
    <row r="135" spans="1:5">
      <c r="B135" s="1"/>
      <c r="C135" s="14"/>
      <c r="D135" s="45"/>
    </row>
    <row r="136" spans="1:5">
      <c r="B136" s="1"/>
      <c r="C136" s="14"/>
      <c r="D136" s="45"/>
    </row>
    <row r="137" spans="1:5">
      <c r="D137" s="24"/>
    </row>
    <row r="139" spans="1:5">
      <c r="A139" s="12"/>
      <c r="C139" s="14"/>
      <c r="D139" s="45"/>
      <c r="E139" s="135"/>
    </row>
    <row r="140" spans="1:5">
      <c r="A140" s="1"/>
      <c r="B140" s="1"/>
      <c r="C140" s="14"/>
      <c r="D140" s="45"/>
      <c r="E140" s="135"/>
    </row>
    <row r="141" spans="1:5">
      <c r="B141" s="1"/>
      <c r="C141" s="14"/>
      <c r="D141" s="45"/>
    </row>
    <row r="142" spans="1:5">
      <c r="B142" s="1"/>
      <c r="C142" s="14"/>
      <c r="D142" s="45"/>
    </row>
    <row r="143" spans="1:5">
      <c r="D143" s="24"/>
    </row>
    <row r="145" spans="1:5">
      <c r="A145" s="12"/>
      <c r="C145" s="14"/>
      <c r="D145" s="45"/>
      <c r="E145" s="135"/>
    </row>
    <row r="146" spans="1:5">
      <c r="A146" s="1"/>
      <c r="B146" s="1"/>
      <c r="C146" s="14"/>
      <c r="D146" s="45"/>
      <c r="E146" s="135"/>
    </row>
    <row r="147" spans="1:5">
      <c r="B147" s="1"/>
      <c r="C147" s="14"/>
      <c r="D147" s="45"/>
      <c r="E147" s="2"/>
    </row>
    <row r="148" spans="1:5">
      <c r="B148" s="1"/>
      <c r="C148" s="14"/>
      <c r="D148" s="45"/>
    </row>
    <row r="149" spans="1:5">
      <c r="D149" s="24"/>
    </row>
  </sheetData>
  <sheetProtection algorithmName="SHA-512" hashValue="I/gnlld178BOg0ks4UZq/mvuPMV680ZaYfduR3uczph2R/SmuAE+Bs0xssx4eJJCAa8sVoa/+3o+ujLrn0MjIg==" saltValue="HRtR0bGbITK1LUi48nYd2Q==" spinCount="100000" sheet="1" autoFilter="0"/>
  <mergeCells count="2">
    <mergeCell ref="E93:F93"/>
    <mergeCell ref="A101:C101"/>
  </mergeCells>
  <conditionalFormatting sqref="D10">
    <cfRule type="cellIs" dxfId="24" priority="1" stopIfTrue="1" operator="equal">
      <formula>"ERROR"</formula>
    </cfRule>
  </conditionalFormatting>
  <conditionalFormatting sqref="D21">
    <cfRule type="cellIs" dxfId="23" priority="31" stopIfTrue="1" operator="equal">
      <formula>"ERROR"</formula>
    </cfRule>
  </conditionalFormatting>
  <conditionalFormatting sqref="D34">
    <cfRule type="cellIs" dxfId="22" priority="26" stopIfTrue="1" operator="equal">
      <formula>"ERROR"</formula>
    </cfRule>
  </conditionalFormatting>
  <conditionalFormatting sqref="D49">
    <cfRule type="cellIs" dxfId="21" priority="17" stopIfTrue="1" operator="equal">
      <formula>"ERROR"</formula>
    </cfRule>
  </conditionalFormatting>
  <conditionalFormatting sqref="D55:D57 D61:D62">
    <cfRule type="cellIs" dxfId="20" priority="13" stopIfTrue="1" operator="equal">
      <formula>"ERROR"</formula>
    </cfRule>
  </conditionalFormatting>
  <conditionalFormatting sqref="D67:D72">
    <cfRule type="cellIs" dxfId="19" priority="4" stopIfTrue="1" operator="equal">
      <formula>"ERROR"</formula>
    </cfRule>
  </conditionalFormatting>
  <conditionalFormatting sqref="D111:D112">
    <cfRule type="cellIs" dxfId="18" priority="29" stopIfTrue="1" operator="equal">
      <formula>"ERROR"</formula>
    </cfRule>
  </conditionalFormatting>
  <conditionalFormatting sqref="D130">
    <cfRule type="cellIs" dxfId="17" priority="21" stopIfTrue="1" operator="equal">
      <formula>"ERROR"</formula>
    </cfRule>
  </conditionalFormatting>
  <conditionalFormatting sqref="D137">
    <cfRule type="cellIs" dxfId="16" priority="22" stopIfTrue="1" operator="equal">
      <formula>"ERROR"</formula>
    </cfRule>
  </conditionalFormatting>
  <conditionalFormatting sqref="D143">
    <cfRule type="cellIs" dxfId="15" priority="20" stopIfTrue="1" operator="equal">
      <formula>"ERROR"</formula>
    </cfRule>
  </conditionalFormatting>
  <conditionalFormatting sqref="D149">
    <cfRule type="cellIs" dxfId="14" priority="19" stopIfTrue="1" operator="equal">
      <formula>"ERROR"</formula>
    </cfRule>
  </conditionalFormatting>
  <conditionalFormatting sqref="D27:E28 E29:E30 E32:E35 D43:D44 E47:E49 D74 D80:D82 D88:D90 D99:D101 D105 D107 D119:D121 D125 D132">
    <cfRule type="cellIs" dxfId="13" priority="33" stopIfTrue="1" operator="equal">
      <formula>"ERROR"</formula>
    </cfRule>
  </conditionalFormatting>
  <conditionalFormatting sqref="D45:E45">
    <cfRule type="cellIs" dxfId="12" priority="18" stopIfTrue="1" operator="equal">
      <formula>"ERROR"</formula>
    </cfRule>
  </conditionalFormatting>
  <conditionalFormatting sqref="D51:E51">
    <cfRule type="cellIs" dxfId="11" priority="16" stopIfTrue="1" operator="equal">
      <formula>"ERROR"</formula>
    </cfRule>
  </conditionalFormatting>
  <conditionalFormatting sqref="D63:E63">
    <cfRule type="cellIs" dxfId="10" priority="6" stopIfTrue="1" operator="equal">
      <formula>"ERROR"</formula>
    </cfRule>
  </conditionalFormatting>
  <conditionalFormatting sqref="E53:E57">
    <cfRule type="cellIs" dxfId="9" priority="14" stopIfTrue="1" operator="equal">
      <formula>"ERROR"</formula>
    </cfRule>
  </conditionalFormatting>
  <conditionalFormatting sqref="E59:E62">
    <cfRule type="cellIs" dxfId="8" priority="7" stopIfTrue="1" operator="equal">
      <formula>"ERROR"</formula>
    </cfRule>
  </conditionalFormatting>
  <conditionalFormatting sqref="E65:E72">
    <cfRule type="cellIs" dxfId="7" priority="5" stopIfTrue="1" operator="equal">
      <formula>"ERROR"</formula>
    </cfRule>
  </conditionalFormatting>
  <conditionalFormatting sqref="E93">
    <cfRule type="cellIs" dxfId="6" priority="24" stopIfTrue="1" operator="equal">
      <formula>"ERROR – Not equal to change in allowance Investments/Pooled Investments"</formula>
    </cfRule>
  </conditionalFormatting>
  <conditionalFormatting sqref="E96">
    <cfRule type="cellIs" dxfId="5" priority="23" stopIfTrue="1" operator="equal">
      <formula>"ERROR – Not equal to Alllocation of units amount for Pooled Investments"</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2EDC20EC70D245A87A952C8DFB4018" ma:contentTypeVersion="10" ma:contentTypeDescription="Create a new document." ma:contentTypeScope="" ma:versionID="f54d6716b40f2fd4b87c407801679108">
  <xsd:schema xmlns:xsd="http://www.w3.org/2001/XMLSchema" xmlns:xs="http://www.w3.org/2001/XMLSchema" xmlns:p="http://schemas.microsoft.com/office/2006/metadata/properties" xmlns:ns2="68085a6d-e278-4216-b84f-15e1ffeaa6bf" targetNamespace="http://schemas.microsoft.com/office/2006/metadata/properties" ma:root="true" ma:fieldsID="ce6c9979ad3581c287745963c41cabd1" ns2:_="">
    <xsd:import namespace="68085a6d-e278-4216-b84f-15e1ffeaa6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085a6d-e278-4216-b84f-15e1ffeaa6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40FB1-A30B-41AE-87D5-DD9C81FBC714}">
  <ds:schemaRef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elements/1.1/"/>
    <ds:schemaRef ds:uri="68085a6d-e278-4216-b84f-15e1ffeaa6bf"/>
    <ds:schemaRef ds:uri="http://purl.org/dc/terms/"/>
    <ds:schemaRef ds:uri="http://purl.org/dc/dcmitype/"/>
  </ds:schemaRefs>
</ds:datastoreItem>
</file>

<file path=customXml/itemProps2.xml><?xml version="1.0" encoding="utf-8"?>
<ds:datastoreItem xmlns:ds="http://schemas.openxmlformats.org/officeDocument/2006/customXml" ds:itemID="{4734D443-D79D-47B7-98A6-9818F2C54BC7}">
  <ds:schemaRefs>
    <ds:schemaRef ds:uri="http://schemas.microsoft.com/sharepoint/v3/contenttype/forms"/>
  </ds:schemaRefs>
</ds:datastoreItem>
</file>

<file path=customXml/itemProps3.xml><?xml version="1.0" encoding="utf-8"?>
<ds:datastoreItem xmlns:ds="http://schemas.openxmlformats.org/officeDocument/2006/customXml" ds:itemID="{AEB1833F-865C-40F3-8A14-44E9C67B9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085a6d-e278-4216-b84f-15e1ffeaa6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208</vt:i4>
      </vt:variant>
    </vt:vector>
  </HeadingPairs>
  <TitlesOfParts>
    <vt:vector size="219" baseType="lpstr">
      <vt:lpstr>Info</vt:lpstr>
      <vt:lpstr>Workbook Updates</vt:lpstr>
      <vt:lpstr>Exh A</vt:lpstr>
      <vt:lpstr>Exh B</vt:lpstr>
      <vt:lpstr>Exh C</vt:lpstr>
      <vt:lpstr>Exh D</vt:lpstr>
      <vt:lpstr>Exh E</vt:lpstr>
      <vt:lpstr>Exh F</vt:lpstr>
      <vt:lpstr>Lottery</vt:lpstr>
      <vt:lpstr>Exh G</vt:lpstr>
      <vt:lpstr>Data</vt:lpstr>
      <vt:lpstr>A_10</vt:lpstr>
      <vt:lpstr>A_11</vt:lpstr>
      <vt:lpstr>A_12</vt:lpstr>
      <vt:lpstr>A_13</vt:lpstr>
      <vt:lpstr>A_14</vt:lpstr>
      <vt:lpstr>A_15</vt:lpstr>
      <vt:lpstr>A_16</vt:lpstr>
      <vt:lpstr>A_17</vt:lpstr>
      <vt:lpstr>A_17A</vt:lpstr>
      <vt:lpstr>A_17D</vt:lpstr>
      <vt:lpstr>A_17F</vt:lpstr>
      <vt:lpstr>A_17G</vt:lpstr>
      <vt:lpstr>A_18</vt:lpstr>
      <vt:lpstr>A_18A</vt:lpstr>
      <vt:lpstr>A_19</vt:lpstr>
      <vt:lpstr>A_19A</vt:lpstr>
      <vt:lpstr>A_19C</vt:lpstr>
      <vt:lpstr>A_19E</vt:lpstr>
      <vt:lpstr>A_19F</vt:lpstr>
      <vt:lpstr>A_19G</vt:lpstr>
      <vt:lpstr>A_2</vt:lpstr>
      <vt:lpstr>A_20</vt:lpstr>
      <vt:lpstr>A_20A</vt:lpstr>
      <vt:lpstr>A_20B</vt:lpstr>
      <vt:lpstr>A_21</vt:lpstr>
      <vt:lpstr>A_22</vt:lpstr>
      <vt:lpstr>A_23</vt:lpstr>
      <vt:lpstr>A_24</vt:lpstr>
      <vt:lpstr>A_25</vt:lpstr>
      <vt:lpstr>A_26</vt:lpstr>
      <vt:lpstr>A_26A</vt:lpstr>
      <vt:lpstr>A_27</vt:lpstr>
      <vt:lpstr>A_28</vt:lpstr>
      <vt:lpstr>A_29A</vt:lpstr>
      <vt:lpstr>A_29B</vt:lpstr>
      <vt:lpstr>A_3</vt:lpstr>
      <vt:lpstr>A_3_A</vt:lpstr>
      <vt:lpstr>A_3B</vt:lpstr>
      <vt:lpstr>A_3C</vt:lpstr>
      <vt:lpstr>A_3D</vt:lpstr>
      <vt:lpstr>A_3E</vt:lpstr>
      <vt:lpstr>A_4</vt:lpstr>
      <vt:lpstr>A_5</vt:lpstr>
      <vt:lpstr>A_6</vt:lpstr>
      <vt:lpstr>A_7</vt:lpstr>
      <vt:lpstr>A_8</vt:lpstr>
      <vt:lpstr>A_9</vt:lpstr>
      <vt:lpstr>B_1</vt:lpstr>
      <vt:lpstr>B_10</vt:lpstr>
      <vt:lpstr>B_11</vt:lpstr>
      <vt:lpstr>B_12</vt:lpstr>
      <vt:lpstr>B_13</vt:lpstr>
      <vt:lpstr>B_14</vt:lpstr>
      <vt:lpstr>B_15</vt:lpstr>
      <vt:lpstr>B_16</vt:lpstr>
      <vt:lpstr>B_17</vt:lpstr>
      <vt:lpstr>B_19</vt:lpstr>
      <vt:lpstr>B_2</vt:lpstr>
      <vt:lpstr>B_20</vt:lpstr>
      <vt:lpstr>B_21</vt:lpstr>
      <vt:lpstr>B_22</vt:lpstr>
      <vt:lpstr>B_23</vt:lpstr>
      <vt:lpstr>B_24</vt:lpstr>
      <vt:lpstr>B_25</vt:lpstr>
      <vt:lpstr>B_26</vt:lpstr>
      <vt:lpstr>B_27</vt:lpstr>
      <vt:lpstr>B_28</vt:lpstr>
      <vt:lpstr>B_3</vt:lpstr>
      <vt:lpstr>B_4</vt:lpstr>
      <vt:lpstr>B_5</vt:lpstr>
      <vt:lpstr>B_5A</vt:lpstr>
      <vt:lpstr>B_6</vt:lpstr>
      <vt:lpstr>B_7</vt:lpstr>
      <vt:lpstr>B_7A</vt:lpstr>
      <vt:lpstr>B_7B</vt:lpstr>
      <vt:lpstr>B_8</vt:lpstr>
      <vt:lpstr>B_9</vt:lpstr>
      <vt:lpstr>B_9A</vt:lpstr>
      <vt:lpstr>'Exh E'!B_9B</vt:lpstr>
      <vt:lpstr>B_9B</vt:lpstr>
      <vt:lpstr>B_9C</vt:lpstr>
      <vt:lpstr>B_9D</vt:lpstr>
      <vt:lpstr>B_TO</vt:lpstr>
      <vt:lpstr>C_1</vt:lpstr>
      <vt:lpstr>C_10</vt:lpstr>
      <vt:lpstr>C_11</vt:lpstr>
      <vt:lpstr>C_12</vt:lpstr>
      <vt:lpstr>C_13</vt:lpstr>
      <vt:lpstr>C_14</vt:lpstr>
      <vt:lpstr>C_2</vt:lpstr>
      <vt:lpstr>C_3</vt:lpstr>
      <vt:lpstr>C_4</vt:lpstr>
      <vt:lpstr>C_5</vt:lpstr>
      <vt:lpstr>C_6</vt:lpstr>
      <vt:lpstr>C_7</vt:lpstr>
      <vt:lpstr>D_1</vt:lpstr>
      <vt:lpstr>D_10</vt:lpstr>
      <vt:lpstr>D_11</vt:lpstr>
      <vt:lpstr>D_2</vt:lpstr>
      <vt:lpstr>D_2A</vt:lpstr>
      <vt:lpstr>D_2B</vt:lpstr>
      <vt:lpstr>D_3</vt:lpstr>
      <vt:lpstr>D_4</vt:lpstr>
      <vt:lpstr>D_5</vt:lpstr>
      <vt:lpstr>D_6</vt:lpstr>
      <vt:lpstr>D_7</vt:lpstr>
      <vt:lpstr>D_8</vt:lpstr>
      <vt:lpstr>D_9</vt:lpstr>
      <vt:lpstr>E_1</vt:lpstr>
      <vt:lpstr>E_10</vt:lpstr>
      <vt:lpstr>E_11</vt:lpstr>
      <vt:lpstr>E_12</vt:lpstr>
      <vt:lpstr>E_13</vt:lpstr>
      <vt:lpstr>E_14</vt:lpstr>
      <vt:lpstr>E_15</vt:lpstr>
      <vt:lpstr>E_16</vt:lpstr>
      <vt:lpstr>E_2</vt:lpstr>
      <vt:lpstr>E_21</vt:lpstr>
      <vt:lpstr>E_22</vt:lpstr>
      <vt:lpstr>E_22a</vt:lpstr>
      <vt:lpstr>E_22b</vt:lpstr>
      <vt:lpstr>E_23</vt:lpstr>
      <vt:lpstr>E_25</vt:lpstr>
      <vt:lpstr>E_26</vt:lpstr>
      <vt:lpstr>E_27</vt:lpstr>
      <vt:lpstr>E_28</vt:lpstr>
      <vt:lpstr>E_29</vt:lpstr>
      <vt:lpstr>E_3</vt:lpstr>
      <vt:lpstr>E_30</vt:lpstr>
      <vt:lpstr>E_31</vt:lpstr>
      <vt:lpstr>E_32</vt:lpstr>
      <vt:lpstr>E_33</vt:lpstr>
      <vt:lpstr>E_34</vt:lpstr>
      <vt:lpstr>E_37</vt:lpstr>
      <vt:lpstr>E_38</vt:lpstr>
      <vt:lpstr>E_39</vt:lpstr>
      <vt:lpstr>E_4</vt:lpstr>
      <vt:lpstr>E_40</vt:lpstr>
      <vt:lpstr>E_41</vt:lpstr>
      <vt:lpstr>E_42</vt:lpstr>
      <vt:lpstr>E_43</vt:lpstr>
      <vt:lpstr>E_44</vt:lpstr>
      <vt:lpstr>E_45</vt:lpstr>
      <vt:lpstr>E_46</vt:lpstr>
      <vt:lpstr>E_5</vt:lpstr>
      <vt:lpstr>E_50</vt:lpstr>
      <vt:lpstr>E_51</vt:lpstr>
      <vt:lpstr>E_52</vt:lpstr>
      <vt:lpstr>E_53</vt:lpstr>
      <vt:lpstr>E_54</vt:lpstr>
      <vt:lpstr>E_56</vt:lpstr>
      <vt:lpstr>E_6</vt:lpstr>
      <vt:lpstr>E_63</vt:lpstr>
      <vt:lpstr>E_64</vt:lpstr>
      <vt:lpstr>E_65</vt:lpstr>
      <vt:lpstr>E_66</vt:lpstr>
      <vt:lpstr>E_67</vt:lpstr>
      <vt:lpstr>E_68</vt:lpstr>
      <vt:lpstr>E_69</vt:lpstr>
      <vt:lpstr>E_7</vt:lpstr>
      <vt:lpstr>E_70</vt:lpstr>
      <vt:lpstr>E_71</vt:lpstr>
      <vt:lpstr>E_72</vt:lpstr>
      <vt:lpstr>E_73</vt:lpstr>
      <vt:lpstr>E_74</vt:lpstr>
      <vt:lpstr>E_75</vt:lpstr>
      <vt:lpstr>E_76</vt:lpstr>
      <vt:lpstr>E_77</vt:lpstr>
      <vt:lpstr>E_79</vt:lpstr>
      <vt:lpstr>E_8</vt:lpstr>
      <vt:lpstr>E_80</vt:lpstr>
      <vt:lpstr>E_81</vt:lpstr>
      <vt:lpstr>E_82</vt:lpstr>
      <vt:lpstr>E_83</vt:lpstr>
      <vt:lpstr>E_84</vt:lpstr>
      <vt:lpstr>E_85</vt:lpstr>
      <vt:lpstr>E_86</vt:lpstr>
      <vt:lpstr>E_87</vt:lpstr>
      <vt:lpstr>E_88</vt:lpstr>
      <vt:lpstr>E_9</vt:lpstr>
      <vt:lpstr>I_1</vt:lpstr>
      <vt:lpstr>I_2</vt:lpstr>
      <vt:lpstr>I_3</vt:lpstr>
      <vt:lpstr>I_4</vt:lpstr>
      <vt:lpstr>I_5</vt:lpstr>
      <vt:lpstr>I_6</vt:lpstr>
      <vt:lpstr>I_7</vt:lpstr>
      <vt:lpstr>L_1</vt:lpstr>
      <vt:lpstr>L_2</vt:lpstr>
      <vt:lpstr>L_3</vt:lpstr>
      <vt:lpstr>L_4</vt:lpstr>
      <vt:lpstr>L_5</vt:lpstr>
      <vt:lpstr>L_6</vt:lpstr>
      <vt:lpstr>L_7</vt:lpstr>
      <vt:lpstr>'Exh A'!Print_Area</vt:lpstr>
      <vt:lpstr>'Exh B'!Print_Area</vt:lpstr>
      <vt:lpstr>'Exh C'!Print_Area</vt:lpstr>
      <vt:lpstr>'Exh D'!Print_Area</vt:lpstr>
      <vt:lpstr>'Exh E'!Print_Area</vt:lpstr>
      <vt:lpstr>'Exh F'!Print_Area</vt:lpstr>
      <vt:lpstr>'Exh G'!Print_Area</vt:lpstr>
      <vt:lpstr>Info!Print_Area</vt:lpstr>
      <vt:lpstr>'Workbook Updates'!Print_Area</vt:lpstr>
      <vt:lpstr>'Exh A'!Print_Titles</vt:lpstr>
      <vt:lpstr>'Exh E'!Print_Titles</vt:lpstr>
      <vt:lpstr>'Exh F'!Print_Titles</vt:lpstr>
      <vt:lpstr>'Exh G'!Print_Titles</vt:lpstr>
      <vt:lpstr>PropFundName</vt:lpstr>
    </vt:vector>
  </TitlesOfParts>
  <Manager>Clayton Murphy</Manager>
  <Company>Statewide Accounting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Statement of Cash Flows Template Using the Direct Method</dc:title>
  <dc:subject>Cash Flows</dc:subject>
  <dc:creator>NC Office of State Controller</dc:creator>
  <cp:keywords/>
  <dc:description>1410 Mail Service Center_x000d_
Raleigh, NC 27699-1410_x000d_
(919) 981-5474</dc:description>
  <cp:lastModifiedBy>Laura Klem</cp:lastModifiedBy>
  <cp:revision/>
  <cp:lastPrinted>2024-04-15T20:49:32Z</cp:lastPrinted>
  <dcterms:created xsi:type="dcterms:W3CDTF">2000-09-14T19:12:00Z</dcterms:created>
  <dcterms:modified xsi:type="dcterms:W3CDTF">2024-05-10T19:07:06Z</dcterms:modified>
  <cp:category>GASB Statement No. 34</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0x010100072EDC20EC70D245A87A952C8DFB4018</vt:lpwstr>
  </property>
  <property fmtid="{D5CDD505-2E9C-101B-9397-08002B2CF9AE}" pid="3" name="Document Classification">
    <vt:lpwstr>16;#Public|d2a15f98-d5e3-4f35-90f0-6d5a67d8bacf</vt:lpwstr>
  </property>
  <property fmtid="{D5CDD505-2E9C-101B-9397-08002B2CF9AE}" pid="4" name="Business Content Types">
    <vt:lpwstr>22;#Unassigned|5c0ff3c7-b18a-4e86-afca-44994bf68fec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_ExtendedDescription">
    <vt:lpwstr/>
  </property>
  <property fmtid="{D5CDD505-2E9C-101B-9397-08002B2CF9AE}" pid="8" name="MSIP_Label_defa4170-0d19-0005-0004-bc88714345d2_Enabled">
    <vt:lpwstr>true</vt:lpwstr>
  </property>
  <property fmtid="{D5CDD505-2E9C-101B-9397-08002B2CF9AE}" pid="9" name="MSIP_Label_defa4170-0d19-0005-0004-bc88714345d2_SetDate">
    <vt:lpwstr>2024-04-15T20:06:07Z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a1f43f48-54fe-433f-9378-968b45bc6665</vt:lpwstr>
  </property>
  <property fmtid="{D5CDD505-2E9C-101B-9397-08002B2CF9AE}" pid="13" name="MSIP_Label_defa4170-0d19-0005-0004-bc88714345d2_ActionId">
    <vt:lpwstr>7a98e3c2-10c9-4561-a81b-b046aa90b69a</vt:lpwstr>
  </property>
  <property fmtid="{D5CDD505-2E9C-101B-9397-08002B2CF9AE}" pid="14" name="MSIP_Label_defa4170-0d19-0005-0004-bc88714345d2_ContentBits">
    <vt:lpwstr>0</vt:lpwstr>
  </property>
</Properties>
</file>