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24226"/>
  <mc:AlternateContent xmlns:mc="http://schemas.openxmlformats.org/markup-compatibility/2006">
    <mc:Choice Requires="x15">
      <x15ac:absPath xmlns:x15ac="http://schemas.microsoft.com/office/spreadsheetml/2010/11/ac" url="T:\PMO\Metrics\Moved to SharePoint PMO\Monthly Reports\FY 1718\"/>
    </mc:Choice>
  </mc:AlternateContent>
  <bookViews>
    <workbookView xWindow="120" yWindow="45" windowWidth="18975" windowHeight="11445" firstSheet="1" activeTab="1"/>
  </bookViews>
  <sheets>
    <sheet name="Definitions" sheetId="12" r:id="rId1"/>
    <sheet name="Summary Data" sheetId="1" r:id="rId2"/>
    <sheet name="Notes" sheetId="16" r:id="rId3"/>
    <sheet name="1st Call Resolution" sheetId="19" r:id="rId4"/>
    <sheet name="Call Volume " sheetId="4"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FY Comp" sheetId="22" r:id="rId13"/>
    <sheet name="PR Processing Table" sheetId="23"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Definitions!$A$1:$D$53</definedName>
    <definedName name="_xlnm.Print_Area" localSheetId="12">'FY Comp'!$A$2:$X$62</definedName>
    <definedName name="_xlnm.Print_Area" localSheetId="2">Notes!$A$1:$C$27</definedName>
    <definedName name="_xlnm.Print_Area" localSheetId="13">'PR Processing Table'!$A$16:$R$50</definedName>
    <definedName name="_xlnm.Print_Area" localSheetId="1">'Summary Data'!$A$10:$IW$70</definedName>
    <definedName name="_xlnm.Print_Titles" localSheetId="1">'Summary Data'!$A:$G,'Summary Data'!$10:$10</definedName>
    <definedName name="x">'Summary Data'!#REF!</definedName>
  </definedNames>
  <calcPr calcId="171027"/>
</workbook>
</file>

<file path=xl/calcChain.xml><?xml version="1.0" encoding="utf-8"?>
<calcChain xmlns="http://schemas.openxmlformats.org/spreadsheetml/2006/main">
  <c r="DK38" i="1" l="1"/>
  <c r="DK37" i="1"/>
  <c r="DK5" i="1"/>
  <c r="MD56" i="1" l="1"/>
  <c r="DK19" i="1" l="1"/>
  <c r="IU19" i="1" s="1"/>
  <c r="IU70" i="1"/>
  <c r="IU69" i="1"/>
  <c r="IU68" i="1"/>
  <c r="IU67" i="1"/>
  <c r="IU66" i="1"/>
  <c r="IU64" i="1"/>
  <c r="IU63" i="1"/>
  <c r="IU62" i="1"/>
  <c r="IU61" i="1"/>
  <c r="IU60" i="1"/>
  <c r="IU59" i="1"/>
  <c r="IU58" i="1"/>
  <c r="IU57" i="1"/>
  <c r="IU56" i="1"/>
  <c r="IU55" i="1"/>
  <c r="IU54" i="1"/>
  <c r="IU53" i="1"/>
  <c r="IU48" i="1"/>
  <c r="IU45" i="1"/>
  <c r="IU42" i="1"/>
  <c r="IU38" i="1"/>
  <c r="IU37" i="1"/>
  <c r="IU33" i="1"/>
  <c r="IU32" i="1"/>
  <c r="IU30" i="1"/>
  <c r="IU29" i="1"/>
  <c r="IU28" i="1"/>
  <c r="IU27" i="1"/>
  <c r="IU26" i="1"/>
  <c r="IU25" i="1"/>
  <c r="IU24" i="1"/>
  <c r="IU23" i="1"/>
  <c r="IU17" i="1"/>
  <c r="IU16" i="1"/>
  <c r="IU15" i="1"/>
  <c r="IU10" i="1"/>
  <c r="IU7" i="1"/>
  <c r="IU6" i="1"/>
  <c r="IU5" i="1"/>
  <c r="IT70" i="1"/>
  <c r="IT69" i="1"/>
  <c r="IT68" i="1"/>
  <c r="IT67" i="1"/>
  <c r="IT66" i="1"/>
  <c r="IT64" i="1"/>
  <c r="IT63" i="1"/>
  <c r="IT62" i="1"/>
  <c r="IT61" i="1"/>
  <c r="IT60" i="1"/>
  <c r="IT59" i="1"/>
  <c r="IT58" i="1"/>
  <c r="IT57" i="1"/>
  <c r="IT56" i="1"/>
  <c r="IT55" i="1"/>
  <c r="IT54" i="1"/>
  <c r="IT53" i="1"/>
  <c r="IT52" i="1"/>
  <c r="IT50" i="1"/>
  <c r="IT49" i="1"/>
  <c r="IT48" i="1"/>
  <c r="IT46" i="1"/>
  <c r="IT45" i="1"/>
  <c r="IT43" i="1"/>
  <c r="IT42" i="1"/>
  <c r="IT39" i="1"/>
  <c r="IT38" i="1"/>
  <c r="IT37" i="1"/>
  <c r="IT35" i="1"/>
  <c r="IT34" i="1"/>
  <c r="IT33" i="1"/>
  <c r="IT32" i="1"/>
  <c r="IT30" i="1"/>
  <c r="IT29" i="1"/>
  <c r="IT28" i="1"/>
  <c r="IT27" i="1"/>
  <c r="IT26" i="1"/>
  <c r="IT25" i="1"/>
  <c r="IT24" i="1"/>
  <c r="IT23" i="1"/>
  <c r="IT22" i="1"/>
  <c r="IT20" i="1"/>
  <c r="IT17" i="1"/>
  <c r="IT16" i="1"/>
  <c r="IT15" i="1"/>
  <c r="IT13" i="1"/>
  <c r="IT11" i="1"/>
  <c r="IT10" i="1"/>
  <c r="IT7" i="1"/>
  <c r="IT6" i="1"/>
  <c r="IT5" i="1"/>
  <c r="DK52" i="1"/>
  <c r="IU52" i="1" s="1"/>
  <c r="DK50" i="1"/>
  <c r="IU50" i="1" s="1"/>
  <c r="DK39" i="1"/>
  <c r="IU39" i="1" s="1"/>
  <c r="DK22" i="1"/>
  <c r="DK49" i="1" s="1"/>
  <c r="IU49" i="1" s="1"/>
  <c r="DK18" i="1"/>
  <c r="IU18" i="1" s="1"/>
  <c r="DK11" i="1"/>
  <c r="DK35" i="1" s="1"/>
  <c r="IU35" i="1" s="1"/>
  <c r="IU11" i="1" l="1"/>
  <c r="IU22" i="1"/>
  <c r="DK34" i="1"/>
  <c r="IU34" i="1" s="1"/>
  <c r="IU13" i="1"/>
  <c r="DK40" i="1"/>
  <c r="IU40" i="1" s="1"/>
  <c r="DK46" i="1"/>
  <c r="IU46" i="1" s="1"/>
  <c r="DK20" i="1"/>
  <c r="IU20" i="1" s="1"/>
  <c r="DK43" i="1"/>
  <c r="IU43" i="1" s="1"/>
  <c r="DJ11" i="1"/>
  <c r="DJ38" i="1"/>
  <c r="DJ37" i="1"/>
  <c r="DJ5" i="1"/>
  <c r="MC56" i="1" l="1"/>
  <c r="DJ52" i="1"/>
  <c r="DJ50" i="1"/>
  <c r="DJ43" i="1"/>
  <c r="IV43" i="1" s="1"/>
  <c r="IW43" i="1" s="1"/>
  <c r="DJ39" i="1"/>
  <c r="IV39" i="1" s="1"/>
  <c r="IW39" i="1" s="1"/>
  <c r="DJ35" i="1"/>
  <c r="DJ34" i="1"/>
  <c r="IV34" i="1" s="1"/>
  <c r="IW34" i="1" s="1"/>
  <c r="DJ22" i="1"/>
  <c r="DJ49" i="1" s="1"/>
  <c r="DJ20" i="1"/>
  <c r="IL20" i="1" s="1"/>
  <c r="IM20" i="1" s="1"/>
  <c r="DJ19" i="1"/>
  <c r="MC19" i="1" s="1"/>
  <c r="DJ18" i="1"/>
  <c r="IN18" i="1" s="1"/>
  <c r="IO18" i="1" s="1"/>
  <c r="IV38" i="1"/>
  <c r="IW38" i="1" s="1"/>
  <c r="IV37" i="1"/>
  <c r="IW37" i="1" s="1"/>
  <c r="IV30" i="1"/>
  <c r="IW30" i="1" s="1"/>
  <c r="IV26" i="1"/>
  <c r="IW26" i="1" s="1"/>
  <c r="IV17" i="1"/>
  <c r="IW17" i="1" s="1"/>
  <c r="IV16" i="1"/>
  <c r="IW16" i="1" s="1"/>
  <c r="IV11" i="1"/>
  <c r="IW11" i="1" s="1"/>
  <c r="IL70" i="1"/>
  <c r="IM70" i="1"/>
  <c r="IL69" i="1"/>
  <c r="IL68" i="1"/>
  <c r="IM68" i="1"/>
  <c r="IL67" i="1"/>
  <c r="IL66" i="1"/>
  <c r="IM66" i="1"/>
  <c r="IL64" i="1"/>
  <c r="IM64" i="1"/>
  <c r="IL63" i="1"/>
  <c r="IM63" i="1"/>
  <c r="IL62" i="1"/>
  <c r="IL61" i="1"/>
  <c r="IM61" i="1"/>
  <c r="IL60" i="1"/>
  <c r="IM60" i="1"/>
  <c r="IL59" i="1"/>
  <c r="IL58" i="1"/>
  <c r="IM58" i="1"/>
  <c r="IL57" i="1"/>
  <c r="IM57" i="1"/>
  <c r="IL56" i="1"/>
  <c r="IL55" i="1"/>
  <c r="IM55" i="1"/>
  <c r="IL54" i="1"/>
  <c r="IL53" i="1"/>
  <c r="IM11" i="1"/>
  <c r="DI38" i="1"/>
  <c r="DI37" i="1"/>
  <c r="DI5" i="1"/>
  <c r="MB56" i="1"/>
  <c r="DI11" i="1"/>
  <c r="DI35" i="1"/>
  <c r="DI52" i="1"/>
  <c r="DI50" i="1"/>
  <c r="DI39" i="1"/>
  <c r="DI34" i="1"/>
  <c r="DI22" i="1"/>
  <c r="DI49" i="1"/>
  <c r="DI19" i="1"/>
  <c r="MB19" i="1" s="1"/>
  <c r="DI18" i="1"/>
  <c r="DI20" i="1"/>
  <c r="DI43" i="1"/>
  <c r="DI46" i="1"/>
  <c r="DI40" i="1"/>
  <c r="MB40" i="1" s="1"/>
  <c r="DH11" i="1"/>
  <c r="DH37" i="1"/>
  <c r="DH38" i="1"/>
  <c r="DH5" i="1"/>
  <c r="DH18" i="1"/>
  <c r="MA56" i="1"/>
  <c r="A21" i="22"/>
  <c r="JA22" i="1"/>
  <c r="DH19" i="1"/>
  <c r="DH52" i="1"/>
  <c r="DH50" i="1"/>
  <c r="DH39" i="1"/>
  <c r="DH22" i="1"/>
  <c r="DH49" i="1"/>
  <c r="DH46" i="1"/>
  <c r="DH34" i="1"/>
  <c r="DH35" i="1"/>
  <c r="DH40" i="1"/>
  <c r="DH20" i="1"/>
  <c r="DH43" i="1"/>
  <c r="DG38" i="1"/>
  <c r="DG37" i="1"/>
  <c r="DG5" i="1"/>
  <c r="AG42" i="22"/>
  <c r="AG41" i="22"/>
  <c r="AG40" i="22"/>
  <c r="AG39" i="22"/>
  <c r="AG34" i="22"/>
  <c r="AG33" i="22"/>
  <c r="AG32" i="22"/>
  <c r="AG31" i="22"/>
  <c r="AG30" i="22"/>
  <c r="AG29" i="22"/>
  <c r="AG28" i="22"/>
  <c r="AG20" i="22"/>
  <c r="AG19" i="22"/>
  <c r="AG18" i="22"/>
  <c r="AG16" i="22"/>
  <c r="AG15" i="22"/>
  <c r="AG14" i="22"/>
  <c r="AG13" i="22"/>
  <c r="AG11" i="22"/>
  <c r="AG9" i="22"/>
  <c r="AG8" i="22"/>
  <c r="AD4" i="22"/>
  <c r="AD68" i="22"/>
  <c r="AD67" i="22"/>
  <c r="AD66" i="22"/>
  <c r="AD65" i="22"/>
  <c r="AD64" i="22"/>
  <c r="AD63" i="22"/>
  <c r="AD62" i="22"/>
  <c r="AD61" i="22"/>
  <c r="AD60" i="22"/>
  <c r="AD59" i="22"/>
  <c r="AD58" i="22"/>
  <c r="AD57" i="22"/>
  <c r="AD56" i="22"/>
  <c r="AD55" i="22"/>
  <c r="AD54" i="22"/>
  <c r="AD53" i="22"/>
  <c r="AD52" i="22"/>
  <c r="AD51" i="22"/>
  <c r="AD50" i="22"/>
  <c r="AD49" i="22"/>
  <c r="AD48" i="22"/>
  <c r="AD47" i="22"/>
  <c r="AD46" i="22"/>
  <c r="AD45" i="22"/>
  <c r="AD44" i="22"/>
  <c r="AD43" i="22"/>
  <c r="AD42" i="22"/>
  <c r="AD41" i="22"/>
  <c r="AD40" i="22"/>
  <c r="AD39" i="22"/>
  <c r="AD38" i="22"/>
  <c r="AD37" i="22"/>
  <c r="AD36" i="22"/>
  <c r="AD35" i="22"/>
  <c r="AD34" i="22"/>
  <c r="AD33" i="22"/>
  <c r="AD32" i="22"/>
  <c r="AD31" i="22"/>
  <c r="AD30" i="22"/>
  <c r="AD29" i="22"/>
  <c r="AD28" i="22"/>
  <c r="AD27" i="22"/>
  <c r="AD26" i="22"/>
  <c r="AD25" i="22"/>
  <c r="AD24" i="22"/>
  <c r="AD23" i="22"/>
  <c r="AD22" i="22"/>
  <c r="AD21" i="22"/>
  <c r="AD20" i="22"/>
  <c r="AD19" i="22"/>
  <c r="AD18" i="22"/>
  <c r="AD16" i="22"/>
  <c r="AD15" i="22"/>
  <c r="AD14" i="22"/>
  <c r="AD13" i="22"/>
  <c r="AD12" i="22"/>
  <c r="AD11" i="22"/>
  <c r="AD10" i="22"/>
  <c r="AD9" i="22"/>
  <c r="AD8" i="22"/>
  <c r="AD7" i="22"/>
  <c r="AD6" i="22"/>
  <c r="AD5" i="22"/>
  <c r="AE68" i="22"/>
  <c r="AF68" i="22"/>
  <c r="AE67" i="22"/>
  <c r="AF67" i="22"/>
  <c r="AE66" i="22"/>
  <c r="AF66" i="22"/>
  <c r="AE65" i="22"/>
  <c r="AF65" i="22"/>
  <c r="AE64" i="22"/>
  <c r="AF64" i="22"/>
  <c r="AE63" i="22"/>
  <c r="AF63" i="22"/>
  <c r="AE49" i="22"/>
  <c r="AF49" i="22"/>
  <c r="AE42" i="22"/>
  <c r="AF42" i="22"/>
  <c r="AE41" i="22"/>
  <c r="AF41" i="22"/>
  <c r="AE40" i="22"/>
  <c r="AF40" i="22"/>
  <c r="AE39" i="22"/>
  <c r="AF39" i="22"/>
  <c r="AE34" i="22"/>
  <c r="AF34" i="22"/>
  <c r="AE33" i="22"/>
  <c r="AF33" i="22"/>
  <c r="AE32" i="22"/>
  <c r="AF32" i="22"/>
  <c r="AE31" i="22"/>
  <c r="AF31" i="22"/>
  <c r="AE30" i="22"/>
  <c r="AF30" i="22"/>
  <c r="AE29" i="22"/>
  <c r="AF29" i="22"/>
  <c r="AE28" i="22"/>
  <c r="AF28" i="22"/>
  <c r="AE20" i="22"/>
  <c r="AF20" i="22"/>
  <c r="AE19" i="22"/>
  <c r="AF19" i="22"/>
  <c r="AE18" i="22"/>
  <c r="AF18" i="22"/>
  <c r="AE16" i="22"/>
  <c r="AF16" i="22"/>
  <c r="AE15" i="22"/>
  <c r="AF15" i="22"/>
  <c r="AE14" i="22"/>
  <c r="AF14" i="22"/>
  <c r="AE13" i="22"/>
  <c r="AF13" i="22"/>
  <c r="AE11" i="22"/>
  <c r="AF11" i="22"/>
  <c r="AE9" i="22"/>
  <c r="AF9" i="22"/>
  <c r="AE8" i="22"/>
  <c r="AF8" i="22"/>
  <c r="D2" i="23"/>
  <c r="D4" i="23"/>
  <c r="D5" i="23" s="1"/>
  <c r="E2" i="23"/>
  <c r="F2" i="23"/>
  <c r="G2" i="23"/>
  <c r="G4" i="23"/>
  <c r="G5" i="23" s="1"/>
  <c r="H2" i="23"/>
  <c r="I2" i="23"/>
  <c r="J2" i="23"/>
  <c r="K2" i="23"/>
  <c r="K4" i="23"/>
  <c r="K5" i="23" s="1"/>
  <c r="L2" i="23"/>
  <c r="L4" i="23"/>
  <c r="L5" i="23" s="1"/>
  <c r="M2" i="23"/>
  <c r="N2" i="23"/>
  <c r="D3" i="23"/>
  <c r="E3" i="23"/>
  <c r="F3" i="23"/>
  <c r="G3" i="23"/>
  <c r="H3" i="23"/>
  <c r="I3" i="23"/>
  <c r="J3" i="23"/>
  <c r="K3" i="23"/>
  <c r="L3" i="23"/>
  <c r="M3" i="23"/>
  <c r="N3" i="23"/>
  <c r="C3" i="23"/>
  <c r="J4" i="23"/>
  <c r="J5" i="23" s="1"/>
  <c r="C2" i="23"/>
  <c r="O2" i="23"/>
  <c r="N4" i="23"/>
  <c r="N5" i="23" s="1"/>
  <c r="F4" i="23"/>
  <c r="F5" i="23" s="1"/>
  <c r="M4" i="23"/>
  <c r="M5" i="23" s="1"/>
  <c r="I4" i="23"/>
  <c r="I5" i="23" s="1"/>
  <c r="H4" i="23"/>
  <c r="H5" i="23" s="1"/>
  <c r="C4" i="23"/>
  <c r="C5" i="23" s="1"/>
  <c r="AD17" i="22"/>
  <c r="P2" i="23"/>
  <c r="E4" i="23"/>
  <c r="E5" i="23" s="1"/>
  <c r="MQ10" i="1"/>
  <c r="MR10" i="1"/>
  <c r="MQ11" i="1"/>
  <c r="MR11" i="1"/>
  <c r="MQ13" i="1"/>
  <c r="MR13" i="1"/>
  <c r="MQ14" i="1"/>
  <c r="MR14" i="1"/>
  <c r="MQ15" i="1"/>
  <c r="MR15" i="1"/>
  <c r="MQ16" i="1"/>
  <c r="MR16" i="1"/>
  <c r="MQ17" i="1"/>
  <c r="MR17" i="1"/>
  <c r="MQ18" i="1"/>
  <c r="MR18" i="1"/>
  <c r="MQ19" i="1"/>
  <c r="MR19" i="1"/>
  <c r="MQ20" i="1"/>
  <c r="MR20" i="1"/>
  <c r="MQ22" i="1"/>
  <c r="MR22" i="1"/>
  <c r="MQ23" i="1"/>
  <c r="MR23" i="1"/>
  <c r="MQ24" i="1"/>
  <c r="MR24" i="1"/>
  <c r="MQ25" i="1"/>
  <c r="MR25" i="1"/>
  <c r="MQ26" i="1"/>
  <c r="MR26" i="1"/>
  <c r="MQ27" i="1"/>
  <c r="MR27" i="1"/>
  <c r="MQ28" i="1"/>
  <c r="MR28" i="1"/>
  <c r="MQ29" i="1"/>
  <c r="MR29" i="1"/>
  <c r="MQ30" i="1"/>
  <c r="MR30" i="1"/>
  <c r="MQ32" i="1"/>
  <c r="MR32" i="1"/>
  <c r="MQ33" i="1"/>
  <c r="MR33" i="1"/>
  <c r="MQ34" i="1"/>
  <c r="MR34" i="1"/>
  <c r="MQ35" i="1"/>
  <c r="MR35" i="1"/>
  <c r="MQ37" i="1"/>
  <c r="MR37" i="1"/>
  <c r="MQ38" i="1"/>
  <c r="MR38" i="1"/>
  <c r="MQ39" i="1"/>
  <c r="MR39" i="1"/>
  <c r="MQ40" i="1"/>
  <c r="MR40" i="1"/>
  <c r="MQ42" i="1"/>
  <c r="MR42" i="1"/>
  <c r="MQ43" i="1"/>
  <c r="MR43" i="1"/>
  <c r="MQ45" i="1"/>
  <c r="MR45" i="1"/>
  <c r="MQ46" i="1"/>
  <c r="MR46" i="1"/>
  <c r="MQ47" i="1"/>
  <c r="MR47" i="1"/>
  <c r="MQ48" i="1"/>
  <c r="MR48" i="1"/>
  <c r="MQ49" i="1"/>
  <c r="MR49" i="1"/>
  <c r="MQ50" i="1"/>
  <c r="MR50" i="1"/>
  <c r="MQ52" i="1"/>
  <c r="MR52" i="1"/>
  <c r="MQ53" i="1"/>
  <c r="MR53" i="1"/>
  <c r="MQ54" i="1"/>
  <c r="MR54" i="1"/>
  <c r="MQ55" i="1"/>
  <c r="MR55" i="1"/>
  <c r="MQ57" i="1"/>
  <c r="MR57" i="1"/>
  <c r="MQ58" i="1"/>
  <c r="MR58" i="1"/>
  <c r="MQ59" i="1"/>
  <c r="MR59" i="1"/>
  <c r="MQ60" i="1"/>
  <c r="MR60" i="1"/>
  <c r="MQ61" i="1"/>
  <c r="MR61" i="1"/>
  <c r="MQ62" i="1"/>
  <c r="MR62" i="1"/>
  <c r="MQ63" i="1"/>
  <c r="MR63" i="1"/>
  <c r="MQ64" i="1"/>
  <c r="MR64" i="1"/>
  <c r="MQ66" i="1"/>
  <c r="MR66" i="1"/>
  <c r="MQ67" i="1"/>
  <c r="MR67" i="1"/>
  <c r="MQ68" i="1"/>
  <c r="MR68" i="1"/>
  <c r="MQ69" i="1"/>
  <c r="MR69" i="1"/>
  <c r="MQ70" i="1"/>
  <c r="MR70" i="1"/>
  <c r="MP70" i="1"/>
  <c r="MO70" i="1"/>
  <c r="MN70" i="1"/>
  <c r="MM70" i="1"/>
  <c r="ML70" i="1"/>
  <c r="MK70" i="1"/>
  <c r="MJ70" i="1"/>
  <c r="MI70" i="1"/>
  <c r="MH70" i="1"/>
  <c r="MG70" i="1"/>
  <c r="MP69" i="1"/>
  <c r="MO69" i="1"/>
  <c r="MN69" i="1"/>
  <c r="MM69" i="1"/>
  <c r="ML69" i="1"/>
  <c r="MK69" i="1"/>
  <c r="MJ69" i="1"/>
  <c r="MI69" i="1"/>
  <c r="MH69" i="1"/>
  <c r="MG69" i="1"/>
  <c r="MP68" i="1"/>
  <c r="MO68" i="1"/>
  <c r="MN68" i="1"/>
  <c r="MM68" i="1"/>
  <c r="ML68" i="1"/>
  <c r="MK68" i="1"/>
  <c r="MJ68" i="1"/>
  <c r="MI68" i="1"/>
  <c r="MH68" i="1"/>
  <c r="MG68" i="1"/>
  <c r="MP67" i="1"/>
  <c r="MO67" i="1"/>
  <c r="MN67" i="1"/>
  <c r="MM67" i="1"/>
  <c r="ML67" i="1"/>
  <c r="MK67" i="1"/>
  <c r="MJ67" i="1"/>
  <c r="MI67" i="1"/>
  <c r="MH67" i="1"/>
  <c r="MG67" i="1"/>
  <c r="MP66" i="1"/>
  <c r="MO66" i="1"/>
  <c r="MN66" i="1"/>
  <c r="MM66" i="1"/>
  <c r="ML66" i="1"/>
  <c r="MK66" i="1"/>
  <c r="MJ66" i="1"/>
  <c r="MI66" i="1"/>
  <c r="MH66" i="1"/>
  <c r="MG66" i="1"/>
  <c r="MP64" i="1"/>
  <c r="MO64" i="1"/>
  <c r="MN64" i="1"/>
  <c r="MM64" i="1"/>
  <c r="ML64" i="1"/>
  <c r="MK64" i="1"/>
  <c r="MJ64" i="1"/>
  <c r="MI64" i="1"/>
  <c r="MH64" i="1"/>
  <c r="MG64" i="1"/>
  <c r="MP63" i="1"/>
  <c r="MO63" i="1"/>
  <c r="MN63" i="1"/>
  <c r="MM63" i="1"/>
  <c r="ML63" i="1"/>
  <c r="MK63" i="1"/>
  <c r="MJ63" i="1"/>
  <c r="MI63" i="1"/>
  <c r="MH63" i="1"/>
  <c r="MG63" i="1"/>
  <c r="MP62" i="1"/>
  <c r="MO62" i="1"/>
  <c r="MN62" i="1"/>
  <c r="MM62" i="1"/>
  <c r="ML62" i="1"/>
  <c r="MK62" i="1"/>
  <c r="MJ62" i="1"/>
  <c r="MI62" i="1"/>
  <c r="MH62" i="1"/>
  <c r="MG62" i="1"/>
  <c r="MP61" i="1"/>
  <c r="MO61" i="1"/>
  <c r="MN61" i="1"/>
  <c r="MM61" i="1"/>
  <c r="ML61" i="1"/>
  <c r="MK61" i="1"/>
  <c r="MJ61" i="1"/>
  <c r="MI61" i="1"/>
  <c r="MH61" i="1"/>
  <c r="MG61" i="1"/>
  <c r="MP60" i="1"/>
  <c r="MO60" i="1"/>
  <c r="MN60" i="1"/>
  <c r="MM60" i="1"/>
  <c r="ML60" i="1"/>
  <c r="MK60" i="1"/>
  <c r="MJ60" i="1"/>
  <c r="MI60" i="1"/>
  <c r="MH60" i="1"/>
  <c r="MG60" i="1"/>
  <c r="MP59" i="1"/>
  <c r="MO59" i="1"/>
  <c r="MN59" i="1"/>
  <c r="MM59" i="1"/>
  <c r="ML59" i="1"/>
  <c r="MK59" i="1"/>
  <c r="MJ59" i="1"/>
  <c r="MI59" i="1"/>
  <c r="MH59" i="1"/>
  <c r="MG59" i="1"/>
  <c r="MP58" i="1"/>
  <c r="MO58" i="1"/>
  <c r="MN58" i="1"/>
  <c r="MM58" i="1"/>
  <c r="ML58" i="1"/>
  <c r="MK58" i="1"/>
  <c r="MJ58" i="1"/>
  <c r="MI58" i="1"/>
  <c r="MH58" i="1"/>
  <c r="MG58" i="1"/>
  <c r="MP57" i="1"/>
  <c r="MO57" i="1"/>
  <c r="MN57" i="1"/>
  <c r="MM57" i="1"/>
  <c r="ML57" i="1"/>
  <c r="MK57" i="1"/>
  <c r="MJ57" i="1"/>
  <c r="MI57" i="1"/>
  <c r="MH57" i="1"/>
  <c r="MG57" i="1"/>
  <c r="MJ56" i="1"/>
  <c r="MI56" i="1"/>
  <c r="MH56" i="1"/>
  <c r="MG56" i="1"/>
  <c r="MP55" i="1"/>
  <c r="MO55" i="1"/>
  <c r="MN55" i="1"/>
  <c r="MM55" i="1"/>
  <c r="ML55" i="1"/>
  <c r="MK55" i="1"/>
  <c r="MJ55" i="1"/>
  <c r="MI55" i="1"/>
  <c r="MH55" i="1"/>
  <c r="MG55" i="1"/>
  <c r="MP54" i="1"/>
  <c r="MO54" i="1"/>
  <c r="MN54" i="1"/>
  <c r="MM54" i="1"/>
  <c r="ML54" i="1"/>
  <c r="MK54" i="1"/>
  <c r="MJ54" i="1"/>
  <c r="MI54" i="1"/>
  <c r="MH54" i="1"/>
  <c r="MG54" i="1"/>
  <c r="MP53" i="1"/>
  <c r="MO53" i="1"/>
  <c r="MN53" i="1"/>
  <c r="MM53" i="1"/>
  <c r="ML53" i="1"/>
  <c r="MK53" i="1"/>
  <c r="MJ53" i="1"/>
  <c r="MI53" i="1"/>
  <c r="MH53" i="1"/>
  <c r="MG53" i="1"/>
  <c r="MP52" i="1"/>
  <c r="MO52" i="1"/>
  <c r="MN52" i="1"/>
  <c r="MM52" i="1"/>
  <c r="ML52" i="1"/>
  <c r="MK52" i="1"/>
  <c r="MJ52" i="1"/>
  <c r="MI52" i="1"/>
  <c r="MH52" i="1"/>
  <c r="MG52" i="1"/>
  <c r="MP50" i="1"/>
  <c r="MO50" i="1"/>
  <c r="MN50" i="1"/>
  <c r="MM50" i="1"/>
  <c r="ML50" i="1"/>
  <c r="MK50" i="1"/>
  <c r="MJ50" i="1"/>
  <c r="MI50" i="1"/>
  <c r="MH50" i="1"/>
  <c r="MG50" i="1"/>
  <c r="MP49" i="1"/>
  <c r="MO49" i="1"/>
  <c r="MN49" i="1"/>
  <c r="MM49" i="1"/>
  <c r="ML49" i="1"/>
  <c r="MK49" i="1"/>
  <c r="MJ49" i="1"/>
  <c r="MI49" i="1"/>
  <c r="MH49" i="1"/>
  <c r="MG49" i="1"/>
  <c r="MP48" i="1"/>
  <c r="MO48" i="1"/>
  <c r="MN48" i="1"/>
  <c r="MM48" i="1"/>
  <c r="ML48" i="1"/>
  <c r="MK48" i="1"/>
  <c r="MJ48" i="1"/>
  <c r="MI48" i="1"/>
  <c r="MH48" i="1"/>
  <c r="MG48" i="1"/>
  <c r="MP47" i="1"/>
  <c r="MO47" i="1"/>
  <c r="MN47" i="1"/>
  <c r="MM47" i="1"/>
  <c r="ML47" i="1"/>
  <c r="MK47" i="1"/>
  <c r="MJ47" i="1"/>
  <c r="MI47" i="1"/>
  <c r="MH47" i="1"/>
  <c r="MG47" i="1"/>
  <c r="MP46" i="1"/>
  <c r="MO46" i="1"/>
  <c r="MN46" i="1"/>
  <c r="MM46" i="1"/>
  <c r="ML46" i="1"/>
  <c r="MK46" i="1"/>
  <c r="MJ46" i="1"/>
  <c r="MI46" i="1"/>
  <c r="MH46" i="1"/>
  <c r="MG46" i="1"/>
  <c r="MP45" i="1"/>
  <c r="MO45" i="1"/>
  <c r="MN45" i="1"/>
  <c r="MM45" i="1"/>
  <c r="ML45" i="1"/>
  <c r="MK45" i="1"/>
  <c r="MJ45" i="1"/>
  <c r="MI45" i="1"/>
  <c r="MH45" i="1"/>
  <c r="MG45" i="1"/>
  <c r="MP43" i="1"/>
  <c r="MO43" i="1"/>
  <c r="MN43" i="1"/>
  <c r="MM43" i="1"/>
  <c r="ML43" i="1"/>
  <c r="MK43" i="1"/>
  <c r="MJ43" i="1"/>
  <c r="MI43" i="1"/>
  <c r="MH43" i="1"/>
  <c r="MG43" i="1"/>
  <c r="MP42" i="1"/>
  <c r="MO42" i="1"/>
  <c r="MN42" i="1"/>
  <c r="MM42" i="1"/>
  <c r="ML42" i="1"/>
  <c r="MK42" i="1"/>
  <c r="MJ42" i="1"/>
  <c r="MI42" i="1"/>
  <c r="MH42" i="1"/>
  <c r="MG42" i="1"/>
  <c r="MP40" i="1"/>
  <c r="MO40" i="1"/>
  <c r="MN40" i="1"/>
  <c r="MM40" i="1"/>
  <c r="ML40" i="1"/>
  <c r="MK40" i="1"/>
  <c r="MJ40" i="1"/>
  <c r="MI40" i="1"/>
  <c r="MH40" i="1"/>
  <c r="MG40" i="1"/>
  <c r="MP39" i="1"/>
  <c r="MO39" i="1"/>
  <c r="MN39" i="1"/>
  <c r="MM39" i="1"/>
  <c r="ML39" i="1"/>
  <c r="MK39" i="1"/>
  <c r="MJ39" i="1"/>
  <c r="MI39" i="1"/>
  <c r="MH39" i="1"/>
  <c r="MG39" i="1"/>
  <c r="MP38" i="1"/>
  <c r="MO38" i="1"/>
  <c r="MN38" i="1"/>
  <c r="MM38" i="1"/>
  <c r="ML38" i="1"/>
  <c r="MK38" i="1"/>
  <c r="MJ38" i="1"/>
  <c r="MI38" i="1"/>
  <c r="MH38" i="1"/>
  <c r="MG38" i="1"/>
  <c r="MP37" i="1"/>
  <c r="MO37" i="1"/>
  <c r="MN37" i="1"/>
  <c r="MM37" i="1"/>
  <c r="ML37" i="1"/>
  <c r="MK37" i="1"/>
  <c r="MJ37" i="1"/>
  <c r="MI37" i="1"/>
  <c r="MH37" i="1"/>
  <c r="MG37" i="1"/>
  <c r="MP35" i="1"/>
  <c r="MO35" i="1"/>
  <c r="MN35" i="1"/>
  <c r="MM35" i="1"/>
  <c r="ML35" i="1"/>
  <c r="MK35" i="1"/>
  <c r="MJ35" i="1"/>
  <c r="MI35" i="1"/>
  <c r="MH35" i="1"/>
  <c r="MG35" i="1"/>
  <c r="MP34" i="1"/>
  <c r="MO34" i="1"/>
  <c r="MN34" i="1"/>
  <c r="MM34" i="1"/>
  <c r="ML34" i="1"/>
  <c r="MK34" i="1"/>
  <c r="MJ34" i="1"/>
  <c r="MI34" i="1"/>
  <c r="MH34" i="1"/>
  <c r="MG34" i="1"/>
  <c r="MP33" i="1"/>
  <c r="MO33" i="1"/>
  <c r="MN33" i="1"/>
  <c r="MM33" i="1"/>
  <c r="ML33" i="1"/>
  <c r="MK33" i="1"/>
  <c r="MJ33" i="1"/>
  <c r="MI33" i="1"/>
  <c r="MH33" i="1"/>
  <c r="MG33" i="1"/>
  <c r="MP32" i="1"/>
  <c r="MO32" i="1"/>
  <c r="MN32" i="1"/>
  <c r="MM32" i="1"/>
  <c r="ML32" i="1"/>
  <c r="MK32" i="1"/>
  <c r="MJ32" i="1"/>
  <c r="MI32" i="1"/>
  <c r="MH32" i="1"/>
  <c r="MG32" i="1"/>
  <c r="MP30" i="1"/>
  <c r="MO30" i="1"/>
  <c r="MN30" i="1"/>
  <c r="MM30" i="1"/>
  <c r="ML30" i="1"/>
  <c r="MK30" i="1"/>
  <c r="MJ30" i="1"/>
  <c r="MI30" i="1"/>
  <c r="MH30" i="1"/>
  <c r="MG30" i="1"/>
  <c r="MP29" i="1"/>
  <c r="MO29" i="1"/>
  <c r="MN29" i="1"/>
  <c r="MM29" i="1"/>
  <c r="ML29" i="1"/>
  <c r="MK29" i="1"/>
  <c r="MJ29" i="1"/>
  <c r="MI29" i="1"/>
  <c r="MH29" i="1"/>
  <c r="MG29" i="1"/>
  <c r="MP28" i="1"/>
  <c r="MO28" i="1"/>
  <c r="MN28" i="1"/>
  <c r="MM28" i="1"/>
  <c r="ML28" i="1"/>
  <c r="MK28" i="1"/>
  <c r="MJ28" i="1"/>
  <c r="MI28" i="1"/>
  <c r="MH28" i="1"/>
  <c r="MG28" i="1"/>
  <c r="MP27" i="1"/>
  <c r="MO27" i="1"/>
  <c r="MN27" i="1"/>
  <c r="MM27" i="1"/>
  <c r="ML27" i="1"/>
  <c r="MK27" i="1"/>
  <c r="MJ27" i="1"/>
  <c r="MI27" i="1"/>
  <c r="MH27" i="1"/>
  <c r="MG27" i="1"/>
  <c r="MP26" i="1"/>
  <c r="MO26" i="1"/>
  <c r="MN26" i="1"/>
  <c r="MM26" i="1"/>
  <c r="ML26" i="1"/>
  <c r="MK26" i="1"/>
  <c r="MJ26" i="1"/>
  <c r="MI26" i="1"/>
  <c r="MH26" i="1"/>
  <c r="MG26" i="1"/>
  <c r="MP25" i="1"/>
  <c r="MO25" i="1"/>
  <c r="MN25" i="1"/>
  <c r="MM25" i="1"/>
  <c r="ML25" i="1"/>
  <c r="MK25" i="1"/>
  <c r="MJ25" i="1"/>
  <c r="MI25" i="1"/>
  <c r="MH25" i="1"/>
  <c r="MG25" i="1"/>
  <c r="MP24" i="1"/>
  <c r="MO24" i="1"/>
  <c r="MN24" i="1"/>
  <c r="MM24" i="1"/>
  <c r="ML24" i="1"/>
  <c r="MK24" i="1"/>
  <c r="MJ24" i="1"/>
  <c r="MI24" i="1"/>
  <c r="MH24" i="1"/>
  <c r="MG24" i="1"/>
  <c r="MP23" i="1"/>
  <c r="MO23" i="1"/>
  <c r="MN23" i="1"/>
  <c r="MM23" i="1"/>
  <c r="ML23" i="1"/>
  <c r="MK23" i="1"/>
  <c r="MJ23" i="1"/>
  <c r="MI23" i="1"/>
  <c r="MH23" i="1"/>
  <c r="MG23" i="1"/>
  <c r="MP22" i="1"/>
  <c r="MO22" i="1"/>
  <c r="MN22" i="1"/>
  <c r="MM22" i="1"/>
  <c r="ML22" i="1"/>
  <c r="MK22" i="1"/>
  <c r="MJ22" i="1"/>
  <c r="MI22" i="1"/>
  <c r="MH22" i="1"/>
  <c r="MG22" i="1"/>
  <c r="MP20" i="1"/>
  <c r="MO20" i="1"/>
  <c r="MN20" i="1"/>
  <c r="MM20" i="1"/>
  <c r="ML20" i="1"/>
  <c r="MK20" i="1"/>
  <c r="MJ20" i="1"/>
  <c r="MI20" i="1"/>
  <c r="MH20" i="1"/>
  <c r="MG20" i="1"/>
  <c r="MP19" i="1"/>
  <c r="MO19" i="1"/>
  <c r="MN19" i="1"/>
  <c r="MM19" i="1"/>
  <c r="ML19" i="1"/>
  <c r="MK19" i="1"/>
  <c r="MJ19" i="1"/>
  <c r="MI19" i="1"/>
  <c r="MH19" i="1"/>
  <c r="MG19" i="1"/>
  <c r="MP18" i="1"/>
  <c r="MO18" i="1"/>
  <c r="MN18" i="1"/>
  <c r="MM18" i="1"/>
  <c r="ML18" i="1"/>
  <c r="MK18" i="1"/>
  <c r="MJ18" i="1"/>
  <c r="MI18" i="1"/>
  <c r="MH18" i="1"/>
  <c r="MG18" i="1"/>
  <c r="MP17" i="1"/>
  <c r="MO17" i="1"/>
  <c r="MN17" i="1"/>
  <c r="MM17" i="1"/>
  <c r="ML17" i="1"/>
  <c r="MK17" i="1"/>
  <c r="MJ17" i="1"/>
  <c r="MI17" i="1"/>
  <c r="MH17" i="1"/>
  <c r="MG17" i="1"/>
  <c r="MP16" i="1"/>
  <c r="MO16" i="1"/>
  <c r="MN16" i="1"/>
  <c r="MM16" i="1"/>
  <c r="ML16" i="1"/>
  <c r="MK16" i="1"/>
  <c r="MJ16" i="1"/>
  <c r="MI16" i="1"/>
  <c r="MH16" i="1"/>
  <c r="MG16" i="1"/>
  <c r="MP15" i="1"/>
  <c r="MO15" i="1"/>
  <c r="MN15" i="1"/>
  <c r="MM15" i="1"/>
  <c r="ML15" i="1"/>
  <c r="MK15" i="1"/>
  <c r="MJ15" i="1"/>
  <c r="MI15" i="1"/>
  <c r="MH15" i="1"/>
  <c r="MG15" i="1"/>
  <c r="MP14" i="1"/>
  <c r="MO14" i="1"/>
  <c r="MN14" i="1"/>
  <c r="MM14" i="1"/>
  <c r="ML14" i="1"/>
  <c r="MK14" i="1"/>
  <c r="MJ14" i="1"/>
  <c r="MI14" i="1"/>
  <c r="MH14" i="1"/>
  <c r="MG14" i="1"/>
  <c r="MP13" i="1"/>
  <c r="MO13" i="1"/>
  <c r="MN13" i="1"/>
  <c r="MM13" i="1"/>
  <c r="ML13" i="1"/>
  <c r="MK13" i="1"/>
  <c r="MJ13" i="1"/>
  <c r="MI13" i="1"/>
  <c r="MH13" i="1"/>
  <c r="MG13" i="1"/>
  <c r="MP11" i="1"/>
  <c r="MO11" i="1"/>
  <c r="MN11" i="1"/>
  <c r="MM11" i="1"/>
  <c r="ML11" i="1"/>
  <c r="MK11" i="1"/>
  <c r="MJ11" i="1"/>
  <c r="MI11" i="1"/>
  <c r="MH11" i="1"/>
  <c r="MG11" i="1"/>
  <c r="MP10" i="1"/>
  <c r="MO10" i="1"/>
  <c r="MN10" i="1"/>
  <c r="MM10" i="1"/>
  <c r="ML10" i="1"/>
  <c r="MK10" i="1"/>
  <c r="MJ10" i="1"/>
  <c r="MI10" i="1"/>
  <c r="MH10" i="1"/>
  <c r="MG10" i="1"/>
  <c r="EA204" i="1"/>
  <c r="DZ204" i="1"/>
  <c r="DY204" i="1"/>
  <c r="DX204" i="1"/>
  <c r="DW204" i="1"/>
  <c r="DV204" i="1"/>
  <c r="DU204" i="1"/>
  <c r="DT204" i="1"/>
  <c r="DS204" i="1"/>
  <c r="DR204" i="1"/>
  <c r="DQ204" i="1"/>
  <c r="DP204" i="1"/>
  <c r="EB64" i="1"/>
  <c r="EB63" i="1"/>
  <c r="EB62" i="1"/>
  <c r="EB61" i="1"/>
  <c r="EB60" i="1"/>
  <c r="EB59" i="1"/>
  <c r="EB58" i="1"/>
  <c r="EB57" i="1"/>
  <c r="EB56" i="1"/>
  <c r="EB55" i="1"/>
  <c r="EB54" i="1"/>
  <c r="EB53" i="1"/>
  <c r="EB52" i="1"/>
  <c r="EB48" i="1"/>
  <c r="EB45" i="1"/>
  <c r="EB38" i="1"/>
  <c r="EB37" i="1"/>
  <c r="EB28" i="1"/>
  <c r="EB27" i="1"/>
  <c r="EB26" i="1"/>
  <c r="EB25" i="1"/>
  <c r="EB24" i="1"/>
  <c r="EB23" i="1"/>
  <c r="EB22" i="1"/>
  <c r="EB13" i="1"/>
  <c r="EB7" i="1"/>
  <c r="EB6" i="1"/>
  <c r="EA4" i="1"/>
  <c r="DZ4" i="1"/>
  <c r="DY4" i="1"/>
  <c r="DX4" i="1"/>
  <c r="DW4" i="1"/>
  <c r="DV4" i="1"/>
  <c r="EB5" i="1"/>
  <c r="EB40" i="1" s="1"/>
  <c r="EB50" i="1"/>
  <c r="EB204" i="1"/>
  <c r="DT4" i="1"/>
  <c r="DS4" i="1"/>
  <c r="DQ4" i="1"/>
  <c r="DU4" i="1"/>
  <c r="EB39" i="1"/>
  <c r="EB49" i="1"/>
  <c r="DG11" i="1"/>
  <c r="DR4" i="1"/>
  <c r="EB11" i="1"/>
  <c r="DP4" i="1"/>
  <c r="EB4" i="1"/>
  <c r="EC61" i="1" s="1"/>
  <c r="EB46" i="1"/>
  <c r="DG52" i="1"/>
  <c r="DG50" i="1"/>
  <c r="DG43" i="1"/>
  <c r="DG35" i="1"/>
  <c r="DG34" i="1"/>
  <c r="DG22" i="1"/>
  <c r="DG20" i="1"/>
  <c r="DG19" i="1"/>
  <c r="LZ19" i="1" s="1"/>
  <c r="DG18" i="1"/>
  <c r="LZ18" i="1" s="1"/>
  <c r="DG49" i="1"/>
  <c r="DG39" i="1"/>
  <c r="DG40" i="1"/>
  <c r="DG46" i="1"/>
  <c r="DF38" i="1"/>
  <c r="DF37" i="1"/>
  <c r="DF5" i="1"/>
  <c r="DF11" i="1"/>
  <c r="DF52" i="1"/>
  <c r="DF50" i="1"/>
  <c r="DF43" i="1"/>
  <c r="DF39" i="1"/>
  <c r="DF46" i="1"/>
  <c r="DF35" i="1"/>
  <c r="DF34" i="1"/>
  <c r="DF22" i="1"/>
  <c r="DF49" i="1"/>
  <c r="DF20" i="1"/>
  <c r="DF19" i="1"/>
  <c r="DF18" i="1"/>
  <c r="LY18" i="1" s="1"/>
  <c r="DF40" i="1"/>
  <c r="DE38" i="1"/>
  <c r="DE11" i="1"/>
  <c r="DE37" i="1"/>
  <c r="DE5" i="1"/>
  <c r="LX56" i="1"/>
  <c r="DE34" i="1"/>
  <c r="DE52" i="1"/>
  <c r="DE50" i="1"/>
  <c r="DE43" i="1"/>
  <c r="DE39" i="1"/>
  <c r="DE40" i="1"/>
  <c r="LX40" i="1" s="1"/>
  <c r="DE35" i="1"/>
  <c r="DE22" i="1"/>
  <c r="DE49" i="1"/>
  <c r="DE19" i="1"/>
  <c r="LX19" i="1" s="1"/>
  <c r="DE18" i="1"/>
  <c r="DE20" i="1"/>
  <c r="DE46" i="1"/>
  <c r="DD38" i="1"/>
  <c r="DD11" i="1"/>
  <c r="DD37" i="1"/>
  <c r="DD5" i="1"/>
  <c r="DD52" i="1"/>
  <c r="DD50" i="1"/>
  <c r="DD43" i="1"/>
  <c r="DD39" i="1"/>
  <c r="DD35" i="1"/>
  <c r="DD34" i="1"/>
  <c r="DD22" i="1"/>
  <c r="DD49" i="1"/>
  <c r="DD20" i="1"/>
  <c r="DD19" i="1"/>
  <c r="DD18" i="1"/>
  <c r="LW18" i="1" s="1"/>
  <c r="DD40" i="1"/>
  <c r="DD46" i="1"/>
  <c r="DC38" i="1"/>
  <c r="DC37" i="1"/>
  <c r="DB37" i="1"/>
  <c r="DB38" i="1"/>
  <c r="DC5" i="1"/>
  <c r="DC11" i="1"/>
  <c r="HX67" i="1"/>
  <c r="DC20" i="1"/>
  <c r="DC52" i="1"/>
  <c r="DC50" i="1"/>
  <c r="DC43" i="1"/>
  <c r="DC39" i="1"/>
  <c r="DC46" i="1"/>
  <c r="DC35" i="1"/>
  <c r="DC22" i="1"/>
  <c r="DC49" i="1"/>
  <c r="DC18" i="1"/>
  <c r="LV18" i="1" s="1"/>
  <c r="DC34" i="1"/>
  <c r="DC19" i="1"/>
  <c r="DC40" i="1"/>
  <c r="LV40" i="1" s="1"/>
  <c r="DB5" i="1"/>
  <c r="DB52" i="1"/>
  <c r="Z68" i="22"/>
  <c r="Z67" i="22"/>
  <c r="Z66" i="22"/>
  <c r="Z65" i="22"/>
  <c r="Z64" i="22"/>
  <c r="Z63" i="22"/>
  <c r="Z49" i="22"/>
  <c r="Z42" i="22"/>
  <c r="Z41" i="22"/>
  <c r="Z40" i="22"/>
  <c r="Z39" i="22"/>
  <c r="Z34" i="22"/>
  <c r="Z33" i="22"/>
  <c r="Z32" i="22"/>
  <c r="Z31" i="22"/>
  <c r="Z30" i="22"/>
  <c r="Z29" i="22"/>
  <c r="Z28" i="22"/>
  <c r="Z20" i="22"/>
  <c r="Z19" i="22"/>
  <c r="Z18" i="22"/>
  <c r="Z16" i="22"/>
  <c r="Z15" i="22"/>
  <c r="Z14" i="22"/>
  <c r="Z13" i="22"/>
  <c r="Z11" i="22"/>
  <c r="Z9" i="22"/>
  <c r="Z8" i="22"/>
  <c r="DB11" i="1"/>
  <c r="DB50" i="1"/>
  <c r="DB39" i="1"/>
  <c r="DB46" i="1"/>
  <c r="DB34" i="1"/>
  <c r="DB22" i="1"/>
  <c r="DB49" i="1"/>
  <c r="DB19" i="1"/>
  <c r="LU19" i="1" s="1"/>
  <c r="DB18" i="1"/>
  <c r="DB40" i="1"/>
  <c r="LU40" i="1" s="1"/>
  <c r="CY5" i="1"/>
  <c r="CY38" i="1"/>
  <c r="CY37" i="1"/>
  <c r="LT56" i="1"/>
  <c r="CY52" i="1"/>
  <c r="CY50" i="1"/>
  <c r="CY39" i="1"/>
  <c r="CY34" i="1"/>
  <c r="CY22" i="1"/>
  <c r="CY49" i="1"/>
  <c r="CY19" i="1"/>
  <c r="LT19" i="1" s="1"/>
  <c r="CY18" i="1"/>
  <c r="LT18" i="1" s="1"/>
  <c r="CY46" i="1"/>
  <c r="CY40" i="1"/>
  <c r="CX38" i="1"/>
  <c r="CX37" i="1"/>
  <c r="CX5" i="1"/>
  <c r="LS56" i="1"/>
  <c r="CX52" i="1"/>
  <c r="CX50" i="1"/>
  <c r="CX34" i="1"/>
  <c r="CX22" i="1"/>
  <c r="CX49" i="1"/>
  <c r="CX19" i="1"/>
  <c r="LS19" i="1" s="1"/>
  <c r="CX18" i="1"/>
  <c r="LS18" i="1" s="1"/>
  <c r="CX39" i="1"/>
  <c r="CW5" i="1"/>
  <c r="CW38" i="1"/>
  <c r="CW37" i="1"/>
  <c r="CX40" i="1"/>
  <c r="CX46" i="1"/>
  <c r="LR56" i="1"/>
  <c r="CY11" i="1"/>
  <c r="CY43" i="1"/>
  <c r="CW11" i="1"/>
  <c r="CY20" i="1"/>
  <c r="CY35" i="1"/>
  <c r="CW22" i="1"/>
  <c r="CW49" i="1"/>
  <c r="CW19" i="1"/>
  <c r="CW52" i="1"/>
  <c r="CW50" i="1"/>
  <c r="CW39" i="1"/>
  <c r="CW34" i="1"/>
  <c r="CW18" i="1"/>
  <c r="IT18" i="1" s="1"/>
  <c r="CW40" i="1"/>
  <c r="CW46" i="1"/>
  <c r="IV13" i="1"/>
  <c r="IW13" i="1" s="1"/>
  <c r="IV70" i="1"/>
  <c r="IW70" i="1" s="1"/>
  <c r="IV69" i="1"/>
  <c r="IW69" i="1" s="1"/>
  <c r="IV68" i="1"/>
  <c r="IW68" i="1" s="1"/>
  <c r="IV67" i="1"/>
  <c r="IW67" i="1" s="1"/>
  <c r="IV66" i="1"/>
  <c r="IW66" i="1" s="1"/>
  <c r="IV64" i="1"/>
  <c r="IW64" i="1" s="1"/>
  <c r="IV63" i="1"/>
  <c r="IW63" i="1" s="1"/>
  <c r="IV62" i="1"/>
  <c r="IW62" i="1" s="1"/>
  <c r="IV61" i="1"/>
  <c r="IW61" i="1" s="1"/>
  <c r="IV60" i="1"/>
  <c r="IW60" i="1" s="1"/>
  <c r="IV59" i="1"/>
  <c r="IW59" i="1" s="1"/>
  <c r="IV58" i="1"/>
  <c r="IW58" i="1" s="1"/>
  <c r="IV57" i="1"/>
  <c r="IW57" i="1" s="1"/>
  <c r="IV56" i="1"/>
  <c r="IW56" i="1" s="1"/>
  <c r="IV55" i="1"/>
  <c r="IW55" i="1" s="1"/>
  <c r="IV54" i="1"/>
  <c r="IW54" i="1" s="1"/>
  <c r="IV53" i="1"/>
  <c r="IW53" i="1" s="1"/>
  <c r="IV48" i="1"/>
  <c r="IW48" i="1" s="1"/>
  <c r="IV45" i="1"/>
  <c r="IW45" i="1" s="1"/>
  <c r="IV42" i="1"/>
  <c r="IW42" i="1" s="1"/>
  <c r="IV33" i="1"/>
  <c r="IW33" i="1" s="1"/>
  <c r="IV32" i="1"/>
  <c r="IW32" i="1" s="1"/>
  <c r="IV29" i="1"/>
  <c r="IW29" i="1" s="1"/>
  <c r="IV28" i="1"/>
  <c r="IW28" i="1" s="1"/>
  <c r="IV27" i="1"/>
  <c r="IW27" i="1"/>
  <c r="IV25" i="1"/>
  <c r="IW25" i="1" s="1"/>
  <c r="IV24" i="1"/>
  <c r="IW24" i="1" s="1"/>
  <c r="IV23" i="1"/>
  <c r="IW23" i="1" s="1"/>
  <c r="IV15" i="1"/>
  <c r="IW15" i="1" s="1"/>
  <c r="CV5" i="1"/>
  <c r="CV38" i="1"/>
  <c r="CV37" i="1"/>
  <c r="CU5" i="1"/>
  <c r="LQ56" i="1"/>
  <c r="E8" i="23"/>
  <c r="E9" i="23" s="1"/>
  <c r="E10" i="23" s="1"/>
  <c r="F8" i="23"/>
  <c r="F9" i="23" s="1"/>
  <c r="F10" i="23" s="1"/>
  <c r="G8" i="23"/>
  <c r="G9" i="23" s="1"/>
  <c r="G10" i="23" s="1"/>
  <c r="H8" i="23"/>
  <c r="H9" i="23" s="1"/>
  <c r="H10" i="23" s="1"/>
  <c r="I8" i="23"/>
  <c r="I9" i="23" s="1"/>
  <c r="I10" i="23" s="1"/>
  <c r="J8" i="23"/>
  <c r="J9" i="23" s="1"/>
  <c r="J10" i="23" s="1"/>
  <c r="K8" i="23"/>
  <c r="L8" i="23"/>
  <c r="M8" i="23"/>
  <c r="N8" i="23"/>
  <c r="D8" i="23"/>
  <c r="D9" i="23" s="1"/>
  <c r="D10" i="23" s="1"/>
  <c r="C8" i="23"/>
  <c r="E7" i="23"/>
  <c r="F7" i="23"/>
  <c r="G7" i="23"/>
  <c r="H7" i="23"/>
  <c r="I7" i="23"/>
  <c r="J7" i="23"/>
  <c r="K7" i="23"/>
  <c r="K9" i="23" s="1"/>
  <c r="K10" i="23" s="1"/>
  <c r="L7" i="23"/>
  <c r="L9" i="23" s="1"/>
  <c r="L10" i="23" s="1"/>
  <c r="M7" i="23"/>
  <c r="M9" i="23"/>
  <c r="M10" i="23" s="1"/>
  <c r="N7" i="23"/>
  <c r="N9" i="23"/>
  <c r="N10" i="23" s="1"/>
  <c r="D7" i="23"/>
  <c r="ME10" i="1"/>
  <c r="MF10" i="1"/>
  <c r="ME11" i="1"/>
  <c r="ME13" i="1"/>
  <c r="MF13" i="1"/>
  <c r="ME14" i="1"/>
  <c r="MF14" i="1"/>
  <c r="ME15" i="1"/>
  <c r="MF15" i="1"/>
  <c r="ME16" i="1"/>
  <c r="MF16" i="1"/>
  <c r="ME17" i="1"/>
  <c r="MF17" i="1"/>
  <c r="ME18" i="1"/>
  <c r="MF18" i="1"/>
  <c r="ME19" i="1"/>
  <c r="MF19" i="1"/>
  <c r="ME20" i="1"/>
  <c r="MF20" i="1"/>
  <c r="ME22" i="1"/>
  <c r="MF22" i="1"/>
  <c r="ME23" i="1"/>
  <c r="MF23" i="1"/>
  <c r="ME24" i="1"/>
  <c r="MF24" i="1"/>
  <c r="ME25" i="1"/>
  <c r="MF25" i="1"/>
  <c r="ME26" i="1"/>
  <c r="MF26" i="1"/>
  <c r="ME27" i="1"/>
  <c r="MF27" i="1"/>
  <c r="ME28" i="1"/>
  <c r="MF28" i="1"/>
  <c r="ME29" i="1"/>
  <c r="MF29" i="1"/>
  <c r="ME30" i="1"/>
  <c r="MF30" i="1"/>
  <c r="ME32" i="1"/>
  <c r="MF32" i="1"/>
  <c r="ME33" i="1"/>
  <c r="MF33" i="1"/>
  <c r="ME34" i="1"/>
  <c r="MF34" i="1"/>
  <c r="ME35" i="1"/>
  <c r="MF35" i="1"/>
  <c r="ME37" i="1"/>
  <c r="MF37" i="1"/>
  <c r="ME38" i="1"/>
  <c r="MF38" i="1"/>
  <c r="ME39" i="1"/>
  <c r="MF39" i="1"/>
  <c r="ME40" i="1"/>
  <c r="MF40" i="1"/>
  <c r="ME42" i="1"/>
  <c r="MF42" i="1"/>
  <c r="ME43" i="1"/>
  <c r="MF43" i="1"/>
  <c r="ME45" i="1"/>
  <c r="MF45" i="1"/>
  <c r="ME46" i="1"/>
  <c r="MF46" i="1"/>
  <c r="ME47" i="1"/>
  <c r="MF47" i="1"/>
  <c r="ME48" i="1"/>
  <c r="MF48" i="1"/>
  <c r="ME49" i="1"/>
  <c r="MF49" i="1"/>
  <c r="ME50" i="1"/>
  <c r="MF50" i="1"/>
  <c r="ME52" i="1"/>
  <c r="MF52" i="1"/>
  <c r="ME53" i="1"/>
  <c r="MF53" i="1"/>
  <c r="ME54" i="1"/>
  <c r="MF54" i="1"/>
  <c r="ME55" i="1"/>
  <c r="MF55" i="1"/>
  <c r="ME57" i="1"/>
  <c r="MF57" i="1"/>
  <c r="ME58" i="1"/>
  <c r="MF58" i="1"/>
  <c r="ME59" i="1"/>
  <c r="MF59" i="1"/>
  <c r="ME60" i="1"/>
  <c r="MF60" i="1"/>
  <c r="ME61" i="1"/>
  <c r="MF61" i="1"/>
  <c r="ME62" i="1"/>
  <c r="MF62" i="1"/>
  <c r="ME63" i="1"/>
  <c r="MF63" i="1"/>
  <c r="ME64" i="1"/>
  <c r="MF64" i="1"/>
  <c r="ME66" i="1"/>
  <c r="MF66" i="1"/>
  <c r="ME67" i="1"/>
  <c r="MF67" i="1"/>
  <c r="ME68" i="1"/>
  <c r="MF68" i="1"/>
  <c r="ME69" i="1"/>
  <c r="MF69" i="1"/>
  <c r="ME70" i="1"/>
  <c r="MF70" i="1"/>
  <c r="MD70" i="1"/>
  <c r="MC70" i="1"/>
  <c r="MB70" i="1"/>
  <c r="MA70" i="1"/>
  <c r="LZ70" i="1"/>
  <c r="LY70" i="1"/>
  <c r="LX70" i="1"/>
  <c r="LW70" i="1"/>
  <c r="LV70" i="1"/>
  <c r="LU70" i="1"/>
  <c r="MD69" i="1"/>
  <c r="MC69" i="1"/>
  <c r="MB69" i="1"/>
  <c r="MA69" i="1"/>
  <c r="LZ69" i="1"/>
  <c r="LY69" i="1"/>
  <c r="LX69" i="1"/>
  <c r="LW69" i="1"/>
  <c r="LV69" i="1"/>
  <c r="LU69" i="1"/>
  <c r="MD68" i="1"/>
  <c r="MC68" i="1"/>
  <c r="MB68" i="1"/>
  <c r="MA68" i="1"/>
  <c r="LZ68" i="1"/>
  <c r="LY68" i="1"/>
  <c r="LX68" i="1"/>
  <c r="LW68" i="1"/>
  <c r="LV68" i="1"/>
  <c r="LU68" i="1"/>
  <c r="MD67" i="1"/>
  <c r="MC67" i="1"/>
  <c r="MB67" i="1"/>
  <c r="MA67" i="1"/>
  <c r="LZ67" i="1"/>
  <c r="LY67" i="1"/>
  <c r="LX67" i="1"/>
  <c r="LW67" i="1"/>
  <c r="LV67" i="1"/>
  <c r="LU67" i="1"/>
  <c r="MD66" i="1"/>
  <c r="MC66" i="1"/>
  <c r="MB66" i="1"/>
  <c r="MA66" i="1"/>
  <c r="LZ66" i="1"/>
  <c r="LY66" i="1"/>
  <c r="LX66" i="1"/>
  <c r="LW66" i="1"/>
  <c r="LV66" i="1"/>
  <c r="LU66" i="1"/>
  <c r="MD64" i="1"/>
  <c r="MC64" i="1"/>
  <c r="MB64" i="1"/>
  <c r="MA64" i="1"/>
  <c r="LZ64" i="1"/>
  <c r="LY64" i="1"/>
  <c r="LX64" i="1"/>
  <c r="LW64" i="1"/>
  <c r="LV64" i="1"/>
  <c r="LU64" i="1"/>
  <c r="MD63" i="1"/>
  <c r="MC63" i="1"/>
  <c r="MB63" i="1"/>
  <c r="MA63" i="1"/>
  <c r="LZ63" i="1"/>
  <c r="LY63" i="1"/>
  <c r="LX63" i="1"/>
  <c r="LW63" i="1"/>
  <c r="LV63" i="1"/>
  <c r="LU63" i="1"/>
  <c r="MD62" i="1"/>
  <c r="MC62" i="1"/>
  <c r="MB62" i="1"/>
  <c r="MA62" i="1"/>
  <c r="LZ62" i="1"/>
  <c r="LY62" i="1"/>
  <c r="LX62" i="1"/>
  <c r="LW62" i="1"/>
  <c r="LV62" i="1"/>
  <c r="LU62" i="1"/>
  <c r="MD61" i="1"/>
  <c r="MC61" i="1"/>
  <c r="MB61" i="1"/>
  <c r="MA61" i="1"/>
  <c r="LZ61" i="1"/>
  <c r="LY61" i="1"/>
  <c r="LX61" i="1"/>
  <c r="LW61" i="1"/>
  <c r="LV61" i="1"/>
  <c r="LU61" i="1"/>
  <c r="MD60" i="1"/>
  <c r="MC60" i="1"/>
  <c r="MB60" i="1"/>
  <c r="MA60" i="1"/>
  <c r="LZ60" i="1"/>
  <c r="LY60" i="1"/>
  <c r="LX60" i="1"/>
  <c r="LW60" i="1"/>
  <c r="LV60" i="1"/>
  <c r="LU60" i="1"/>
  <c r="MD59" i="1"/>
  <c r="MC59" i="1"/>
  <c r="MB59" i="1"/>
  <c r="MA59" i="1"/>
  <c r="LZ59" i="1"/>
  <c r="LY59" i="1"/>
  <c r="LX59" i="1"/>
  <c r="LW59" i="1"/>
  <c r="LV59" i="1"/>
  <c r="LU59" i="1"/>
  <c r="MD58" i="1"/>
  <c r="MC58" i="1"/>
  <c r="MB58" i="1"/>
  <c r="MA58" i="1"/>
  <c r="LZ58" i="1"/>
  <c r="LY58" i="1"/>
  <c r="LX58" i="1"/>
  <c r="LW58" i="1"/>
  <c r="LV58" i="1"/>
  <c r="LU58" i="1"/>
  <c r="MD57" i="1"/>
  <c r="MC57" i="1"/>
  <c r="MB57" i="1"/>
  <c r="MA57" i="1"/>
  <c r="LZ57" i="1"/>
  <c r="LY57" i="1"/>
  <c r="LX57" i="1"/>
  <c r="LW57" i="1"/>
  <c r="LV57" i="1"/>
  <c r="LU57" i="1"/>
  <c r="LZ56" i="1"/>
  <c r="LY56" i="1"/>
  <c r="LW56" i="1"/>
  <c r="LV56" i="1"/>
  <c r="LU56" i="1"/>
  <c r="MD55" i="1"/>
  <c r="MC55" i="1"/>
  <c r="MB55" i="1"/>
  <c r="MA55" i="1"/>
  <c r="LZ55" i="1"/>
  <c r="LY55" i="1"/>
  <c r="LX55" i="1"/>
  <c r="LW55" i="1"/>
  <c r="LV55" i="1"/>
  <c r="LU55" i="1"/>
  <c r="MD54" i="1"/>
  <c r="MC54" i="1"/>
  <c r="MB54" i="1"/>
  <c r="MA54" i="1"/>
  <c r="LZ54" i="1"/>
  <c r="LY54" i="1"/>
  <c r="LX54" i="1"/>
  <c r="LW54" i="1"/>
  <c r="LV54" i="1"/>
  <c r="LU54" i="1"/>
  <c r="MD53" i="1"/>
  <c r="MC53" i="1"/>
  <c r="MB53" i="1"/>
  <c r="MA53" i="1"/>
  <c r="LZ53" i="1"/>
  <c r="LY53" i="1"/>
  <c r="LX53" i="1"/>
  <c r="LW53" i="1"/>
  <c r="LV53" i="1"/>
  <c r="LU53" i="1"/>
  <c r="MD52" i="1"/>
  <c r="MC52" i="1"/>
  <c r="MB52" i="1"/>
  <c r="MA52" i="1"/>
  <c r="LZ52" i="1"/>
  <c r="LY52" i="1"/>
  <c r="LX52" i="1"/>
  <c r="LW52" i="1"/>
  <c r="LV52" i="1"/>
  <c r="LU52" i="1"/>
  <c r="MD50" i="1"/>
  <c r="MC50" i="1"/>
  <c r="MB50" i="1"/>
  <c r="MA50" i="1"/>
  <c r="LZ50" i="1"/>
  <c r="LY50" i="1"/>
  <c r="LX50" i="1"/>
  <c r="LW50" i="1"/>
  <c r="LV50" i="1"/>
  <c r="LU50" i="1"/>
  <c r="MD49" i="1"/>
  <c r="MB49" i="1"/>
  <c r="MA49" i="1"/>
  <c r="LZ49" i="1"/>
  <c r="LY49" i="1"/>
  <c r="LX49" i="1"/>
  <c r="LW49" i="1"/>
  <c r="LV49" i="1"/>
  <c r="LU49" i="1"/>
  <c r="MD48" i="1"/>
  <c r="MC48" i="1"/>
  <c r="MB48" i="1"/>
  <c r="MA48" i="1"/>
  <c r="LZ48" i="1"/>
  <c r="LY48" i="1"/>
  <c r="LX48" i="1"/>
  <c r="LW48" i="1"/>
  <c r="LV48" i="1"/>
  <c r="LU48" i="1"/>
  <c r="MD46" i="1"/>
  <c r="MB46" i="1"/>
  <c r="MA46" i="1"/>
  <c r="LZ46" i="1"/>
  <c r="LY46" i="1"/>
  <c r="LX46" i="1"/>
  <c r="LW46" i="1"/>
  <c r="LV46" i="1"/>
  <c r="LU46" i="1"/>
  <c r="MD45" i="1"/>
  <c r="MC45" i="1"/>
  <c r="MB45" i="1"/>
  <c r="MA45" i="1"/>
  <c r="LZ45" i="1"/>
  <c r="LY45" i="1"/>
  <c r="LX45" i="1"/>
  <c r="LW45" i="1"/>
  <c r="LV45" i="1"/>
  <c r="LU45" i="1"/>
  <c r="MD43" i="1"/>
  <c r="MB43" i="1"/>
  <c r="MA43" i="1"/>
  <c r="LZ43" i="1"/>
  <c r="LY43" i="1"/>
  <c r="LX43" i="1"/>
  <c r="LW43" i="1"/>
  <c r="LV43" i="1"/>
  <c r="MD42" i="1"/>
  <c r="MC42" i="1"/>
  <c r="MB42" i="1"/>
  <c r="MA42" i="1"/>
  <c r="LZ42" i="1"/>
  <c r="LY42" i="1"/>
  <c r="LX42" i="1"/>
  <c r="LW42" i="1"/>
  <c r="LV42" i="1"/>
  <c r="LU42" i="1"/>
  <c r="MD40" i="1"/>
  <c r="MD39" i="1"/>
  <c r="MB39" i="1"/>
  <c r="MA39" i="1"/>
  <c r="LZ39" i="1"/>
  <c r="LY39" i="1"/>
  <c r="LX39" i="1"/>
  <c r="LW39" i="1"/>
  <c r="LV39" i="1"/>
  <c r="LU39" i="1"/>
  <c r="MD38" i="1"/>
  <c r="MC38" i="1"/>
  <c r="MB38" i="1"/>
  <c r="MA38" i="1"/>
  <c r="LZ38" i="1"/>
  <c r="LY38" i="1"/>
  <c r="LX38" i="1"/>
  <c r="LW38" i="1"/>
  <c r="LV38" i="1"/>
  <c r="LU38" i="1"/>
  <c r="MD37" i="1"/>
  <c r="MC37" i="1"/>
  <c r="MB37" i="1"/>
  <c r="MA37" i="1"/>
  <c r="LZ37" i="1"/>
  <c r="LY37" i="1"/>
  <c r="LX37" i="1"/>
  <c r="LW37" i="1"/>
  <c r="LV37" i="1"/>
  <c r="LU37" i="1"/>
  <c r="MD35" i="1"/>
  <c r="MC35" i="1"/>
  <c r="MB35" i="1"/>
  <c r="MA35" i="1"/>
  <c r="LZ35" i="1"/>
  <c r="LY35" i="1"/>
  <c r="LX35" i="1"/>
  <c r="LW35" i="1"/>
  <c r="LV35" i="1"/>
  <c r="MD34" i="1"/>
  <c r="MB34" i="1"/>
  <c r="MA34" i="1"/>
  <c r="LZ34" i="1"/>
  <c r="LY34" i="1"/>
  <c r="LX34" i="1"/>
  <c r="LW34" i="1"/>
  <c r="LV34" i="1"/>
  <c r="LU34" i="1"/>
  <c r="MD33" i="1"/>
  <c r="MC33" i="1"/>
  <c r="MB33" i="1"/>
  <c r="MA33" i="1"/>
  <c r="LZ33" i="1"/>
  <c r="LY33" i="1"/>
  <c r="LX33" i="1"/>
  <c r="LW33" i="1"/>
  <c r="LV33" i="1"/>
  <c r="LU33" i="1"/>
  <c r="MD32" i="1"/>
  <c r="MC32" i="1"/>
  <c r="MB32" i="1"/>
  <c r="MA32" i="1"/>
  <c r="LZ32" i="1"/>
  <c r="LY32" i="1"/>
  <c r="LX32" i="1"/>
  <c r="LW32" i="1"/>
  <c r="LV32" i="1"/>
  <c r="LU32" i="1"/>
  <c r="MD30" i="1"/>
  <c r="MC30" i="1"/>
  <c r="MB30" i="1"/>
  <c r="MA30" i="1"/>
  <c r="LZ30" i="1"/>
  <c r="LY30" i="1"/>
  <c r="LX30" i="1"/>
  <c r="LW30" i="1"/>
  <c r="LV30" i="1"/>
  <c r="LU30" i="1"/>
  <c r="MD29" i="1"/>
  <c r="MC29" i="1"/>
  <c r="MB29" i="1"/>
  <c r="MA29" i="1"/>
  <c r="LZ29" i="1"/>
  <c r="LY29" i="1"/>
  <c r="LX29" i="1"/>
  <c r="LW29" i="1"/>
  <c r="LV29" i="1"/>
  <c r="LU29" i="1"/>
  <c r="MD28" i="1"/>
  <c r="MC28" i="1"/>
  <c r="MB28" i="1"/>
  <c r="MA28" i="1"/>
  <c r="LZ28" i="1"/>
  <c r="LY28" i="1"/>
  <c r="LX28" i="1"/>
  <c r="LW28" i="1"/>
  <c r="LV28" i="1"/>
  <c r="LU28" i="1"/>
  <c r="MD27" i="1"/>
  <c r="MC27" i="1"/>
  <c r="MB27" i="1"/>
  <c r="MA27" i="1"/>
  <c r="LZ27" i="1"/>
  <c r="LY27" i="1"/>
  <c r="LX27" i="1"/>
  <c r="LW27" i="1"/>
  <c r="LV27" i="1"/>
  <c r="LU27" i="1"/>
  <c r="MD26" i="1"/>
  <c r="MC26" i="1"/>
  <c r="MB26" i="1"/>
  <c r="MA26" i="1"/>
  <c r="LZ26" i="1"/>
  <c r="LY26" i="1"/>
  <c r="LX26" i="1"/>
  <c r="LW26" i="1"/>
  <c r="LV26" i="1"/>
  <c r="LU26" i="1"/>
  <c r="MD25" i="1"/>
  <c r="MC25" i="1"/>
  <c r="MB25" i="1"/>
  <c r="MA25" i="1"/>
  <c r="LZ25" i="1"/>
  <c r="LY25" i="1"/>
  <c r="LX25" i="1"/>
  <c r="LW25" i="1"/>
  <c r="LV25" i="1"/>
  <c r="LU25" i="1"/>
  <c r="MD24" i="1"/>
  <c r="MC24" i="1"/>
  <c r="MB24" i="1"/>
  <c r="MA24" i="1"/>
  <c r="LZ24" i="1"/>
  <c r="LY24" i="1"/>
  <c r="LX24" i="1"/>
  <c r="LW24" i="1"/>
  <c r="LV24" i="1"/>
  <c r="LU24" i="1"/>
  <c r="MD23" i="1"/>
  <c r="MC23" i="1"/>
  <c r="MB23" i="1"/>
  <c r="MA23" i="1"/>
  <c r="LZ23" i="1"/>
  <c r="LY23" i="1"/>
  <c r="LX23" i="1"/>
  <c r="LW23" i="1"/>
  <c r="LV23" i="1"/>
  <c r="LU23" i="1"/>
  <c r="MD22" i="1"/>
  <c r="MC22" i="1"/>
  <c r="MB22" i="1"/>
  <c r="MA22" i="1"/>
  <c r="LZ22" i="1"/>
  <c r="LY22" i="1"/>
  <c r="LX22" i="1"/>
  <c r="LW22" i="1"/>
  <c r="LV22" i="1"/>
  <c r="LU22" i="1"/>
  <c r="MD20" i="1"/>
  <c r="MC20" i="1"/>
  <c r="MB20" i="1"/>
  <c r="MA20" i="1"/>
  <c r="LZ20" i="1"/>
  <c r="LY20" i="1"/>
  <c r="LX20" i="1"/>
  <c r="LW20" i="1"/>
  <c r="LV20" i="1"/>
  <c r="MD19" i="1"/>
  <c r="MD18" i="1"/>
  <c r="MD17" i="1"/>
  <c r="MC17" i="1"/>
  <c r="MB17" i="1"/>
  <c r="MA17" i="1"/>
  <c r="LZ17" i="1"/>
  <c r="LY17" i="1"/>
  <c r="LX17" i="1"/>
  <c r="LW17" i="1"/>
  <c r="LV17" i="1"/>
  <c r="LU17" i="1"/>
  <c r="MD16" i="1"/>
  <c r="MC16" i="1"/>
  <c r="MB16" i="1"/>
  <c r="MA16" i="1"/>
  <c r="LZ16" i="1"/>
  <c r="LY16" i="1"/>
  <c r="LX16" i="1"/>
  <c r="LW16" i="1"/>
  <c r="LV16" i="1"/>
  <c r="LU16" i="1"/>
  <c r="MD15" i="1"/>
  <c r="MC15" i="1"/>
  <c r="MB15" i="1"/>
  <c r="MA15" i="1"/>
  <c r="LZ15" i="1"/>
  <c r="LY15" i="1"/>
  <c r="LX15" i="1"/>
  <c r="LW15" i="1"/>
  <c r="LV15" i="1"/>
  <c r="LU15" i="1"/>
  <c r="MD13" i="1"/>
  <c r="MC13" i="1"/>
  <c r="MB13" i="1"/>
  <c r="MA13" i="1"/>
  <c r="LZ13" i="1"/>
  <c r="LY13" i="1"/>
  <c r="LX13" i="1"/>
  <c r="LW13" i="1"/>
  <c r="LV13" i="1"/>
  <c r="LU13" i="1"/>
  <c r="MD11" i="1"/>
  <c r="MC11" i="1"/>
  <c r="MB11" i="1"/>
  <c r="MA11" i="1"/>
  <c r="LZ11" i="1"/>
  <c r="LY11" i="1"/>
  <c r="LX11" i="1"/>
  <c r="LW11" i="1"/>
  <c r="LV11" i="1"/>
  <c r="MD10" i="1"/>
  <c r="MC10" i="1"/>
  <c r="MB10" i="1"/>
  <c r="MA10" i="1"/>
  <c r="LZ10" i="1"/>
  <c r="LY10" i="1"/>
  <c r="LX10" i="1"/>
  <c r="LW10" i="1"/>
  <c r="LV10" i="1"/>
  <c r="LU10" i="1"/>
  <c r="IP70" i="1"/>
  <c r="IQ70" i="1" s="1"/>
  <c r="IN70" i="1"/>
  <c r="IO70" i="1" s="1"/>
  <c r="IJ70" i="1"/>
  <c r="IK70" i="1"/>
  <c r="IH70" i="1"/>
  <c r="II70" i="1"/>
  <c r="IF70" i="1"/>
  <c r="IG70" i="1"/>
  <c r="ID70" i="1"/>
  <c r="IB70" i="1"/>
  <c r="IC70" i="1"/>
  <c r="HZ70" i="1"/>
  <c r="IA70" i="1"/>
  <c r="HX70" i="1"/>
  <c r="HY70" i="1"/>
  <c r="HV70" i="1"/>
  <c r="HW70" i="1"/>
  <c r="IP69" i="1"/>
  <c r="IN69" i="1"/>
  <c r="IO69" i="1" s="1"/>
  <c r="IJ69" i="1"/>
  <c r="IK69" i="1"/>
  <c r="IH69" i="1"/>
  <c r="IF69" i="1"/>
  <c r="ID69" i="1"/>
  <c r="IB69" i="1"/>
  <c r="HZ69" i="1"/>
  <c r="HX69" i="1"/>
  <c r="HV69" i="1"/>
  <c r="IP68" i="1"/>
  <c r="IN68" i="1"/>
  <c r="IO68" i="1" s="1"/>
  <c r="IJ68" i="1"/>
  <c r="IK68" i="1"/>
  <c r="IH68" i="1"/>
  <c r="II68" i="1"/>
  <c r="IF68" i="1"/>
  <c r="IG68" i="1"/>
  <c r="ID68" i="1"/>
  <c r="IB68" i="1"/>
  <c r="IC68" i="1"/>
  <c r="HZ68" i="1"/>
  <c r="IA68" i="1"/>
  <c r="HX68" i="1"/>
  <c r="HY68" i="1"/>
  <c r="HV68" i="1"/>
  <c r="HW68" i="1"/>
  <c r="IP67" i="1"/>
  <c r="IN67" i="1"/>
  <c r="IO67" i="1" s="1"/>
  <c r="IJ67" i="1"/>
  <c r="IK67" i="1"/>
  <c r="IH67" i="1"/>
  <c r="IF67" i="1"/>
  <c r="ID67" i="1"/>
  <c r="IB67" i="1"/>
  <c r="HZ67" i="1"/>
  <c r="HV67" i="1"/>
  <c r="IP66" i="1"/>
  <c r="IN66" i="1"/>
  <c r="IO66" i="1" s="1"/>
  <c r="IJ66" i="1"/>
  <c r="IK66" i="1"/>
  <c r="IH66" i="1"/>
  <c r="II66" i="1"/>
  <c r="IF66" i="1"/>
  <c r="IG66" i="1"/>
  <c r="ID66" i="1"/>
  <c r="IB66" i="1"/>
  <c r="IC66" i="1"/>
  <c r="HZ66" i="1"/>
  <c r="IA66" i="1"/>
  <c r="HX66" i="1"/>
  <c r="HY66" i="1"/>
  <c r="HV66" i="1"/>
  <c r="HW66" i="1"/>
  <c r="IP64" i="1"/>
  <c r="IQ64" i="1" s="1"/>
  <c r="IN64" i="1"/>
  <c r="IO64" i="1" s="1"/>
  <c r="IJ64" i="1"/>
  <c r="IK64" i="1"/>
  <c r="IH64" i="1"/>
  <c r="II64" i="1"/>
  <c r="IF64" i="1"/>
  <c r="IG64" i="1"/>
  <c r="ID64" i="1"/>
  <c r="IB64" i="1"/>
  <c r="IC64" i="1"/>
  <c r="HZ64" i="1"/>
  <c r="IA64" i="1"/>
  <c r="HX64" i="1"/>
  <c r="HY64" i="1"/>
  <c r="HV64" i="1"/>
  <c r="HW64" i="1"/>
  <c r="IP63" i="1"/>
  <c r="IQ63" i="1" s="1"/>
  <c r="IN63" i="1"/>
  <c r="IO63" i="1" s="1"/>
  <c r="IJ63" i="1"/>
  <c r="IK63" i="1"/>
  <c r="IH63" i="1"/>
  <c r="IF63" i="1"/>
  <c r="IG63" i="1"/>
  <c r="ID63" i="1"/>
  <c r="IB63" i="1"/>
  <c r="IC63" i="1"/>
  <c r="HZ63" i="1"/>
  <c r="IA63" i="1"/>
  <c r="HX63" i="1"/>
  <c r="HY63" i="1"/>
  <c r="HV63" i="1"/>
  <c r="HW63" i="1"/>
  <c r="IP62" i="1"/>
  <c r="IQ62" i="1" s="1"/>
  <c r="IN62" i="1"/>
  <c r="IJ62" i="1"/>
  <c r="IH62" i="1"/>
  <c r="IF62" i="1"/>
  <c r="IG62" i="1"/>
  <c r="ID62" i="1"/>
  <c r="IB62" i="1"/>
  <c r="HZ62" i="1"/>
  <c r="HX62" i="1"/>
  <c r="HV62" i="1"/>
  <c r="IP61" i="1"/>
  <c r="IN61" i="1"/>
  <c r="IJ61" i="1"/>
  <c r="IK61" i="1"/>
  <c r="IH61" i="1"/>
  <c r="IF61" i="1"/>
  <c r="IG61" i="1"/>
  <c r="ID61" i="1"/>
  <c r="IB61" i="1"/>
  <c r="HZ61" i="1"/>
  <c r="HX61" i="1"/>
  <c r="HY61" i="1"/>
  <c r="HV61" i="1"/>
  <c r="IP60" i="1"/>
  <c r="IN60" i="1"/>
  <c r="IO60" i="1" s="1"/>
  <c r="IJ60" i="1"/>
  <c r="IK60" i="1"/>
  <c r="IH60" i="1"/>
  <c r="II60" i="1"/>
  <c r="IF60" i="1"/>
  <c r="IG60" i="1"/>
  <c r="ID60" i="1"/>
  <c r="IB60" i="1"/>
  <c r="IC60" i="1"/>
  <c r="HZ60" i="1"/>
  <c r="IA60" i="1"/>
  <c r="HX60" i="1"/>
  <c r="HY60" i="1"/>
  <c r="HV60" i="1"/>
  <c r="HW60" i="1"/>
  <c r="IP59" i="1"/>
  <c r="IN59" i="1"/>
  <c r="IO59" i="1" s="1"/>
  <c r="IJ59" i="1"/>
  <c r="IK59" i="1"/>
  <c r="IH59" i="1"/>
  <c r="IF59" i="1"/>
  <c r="IG59" i="1"/>
  <c r="ID59" i="1"/>
  <c r="IB59" i="1"/>
  <c r="IC59" i="1"/>
  <c r="HZ59" i="1"/>
  <c r="IA59" i="1"/>
  <c r="HX59" i="1"/>
  <c r="HY59" i="1"/>
  <c r="HV59" i="1"/>
  <c r="IP58" i="1"/>
  <c r="IN58" i="1"/>
  <c r="IO58" i="1" s="1"/>
  <c r="IJ58" i="1"/>
  <c r="IK58" i="1"/>
  <c r="IH58" i="1"/>
  <c r="II58" i="1"/>
  <c r="IF58" i="1"/>
  <c r="IG58" i="1"/>
  <c r="ID58" i="1"/>
  <c r="IB58" i="1"/>
  <c r="IC58" i="1"/>
  <c r="HZ58" i="1"/>
  <c r="IA58" i="1"/>
  <c r="HX58" i="1"/>
  <c r="HY58" i="1"/>
  <c r="HV58" i="1"/>
  <c r="HW58" i="1"/>
  <c r="IP57" i="1"/>
  <c r="IN57" i="1"/>
  <c r="IO57" i="1" s="1"/>
  <c r="IJ57" i="1"/>
  <c r="IK57" i="1"/>
  <c r="IH57" i="1"/>
  <c r="II57" i="1"/>
  <c r="IF57" i="1"/>
  <c r="IG57" i="1"/>
  <c r="ID57" i="1"/>
  <c r="IB57" i="1"/>
  <c r="IC57" i="1"/>
  <c r="HZ57" i="1"/>
  <c r="IA57" i="1"/>
  <c r="HX57" i="1"/>
  <c r="HY57" i="1"/>
  <c r="HV57" i="1"/>
  <c r="HW57" i="1"/>
  <c r="IP56" i="1"/>
  <c r="IQ56" i="1" s="1"/>
  <c r="IN56" i="1"/>
  <c r="IJ56" i="1"/>
  <c r="IH56" i="1"/>
  <c r="IF56" i="1"/>
  <c r="IG56" i="1"/>
  <c r="ID56" i="1"/>
  <c r="IB56" i="1"/>
  <c r="HZ56" i="1"/>
  <c r="HX56" i="1"/>
  <c r="HV56" i="1"/>
  <c r="IP55" i="1"/>
  <c r="IQ55" i="1"/>
  <c r="IN55" i="1"/>
  <c r="IO55" i="1" s="1"/>
  <c r="IJ55" i="1"/>
  <c r="IK55" i="1"/>
  <c r="IH55" i="1"/>
  <c r="IF55" i="1"/>
  <c r="IG55" i="1"/>
  <c r="ID55" i="1"/>
  <c r="IB55" i="1"/>
  <c r="IC55" i="1"/>
  <c r="HZ55" i="1"/>
  <c r="IA55" i="1"/>
  <c r="HX55" i="1"/>
  <c r="HY55" i="1"/>
  <c r="HV55" i="1"/>
  <c r="HW55" i="1"/>
  <c r="IP54" i="1"/>
  <c r="IQ54" i="1" s="1"/>
  <c r="IN54" i="1"/>
  <c r="IJ54" i="1"/>
  <c r="IH54" i="1"/>
  <c r="IF54" i="1"/>
  <c r="IG54" i="1"/>
  <c r="ID54" i="1"/>
  <c r="IB54" i="1"/>
  <c r="HZ54" i="1"/>
  <c r="HX54" i="1"/>
  <c r="HV54" i="1"/>
  <c r="IP53" i="1"/>
  <c r="IN53" i="1"/>
  <c r="IO53" i="1" s="1"/>
  <c r="IJ53" i="1"/>
  <c r="IK53" i="1"/>
  <c r="IH53" i="1"/>
  <c r="IF53" i="1"/>
  <c r="IG53" i="1"/>
  <c r="ID53" i="1"/>
  <c r="IB53" i="1"/>
  <c r="HZ53" i="1"/>
  <c r="HX53" i="1"/>
  <c r="HY53" i="1"/>
  <c r="HV53" i="1"/>
  <c r="IP52" i="1"/>
  <c r="IQ52" i="1" s="1"/>
  <c r="IN52" i="1"/>
  <c r="IO52" i="1" s="1"/>
  <c r="IL52" i="1"/>
  <c r="IM52" i="1"/>
  <c r="IJ52" i="1"/>
  <c r="IK52" i="1"/>
  <c r="IH52" i="1"/>
  <c r="II52" i="1"/>
  <c r="IF52" i="1"/>
  <c r="IG52" i="1"/>
  <c r="ID52" i="1"/>
  <c r="IB52" i="1"/>
  <c r="IC52" i="1"/>
  <c r="HZ52" i="1"/>
  <c r="IA52" i="1"/>
  <c r="HX52" i="1"/>
  <c r="HY52" i="1"/>
  <c r="HV52" i="1"/>
  <c r="HW52" i="1"/>
  <c r="IP50" i="1"/>
  <c r="IQ50" i="1" s="1"/>
  <c r="IN50" i="1"/>
  <c r="IO50" i="1" s="1"/>
  <c r="IL50" i="1"/>
  <c r="IM50" i="1"/>
  <c r="IJ50" i="1"/>
  <c r="IK50" i="1"/>
  <c r="IH50" i="1"/>
  <c r="II50" i="1"/>
  <c r="IF50" i="1"/>
  <c r="IG50" i="1"/>
  <c r="ID50" i="1"/>
  <c r="IB50" i="1"/>
  <c r="IC50" i="1"/>
  <c r="HZ50" i="1"/>
  <c r="IA50" i="1"/>
  <c r="HX50" i="1"/>
  <c r="HY50" i="1"/>
  <c r="HV50" i="1"/>
  <c r="HW50" i="1"/>
  <c r="IP49" i="1"/>
  <c r="IQ49" i="1" s="1"/>
  <c r="IJ49" i="1"/>
  <c r="IK49" i="1"/>
  <c r="IH49" i="1"/>
  <c r="II49" i="1"/>
  <c r="IF49" i="1"/>
  <c r="IG49" i="1"/>
  <c r="ID49" i="1"/>
  <c r="IB49" i="1"/>
  <c r="IC49" i="1"/>
  <c r="HZ49" i="1"/>
  <c r="IA49" i="1"/>
  <c r="HX49" i="1"/>
  <c r="HY49" i="1"/>
  <c r="HV49" i="1"/>
  <c r="HW49" i="1"/>
  <c r="IP48" i="1"/>
  <c r="IQ48" i="1" s="1"/>
  <c r="IN48" i="1"/>
  <c r="IO48" i="1" s="1"/>
  <c r="IL48" i="1"/>
  <c r="IM48" i="1"/>
  <c r="IJ48" i="1"/>
  <c r="IK48" i="1"/>
  <c r="IH48" i="1"/>
  <c r="II48" i="1"/>
  <c r="IF48" i="1"/>
  <c r="IG48" i="1"/>
  <c r="ID48" i="1"/>
  <c r="IB48" i="1"/>
  <c r="IC48" i="1"/>
  <c r="HZ48" i="1"/>
  <c r="IA48" i="1"/>
  <c r="HX48" i="1"/>
  <c r="HY48" i="1"/>
  <c r="HV48" i="1"/>
  <c r="HW48" i="1"/>
  <c r="IP46" i="1"/>
  <c r="IQ46" i="1" s="1"/>
  <c r="IJ46" i="1"/>
  <c r="IK46" i="1"/>
  <c r="IH46" i="1"/>
  <c r="II46" i="1"/>
  <c r="IF46" i="1"/>
  <c r="IG46" i="1"/>
  <c r="ID46" i="1"/>
  <c r="IB46" i="1"/>
  <c r="IC46" i="1"/>
  <c r="HZ46" i="1"/>
  <c r="IA46" i="1"/>
  <c r="HX46" i="1"/>
  <c r="HY46" i="1"/>
  <c r="HV46" i="1"/>
  <c r="HW46" i="1"/>
  <c r="IP45" i="1"/>
  <c r="IQ45" i="1" s="1"/>
  <c r="IN45" i="1"/>
  <c r="IO45" i="1" s="1"/>
  <c r="IL45" i="1"/>
  <c r="IM45" i="1"/>
  <c r="IJ45" i="1"/>
  <c r="IK45" i="1"/>
  <c r="IH45" i="1"/>
  <c r="II45" i="1"/>
  <c r="IF45" i="1"/>
  <c r="IG45" i="1"/>
  <c r="ID45" i="1"/>
  <c r="IB45" i="1"/>
  <c r="IC45" i="1"/>
  <c r="HZ45" i="1"/>
  <c r="IA45" i="1"/>
  <c r="HX45" i="1"/>
  <c r="HY45" i="1"/>
  <c r="HV45" i="1"/>
  <c r="HW45" i="1"/>
  <c r="IP43" i="1"/>
  <c r="IQ43" i="1" s="1"/>
  <c r="IJ43" i="1"/>
  <c r="IK43" i="1"/>
  <c r="IH43" i="1"/>
  <c r="II43" i="1"/>
  <c r="IF43" i="1"/>
  <c r="IG43" i="1"/>
  <c r="ID43" i="1"/>
  <c r="IB43" i="1"/>
  <c r="IC43" i="1"/>
  <c r="HZ43" i="1"/>
  <c r="IA43" i="1"/>
  <c r="IP42" i="1"/>
  <c r="IQ42" i="1" s="1"/>
  <c r="IN42" i="1"/>
  <c r="IO42" i="1" s="1"/>
  <c r="IL42" i="1"/>
  <c r="IM42" i="1"/>
  <c r="IJ42" i="1"/>
  <c r="IK42" i="1"/>
  <c r="IH42" i="1"/>
  <c r="II42" i="1"/>
  <c r="IF42" i="1"/>
  <c r="IG42" i="1"/>
  <c r="ID42" i="1"/>
  <c r="IB42" i="1"/>
  <c r="IC42" i="1"/>
  <c r="HZ42" i="1"/>
  <c r="IA42" i="1"/>
  <c r="HX42" i="1"/>
  <c r="HY42" i="1"/>
  <c r="HV42" i="1"/>
  <c r="HW42" i="1"/>
  <c r="IP40" i="1"/>
  <c r="IP39" i="1"/>
  <c r="IQ39" i="1" s="1"/>
  <c r="IJ39" i="1"/>
  <c r="IK39" i="1"/>
  <c r="IH39" i="1"/>
  <c r="II39" i="1"/>
  <c r="IF39" i="1"/>
  <c r="IG39" i="1"/>
  <c r="ID39" i="1"/>
  <c r="IB39" i="1"/>
  <c r="IC39" i="1"/>
  <c r="HZ39" i="1"/>
  <c r="IA39" i="1"/>
  <c r="HX39" i="1"/>
  <c r="HY39" i="1"/>
  <c r="HV39" i="1"/>
  <c r="HW39" i="1"/>
  <c r="IP38" i="1"/>
  <c r="IN38" i="1"/>
  <c r="IO38" i="1" s="1"/>
  <c r="IL38" i="1"/>
  <c r="IM38" i="1" s="1"/>
  <c r="IJ38" i="1"/>
  <c r="IK38" i="1"/>
  <c r="IH38" i="1"/>
  <c r="II38" i="1"/>
  <c r="IF38" i="1"/>
  <c r="IG38" i="1"/>
  <c r="ID38" i="1"/>
  <c r="IB38" i="1"/>
  <c r="IC38" i="1"/>
  <c r="HZ38" i="1"/>
  <c r="IA38" i="1"/>
  <c r="HX38" i="1"/>
  <c r="HY38" i="1"/>
  <c r="HV38" i="1"/>
  <c r="HW38" i="1"/>
  <c r="IP37" i="1"/>
  <c r="IQ37" i="1" s="1"/>
  <c r="IN37" i="1"/>
  <c r="IO37" i="1" s="1"/>
  <c r="IL37" i="1"/>
  <c r="IM37" i="1"/>
  <c r="IJ37" i="1"/>
  <c r="IK37" i="1"/>
  <c r="IH37" i="1"/>
  <c r="II37" i="1"/>
  <c r="IF37" i="1"/>
  <c r="IG37" i="1"/>
  <c r="ID37" i="1"/>
  <c r="IB37" i="1"/>
  <c r="IC37" i="1"/>
  <c r="HZ37" i="1"/>
  <c r="IA37" i="1"/>
  <c r="HX37" i="1"/>
  <c r="HY37" i="1"/>
  <c r="HV37" i="1"/>
  <c r="HW37" i="1"/>
  <c r="IP35" i="1"/>
  <c r="IQ35" i="1" s="1"/>
  <c r="IN35" i="1"/>
  <c r="IO35" i="1" s="1"/>
  <c r="IL35" i="1"/>
  <c r="IM35" i="1" s="1"/>
  <c r="IJ35" i="1"/>
  <c r="IK35" i="1"/>
  <c r="IH35" i="1"/>
  <c r="II35" i="1"/>
  <c r="IF35" i="1"/>
  <c r="IG35" i="1"/>
  <c r="ID35" i="1"/>
  <c r="IB35" i="1"/>
  <c r="IC35" i="1"/>
  <c r="HZ35" i="1"/>
  <c r="IA35" i="1"/>
  <c r="IP34" i="1"/>
  <c r="IQ34" i="1" s="1"/>
  <c r="IN34" i="1"/>
  <c r="IO34" i="1" s="1"/>
  <c r="IJ34" i="1"/>
  <c r="IK34" i="1"/>
  <c r="IH34" i="1"/>
  <c r="II34" i="1"/>
  <c r="IF34" i="1"/>
  <c r="IG34" i="1"/>
  <c r="ID34" i="1"/>
  <c r="IB34" i="1"/>
  <c r="IC34" i="1"/>
  <c r="HZ34" i="1"/>
  <c r="IA34" i="1"/>
  <c r="HX34" i="1"/>
  <c r="HY34" i="1"/>
  <c r="HV34" i="1"/>
  <c r="HW34" i="1"/>
  <c r="IP33" i="1"/>
  <c r="IQ33" i="1"/>
  <c r="IN33" i="1"/>
  <c r="IO33" i="1" s="1"/>
  <c r="IL33" i="1"/>
  <c r="IM33" i="1"/>
  <c r="IJ33" i="1"/>
  <c r="IK33" i="1"/>
  <c r="IH33" i="1"/>
  <c r="II33" i="1"/>
  <c r="IF33" i="1"/>
  <c r="IG33" i="1"/>
  <c r="ID33" i="1"/>
  <c r="IB33" i="1"/>
  <c r="IC33" i="1"/>
  <c r="HZ33" i="1"/>
  <c r="IA33" i="1"/>
  <c r="HX33" i="1"/>
  <c r="HY33" i="1"/>
  <c r="HV33" i="1"/>
  <c r="HW33" i="1"/>
  <c r="IP32" i="1"/>
  <c r="IN32" i="1"/>
  <c r="IO32" i="1" s="1"/>
  <c r="IL32" i="1"/>
  <c r="IM32" i="1"/>
  <c r="IJ32" i="1"/>
  <c r="IK32" i="1"/>
  <c r="IH32" i="1"/>
  <c r="II32" i="1"/>
  <c r="IF32" i="1"/>
  <c r="IG32" i="1"/>
  <c r="ID32" i="1"/>
  <c r="IB32" i="1"/>
  <c r="IC32" i="1"/>
  <c r="HZ32" i="1"/>
  <c r="IA32" i="1"/>
  <c r="HX32" i="1"/>
  <c r="HY32" i="1"/>
  <c r="HV32" i="1"/>
  <c r="HW32" i="1"/>
  <c r="IP30" i="1"/>
  <c r="IQ30" i="1" s="1"/>
  <c r="IN30" i="1"/>
  <c r="IO30" i="1" s="1"/>
  <c r="IL30" i="1"/>
  <c r="IM30" i="1" s="1"/>
  <c r="IJ30" i="1"/>
  <c r="IK30" i="1"/>
  <c r="IH30" i="1"/>
  <c r="II30" i="1"/>
  <c r="IF30" i="1"/>
  <c r="IG30" i="1"/>
  <c r="ID30" i="1"/>
  <c r="IB30" i="1"/>
  <c r="IC30" i="1"/>
  <c r="HZ30" i="1"/>
  <c r="IA30" i="1"/>
  <c r="HX30" i="1"/>
  <c r="HY30" i="1"/>
  <c r="HV30" i="1"/>
  <c r="HW30" i="1"/>
  <c r="IP29" i="1"/>
  <c r="IN29" i="1"/>
  <c r="IO29" i="1" s="1"/>
  <c r="IL29" i="1"/>
  <c r="IM29" i="1"/>
  <c r="IJ29" i="1"/>
  <c r="IK29" i="1"/>
  <c r="IH29" i="1"/>
  <c r="II29" i="1"/>
  <c r="IF29" i="1"/>
  <c r="IG29" i="1"/>
  <c r="ID29" i="1"/>
  <c r="IB29" i="1"/>
  <c r="IC29" i="1"/>
  <c r="HZ29" i="1"/>
  <c r="IA29" i="1"/>
  <c r="HX29" i="1"/>
  <c r="HY29" i="1"/>
  <c r="HV29" i="1"/>
  <c r="HW29" i="1"/>
  <c r="IP28" i="1"/>
  <c r="IN28" i="1"/>
  <c r="IO28" i="1" s="1"/>
  <c r="IL28" i="1"/>
  <c r="IM28" i="1"/>
  <c r="IJ28" i="1"/>
  <c r="IK28" i="1"/>
  <c r="IH28" i="1"/>
  <c r="II28" i="1"/>
  <c r="IF28" i="1"/>
  <c r="IG28" i="1"/>
  <c r="ID28" i="1"/>
  <c r="IB28" i="1"/>
  <c r="IC28" i="1"/>
  <c r="HZ28" i="1"/>
  <c r="IA28" i="1"/>
  <c r="HX28" i="1"/>
  <c r="HY28" i="1"/>
  <c r="HV28" i="1"/>
  <c r="HW28" i="1"/>
  <c r="IP27" i="1"/>
  <c r="IQ27" i="1" s="1"/>
  <c r="IN27" i="1"/>
  <c r="IO27" i="1" s="1"/>
  <c r="IL27" i="1"/>
  <c r="IM27" i="1" s="1"/>
  <c r="IJ27" i="1"/>
  <c r="IK27" i="1"/>
  <c r="IH27" i="1"/>
  <c r="II27" i="1"/>
  <c r="IF27" i="1"/>
  <c r="IG27" i="1"/>
  <c r="ID27" i="1"/>
  <c r="IB27" i="1"/>
  <c r="IC27" i="1"/>
  <c r="HZ27" i="1"/>
  <c r="IA27" i="1"/>
  <c r="HX27" i="1"/>
  <c r="HY27" i="1"/>
  <c r="HV27" i="1"/>
  <c r="HW27" i="1"/>
  <c r="IP26" i="1"/>
  <c r="IN26" i="1"/>
  <c r="IO26" i="1" s="1"/>
  <c r="IL26" i="1"/>
  <c r="IM26" i="1"/>
  <c r="IJ26" i="1"/>
  <c r="IK26" i="1"/>
  <c r="IH26" i="1"/>
  <c r="II26" i="1"/>
  <c r="IF26" i="1"/>
  <c r="IG26" i="1"/>
  <c r="ID26" i="1"/>
  <c r="IB26" i="1"/>
  <c r="IC26" i="1"/>
  <c r="HZ26" i="1"/>
  <c r="IA26" i="1"/>
  <c r="HX26" i="1"/>
  <c r="HY26" i="1"/>
  <c r="HV26" i="1"/>
  <c r="HW26" i="1"/>
  <c r="IP25" i="1"/>
  <c r="IQ25" i="1" s="1"/>
  <c r="IN25" i="1"/>
  <c r="IO25" i="1" s="1"/>
  <c r="IL25" i="1"/>
  <c r="IM25" i="1" s="1"/>
  <c r="IJ25" i="1"/>
  <c r="IK25" i="1"/>
  <c r="IH25" i="1"/>
  <c r="II25" i="1"/>
  <c r="IF25" i="1"/>
  <c r="IG25" i="1"/>
  <c r="ID25" i="1"/>
  <c r="IB25" i="1"/>
  <c r="IC25" i="1"/>
  <c r="HZ25" i="1"/>
  <c r="IA25" i="1"/>
  <c r="HX25" i="1"/>
  <c r="HY25" i="1"/>
  <c r="HV25" i="1"/>
  <c r="HW25" i="1"/>
  <c r="IP24" i="1"/>
  <c r="IQ24" i="1" s="1"/>
  <c r="IN24" i="1"/>
  <c r="IO24" i="1" s="1"/>
  <c r="IL24" i="1"/>
  <c r="IM24" i="1" s="1"/>
  <c r="IJ24" i="1"/>
  <c r="IK24" i="1"/>
  <c r="IH24" i="1"/>
  <c r="II24" i="1"/>
  <c r="IF24" i="1"/>
  <c r="IG24" i="1"/>
  <c r="ID24" i="1"/>
  <c r="IB24" i="1"/>
  <c r="IC24" i="1"/>
  <c r="HZ24" i="1"/>
  <c r="IA24" i="1"/>
  <c r="HX24" i="1"/>
  <c r="HY24" i="1"/>
  <c r="HV24" i="1"/>
  <c r="HW24" i="1"/>
  <c r="IP23" i="1"/>
  <c r="IQ23" i="1" s="1"/>
  <c r="IN23" i="1"/>
  <c r="IO23" i="1" s="1"/>
  <c r="IL23" i="1"/>
  <c r="IM23" i="1" s="1"/>
  <c r="IJ23" i="1"/>
  <c r="IK23" i="1"/>
  <c r="IH23" i="1"/>
  <c r="II23" i="1"/>
  <c r="IF23" i="1"/>
  <c r="IG23" i="1"/>
  <c r="ID23" i="1"/>
  <c r="IB23" i="1"/>
  <c r="IC23" i="1"/>
  <c r="HZ23" i="1"/>
  <c r="IA23" i="1"/>
  <c r="HX23" i="1"/>
  <c r="HY23" i="1"/>
  <c r="HV23" i="1"/>
  <c r="HW23" i="1"/>
  <c r="IP22" i="1"/>
  <c r="IQ22" i="1" s="1"/>
  <c r="IN22" i="1"/>
  <c r="IO22" i="1" s="1"/>
  <c r="IL22" i="1"/>
  <c r="IM22" i="1" s="1"/>
  <c r="IJ22" i="1"/>
  <c r="IK22" i="1"/>
  <c r="IH22" i="1"/>
  <c r="II22" i="1"/>
  <c r="IF22" i="1"/>
  <c r="IG22" i="1"/>
  <c r="ID22" i="1"/>
  <c r="IB22" i="1"/>
  <c r="IC22" i="1"/>
  <c r="HZ22" i="1"/>
  <c r="IA22" i="1"/>
  <c r="HX22" i="1"/>
  <c r="HY22" i="1"/>
  <c r="HV22" i="1"/>
  <c r="HW22" i="1"/>
  <c r="IP20" i="1"/>
  <c r="IQ20" i="1" s="1"/>
  <c r="IN20" i="1"/>
  <c r="IO20" i="1" s="1"/>
  <c r="IJ20" i="1"/>
  <c r="IK20" i="1"/>
  <c r="IH20" i="1"/>
  <c r="II20" i="1"/>
  <c r="IF20" i="1"/>
  <c r="IG20" i="1"/>
  <c r="ID20" i="1"/>
  <c r="IB20" i="1"/>
  <c r="IC20" i="1"/>
  <c r="HZ20" i="1"/>
  <c r="IA20" i="1"/>
  <c r="IP19" i="1"/>
  <c r="IP18" i="1"/>
  <c r="IP17" i="1"/>
  <c r="IN17" i="1"/>
  <c r="IO17" i="1" s="1"/>
  <c r="IL17" i="1"/>
  <c r="IM17" i="1" s="1"/>
  <c r="IJ17" i="1"/>
  <c r="IK17" i="1"/>
  <c r="IH17" i="1"/>
  <c r="II17" i="1"/>
  <c r="IF17" i="1"/>
  <c r="IG17" i="1"/>
  <c r="ID17" i="1"/>
  <c r="IB17" i="1"/>
  <c r="IC17" i="1"/>
  <c r="HZ17" i="1"/>
  <c r="IA17" i="1"/>
  <c r="HX17" i="1"/>
  <c r="HY17" i="1"/>
  <c r="HV17" i="1"/>
  <c r="HW17" i="1"/>
  <c r="IP16" i="1"/>
  <c r="IQ16" i="1" s="1"/>
  <c r="IN16" i="1"/>
  <c r="IO16" i="1" s="1"/>
  <c r="IL16" i="1"/>
  <c r="IM16" i="1"/>
  <c r="IJ16" i="1"/>
  <c r="IK16" i="1"/>
  <c r="IH16" i="1"/>
  <c r="II16" i="1"/>
  <c r="IF16" i="1"/>
  <c r="IG16" i="1"/>
  <c r="ID16" i="1"/>
  <c r="IB16" i="1"/>
  <c r="IC16" i="1"/>
  <c r="HZ16" i="1"/>
  <c r="IA16" i="1"/>
  <c r="HX16" i="1"/>
  <c r="HY16" i="1"/>
  <c r="HV16" i="1"/>
  <c r="HW16" i="1"/>
  <c r="IP15" i="1"/>
  <c r="IQ15" i="1" s="1"/>
  <c r="IN15" i="1"/>
  <c r="IO15" i="1" s="1"/>
  <c r="IL15" i="1"/>
  <c r="IM15" i="1"/>
  <c r="IJ15" i="1"/>
  <c r="IK15" i="1"/>
  <c r="IH15" i="1"/>
  <c r="II15" i="1"/>
  <c r="IF15" i="1"/>
  <c r="IG15" i="1"/>
  <c r="ID15" i="1"/>
  <c r="IB15" i="1"/>
  <c r="IC15" i="1"/>
  <c r="HZ15" i="1"/>
  <c r="IA15" i="1"/>
  <c r="HX15" i="1"/>
  <c r="HY15" i="1"/>
  <c r="HV15" i="1"/>
  <c r="HW15" i="1"/>
  <c r="IP13" i="1"/>
  <c r="IQ13" i="1" s="1"/>
  <c r="IN13" i="1"/>
  <c r="IO13" i="1" s="1"/>
  <c r="IL13" i="1"/>
  <c r="IM13" i="1"/>
  <c r="IJ13" i="1"/>
  <c r="IK13" i="1"/>
  <c r="IH13" i="1"/>
  <c r="II13" i="1"/>
  <c r="IF13" i="1"/>
  <c r="IG13" i="1"/>
  <c r="ID13" i="1"/>
  <c r="IB13" i="1"/>
  <c r="IC13" i="1"/>
  <c r="HZ13" i="1"/>
  <c r="IA13" i="1"/>
  <c r="HX13" i="1"/>
  <c r="HY13" i="1"/>
  <c r="HV13" i="1"/>
  <c r="HW13" i="1"/>
  <c r="IP11" i="1"/>
  <c r="IQ11" i="1" s="1"/>
  <c r="IN11" i="1"/>
  <c r="IO11" i="1" s="1"/>
  <c r="IL11" i="1"/>
  <c r="IJ11" i="1"/>
  <c r="IK11" i="1"/>
  <c r="IH11" i="1"/>
  <c r="II11" i="1"/>
  <c r="IF11" i="1"/>
  <c r="IG11" i="1"/>
  <c r="ID11" i="1"/>
  <c r="IB11" i="1"/>
  <c r="IC11" i="1"/>
  <c r="HZ11" i="1"/>
  <c r="IA11" i="1"/>
  <c r="IP7" i="1"/>
  <c r="IN7" i="1"/>
  <c r="IO7" i="1" s="1"/>
  <c r="IL7" i="1"/>
  <c r="IM7" i="1" s="1"/>
  <c r="IJ7" i="1"/>
  <c r="IK7" i="1" s="1"/>
  <c r="IH7" i="1"/>
  <c r="II7" i="1" s="1"/>
  <c r="IF7" i="1"/>
  <c r="IG7" i="1" s="1"/>
  <c r="ID7" i="1"/>
  <c r="IB7" i="1"/>
  <c r="IC7" i="1" s="1"/>
  <c r="HZ7" i="1"/>
  <c r="IA7" i="1" s="1"/>
  <c r="HX7" i="1"/>
  <c r="HY7" i="1" s="1"/>
  <c r="HV7" i="1"/>
  <c r="HW7" i="1" s="1"/>
  <c r="IP6" i="1"/>
  <c r="IN6" i="1"/>
  <c r="IO6" i="1" s="1"/>
  <c r="IL6" i="1"/>
  <c r="IM6" i="1" s="1"/>
  <c r="IJ6" i="1"/>
  <c r="IK6" i="1" s="1"/>
  <c r="IH6" i="1"/>
  <c r="II6" i="1" s="1"/>
  <c r="IF6" i="1"/>
  <c r="IG6" i="1" s="1"/>
  <c r="ID6" i="1"/>
  <c r="IB6" i="1"/>
  <c r="IC6" i="1" s="1"/>
  <c r="HZ6" i="1"/>
  <c r="IA6" i="1" s="1"/>
  <c r="HX6" i="1"/>
  <c r="HY6" i="1" s="1"/>
  <c r="HV6" i="1"/>
  <c r="HW6" i="1" s="1"/>
  <c r="IR5" i="1"/>
  <c r="IP5" i="1"/>
  <c r="IN5" i="1"/>
  <c r="IO5" i="1" s="1"/>
  <c r="IL5" i="1"/>
  <c r="IM5" i="1" s="1"/>
  <c r="IJ5" i="1"/>
  <c r="IK5" i="1" s="1"/>
  <c r="IH5" i="1"/>
  <c r="II5" i="1" s="1"/>
  <c r="IF5" i="1"/>
  <c r="IG5" i="1" s="1"/>
  <c r="ID5" i="1"/>
  <c r="IB5" i="1"/>
  <c r="IC5" i="1" s="1"/>
  <c r="HZ5" i="1"/>
  <c r="IA5" i="1" s="1"/>
  <c r="HX5" i="1"/>
  <c r="HY5" i="1" s="1"/>
  <c r="HV5" i="1"/>
  <c r="HW5" i="1" s="1"/>
  <c r="IR55" i="1"/>
  <c r="IS55" i="1"/>
  <c r="IR33" i="1"/>
  <c r="IS33" i="1"/>
  <c r="JA13" i="1"/>
  <c r="JA14" i="1"/>
  <c r="JA15" i="1"/>
  <c r="JA16" i="1"/>
  <c r="JA17" i="1"/>
  <c r="JA18" i="1"/>
  <c r="JA19" i="1"/>
  <c r="JA20" i="1"/>
  <c r="JA23" i="1"/>
  <c r="JA24" i="1"/>
  <c r="JA25" i="1"/>
  <c r="JA26" i="1"/>
  <c r="JA27" i="1"/>
  <c r="JA28" i="1"/>
  <c r="JA29" i="1"/>
  <c r="JA30" i="1"/>
  <c r="JA32" i="1"/>
  <c r="JA33" i="1"/>
  <c r="JA34" i="1"/>
  <c r="JA35" i="1"/>
  <c r="JA37" i="1"/>
  <c r="JA38" i="1"/>
  <c r="JA39" i="1"/>
  <c r="JA40" i="1"/>
  <c r="JA42" i="1"/>
  <c r="JA43" i="1"/>
  <c r="JA45" i="1"/>
  <c r="JA46" i="1"/>
  <c r="JA47" i="1"/>
  <c r="JA48" i="1"/>
  <c r="JA49" i="1"/>
  <c r="JA50" i="1"/>
  <c r="JA52" i="1"/>
  <c r="JA53" i="1"/>
  <c r="JA54" i="1"/>
  <c r="JA55" i="1"/>
  <c r="JA56" i="1"/>
  <c r="JA57" i="1"/>
  <c r="JA58" i="1"/>
  <c r="JA59" i="1"/>
  <c r="JA60" i="1"/>
  <c r="JA61" i="1"/>
  <c r="JA62" i="1"/>
  <c r="JA63" i="1"/>
  <c r="JA64" i="1"/>
  <c r="JA66" i="1"/>
  <c r="JA67" i="1"/>
  <c r="JA68" i="1"/>
  <c r="JA69" i="1"/>
  <c r="JA70" i="1"/>
  <c r="DM204" i="1"/>
  <c r="DL204" i="1"/>
  <c r="DK204" i="1"/>
  <c r="DJ204" i="1"/>
  <c r="DI204" i="1"/>
  <c r="DH204" i="1"/>
  <c r="DG204" i="1"/>
  <c r="DF204" i="1"/>
  <c r="DE204" i="1"/>
  <c r="DD204" i="1"/>
  <c r="DC204" i="1"/>
  <c r="DB204" i="1"/>
  <c r="DN64" i="1"/>
  <c r="Z62" i="22"/>
  <c r="AE62" i="22" s="1"/>
  <c r="AF62" i="22" s="1"/>
  <c r="DN63" i="1"/>
  <c r="DN62" i="1"/>
  <c r="Z60" i="22" s="1"/>
  <c r="DN61" i="1"/>
  <c r="Z59" i="22" s="1"/>
  <c r="DN60" i="1"/>
  <c r="Z58" i="22"/>
  <c r="AE58" i="22" s="1"/>
  <c r="AF58" i="22" s="1"/>
  <c r="DN59" i="1"/>
  <c r="Z57" i="22"/>
  <c r="AE57" i="22" s="1"/>
  <c r="AF57" i="22" s="1"/>
  <c r="DN58" i="1"/>
  <c r="Z56" i="22"/>
  <c r="AE56" i="22" s="1"/>
  <c r="AF56" i="22" s="1"/>
  <c r="DN57" i="1"/>
  <c r="Z55" i="22"/>
  <c r="AE55" i="22" s="1"/>
  <c r="AF55" i="22" s="1"/>
  <c r="DN56" i="1"/>
  <c r="Z54" i="22"/>
  <c r="AE54" i="22" s="1"/>
  <c r="AF54" i="22" s="1"/>
  <c r="DN55" i="1"/>
  <c r="Z53" i="22" s="1"/>
  <c r="DN54" i="1"/>
  <c r="Z52" i="22"/>
  <c r="AE52" i="22" s="1"/>
  <c r="AF52" i="22" s="1"/>
  <c r="DN53" i="1"/>
  <c r="Z51" i="22"/>
  <c r="AE51" i="22" s="1"/>
  <c r="AF51" i="22" s="1"/>
  <c r="DN48" i="1"/>
  <c r="Z46" i="22" s="1"/>
  <c r="DN45" i="1"/>
  <c r="Z43" i="22"/>
  <c r="AE43" i="22" s="1"/>
  <c r="DN38" i="1"/>
  <c r="Z36" i="22" s="1"/>
  <c r="DN28" i="1"/>
  <c r="Z27" i="22" s="1"/>
  <c r="AE27" i="22" s="1"/>
  <c r="AF27" i="22" s="1"/>
  <c r="DN27" i="1"/>
  <c r="Z26" i="22" s="1"/>
  <c r="DN26" i="1"/>
  <c r="Z25" i="22" s="1"/>
  <c r="DN25" i="1"/>
  <c r="Z24" i="22" s="1"/>
  <c r="AE24" i="22" s="1"/>
  <c r="AF24" i="22" s="1"/>
  <c r="DN24" i="1"/>
  <c r="Z23" i="22" s="1"/>
  <c r="DN23" i="1"/>
  <c r="Z22" i="22" s="1"/>
  <c r="AE22" i="22" s="1"/>
  <c r="AF22" i="22" s="1"/>
  <c r="DN13" i="1"/>
  <c r="Z12" i="22" s="1"/>
  <c r="DL4" i="1"/>
  <c r="DK4" i="1"/>
  <c r="DN7" i="1"/>
  <c r="Z6" i="22" s="1"/>
  <c r="AE6" i="22" s="1"/>
  <c r="DN6" i="1"/>
  <c r="Z5" i="22" s="1"/>
  <c r="DJ4" i="1"/>
  <c r="DI4" i="1"/>
  <c r="DE4" i="1"/>
  <c r="Z61" i="22"/>
  <c r="AE61" i="22"/>
  <c r="AF61" i="22" s="1"/>
  <c r="LU11" i="1"/>
  <c r="DB43" i="1"/>
  <c r="DB20" i="1"/>
  <c r="DB35" i="1"/>
  <c r="C7" i="23"/>
  <c r="HX11" i="1"/>
  <c r="HY11" i="1"/>
  <c r="DM4" i="1"/>
  <c r="MF11" i="1"/>
  <c r="DN5" i="1"/>
  <c r="DN22" i="1"/>
  <c r="Z21" i="22" s="1"/>
  <c r="DN52" i="1"/>
  <c r="Z50" i="22" s="1"/>
  <c r="DC4" i="1"/>
  <c r="DD4" i="1"/>
  <c r="DH4" i="1"/>
  <c r="DN11" i="1"/>
  <c r="Z10" i="22" s="1"/>
  <c r="DB4" i="1"/>
  <c r="DF4" i="1"/>
  <c r="DN37" i="1"/>
  <c r="Z35" i="22" s="1"/>
  <c r="CV52" i="1"/>
  <c r="CV50" i="1"/>
  <c r="CV34" i="1"/>
  <c r="CV22" i="1"/>
  <c r="CV19" i="1"/>
  <c r="CV18" i="1"/>
  <c r="LQ18" i="1" s="1"/>
  <c r="Z4" i="22"/>
  <c r="LU35" i="1"/>
  <c r="HX35" i="1"/>
  <c r="HY35" i="1"/>
  <c r="HV35" i="1"/>
  <c r="HW35" i="1"/>
  <c r="LU20" i="1"/>
  <c r="HV20" i="1"/>
  <c r="HW20" i="1"/>
  <c r="HX20" i="1"/>
  <c r="HY20" i="1"/>
  <c r="LU43" i="1"/>
  <c r="HX43" i="1"/>
  <c r="HY43" i="1"/>
  <c r="HV43" i="1"/>
  <c r="HW43" i="1"/>
  <c r="CV49" i="1"/>
  <c r="DG4" i="1"/>
  <c r="CV39" i="1"/>
  <c r="CU38" i="1"/>
  <c r="CU37" i="1"/>
  <c r="CV46" i="1"/>
  <c r="CV40" i="1"/>
  <c r="LQ40" i="1" s="1"/>
  <c r="LP56" i="1"/>
  <c r="CU52" i="1"/>
  <c r="CU50" i="1"/>
  <c r="CU39" i="1"/>
  <c r="CU34" i="1"/>
  <c r="CU22" i="1"/>
  <c r="CU49" i="1"/>
  <c r="CU19" i="1"/>
  <c r="CU18" i="1"/>
  <c r="CU46" i="1"/>
  <c r="CU40" i="1"/>
  <c r="LP40" i="1" s="1"/>
  <c r="CT5" i="1"/>
  <c r="CT38" i="1"/>
  <c r="CT37" i="1"/>
  <c r="LO56" i="1"/>
  <c r="CT52" i="1"/>
  <c r="CT50" i="1"/>
  <c r="CT39" i="1"/>
  <c r="CT34" i="1"/>
  <c r="CT22" i="1"/>
  <c r="CT49" i="1"/>
  <c r="CT19" i="1"/>
  <c r="LO19" i="1" s="1"/>
  <c r="CT18" i="1"/>
  <c r="CT46" i="1"/>
  <c r="CT40" i="1"/>
  <c r="CS38" i="1"/>
  <c r="CS37" i="1"/>
  <c r="CS5" i="1"/>
  <c r="CS52" i="1"/>
  <c r="IV52" i="1"/>
  <c r="IW52" i="1" s="1"/>
  <c r="CS50" i="1"/>
  <c r="IV50" i="1"/>
  <c r="IW50" i="1" s="1"/>
  <c r="CS34" i="1"/>
  <c r="CS22" i="1"/>
  <c r="CS19" i="1"/>
  <c r="CS18" i="1"/>
  <c r="LN18" i="1" s="1"/>
  <c r="CS49" i="1"/>
  <c r="CS39" i="1"/>
  <c r="CR5" i="1"/>
  <c r="CR38" i="1"/>
  <c r="CS40" i="1"/>
  <c r="LN40" i="1" s="1"/>
  <c r="CS46" i="1"/>
  <c r="CR37" i="1"/>
  <c r="LM56" i="1"/>
  <c r="CR52" i="1"/>
  <c r="CR50" i="1"/>
  <c r="CR39" i="1"/>
  <c r="CR46" i="1"/>
  <c r="CR34" i="1"/>
  <c r="CR22" i="1"/>
  <c r="CR49" i="1"/>
  <c r="CR19" i="1"/>
  <c r="LM19" i="1" s="1"/>
  <c r="CR18" i="1"/>
  <c r="LM18" i="1" s="1"/>
  <c r="CR40" i="1"/>
  <c r="LM40" i="1" s="1"/>
  <c r="LL56" i="1"/>
  <c r="CQ38" i="1"/>
  <c r="CQ37" i="1"/>
  <c r="CQ5" i="1"/>
  <c r="CQ52" i="1"/>
  <c r="CQ50" i="1"/>
  <c r="CQ39" i="1"/>
  <c r="CQ46" i="1"/>
  <c r="CQ34" i="1"/>
  <c r="CQ22" i="1"/>
  <c r="CQ49" i="1"/>
  <c r="CQ19" i="1"/>
  <c r="CQ18" i="1"/>
  <c r="CQ40" i="1"/>
  <c r="LK56" i="1"/>
  <c r="CP38" i="1"/>
  <c r="CP37" i="1"/>
  <c r="CP5" i="1"/>
  <c r="CP52" i="1"/>
  <c r="CP50" i="1"/>
  <c r="CP34" i="1"/>
  <c r="CP22" i="1"/>
  <c r="CP49" i="1"/>
  <c r="CP19" i="1"/>
  <c r="LK19" i="1" s="1"/>
  <c r="CP18" i="1"/>
  <c r="CP39" i="1"/>
  <c r="CO37" i="1"/>
  <c r="CO38" i="1"/>
  <c r="CO5" i="1"/>
  <c r="CP46" i="1"/>
  <c r="CP40" i="1"/>
  <c r="LK40" i="1" s="1"/>
  <c r="LJ56" i="1"/>
  <c r="CO52" i="1"/>
  <c r="CO50" i="1"/>
  <c r="CO22" i="1"/>
  <c r="CO49" i="1"/>
  <c r="CO19" i="1"/>
  <c r="CO18" i="1"/>
  <c r="LJ18" i="1" s="1"/>
  <c r="CO34" i="1"/>
  <c r="CO39" i="1"/>
  <c r="CO40" i="1"/>
  <c r="CO46" i="1"/>
  <c r="LI56" i="1"/>
  <c r="CZ24" i="1"/>
  <c r="CZ25" i="1"/>
  <c r="CZ26" i="1"/>
  <c r="CN5" i="1"/>
  <c r="CN38" i="1"/>
  <c r="CN37" i="1"/>
  <c r="CN11" i="1"/>
  <c r="CZ5" i="1"/>
  <c r="CZ40" i="1" s="1"/>
  <c r="V38" i="22" s="1"/>
  <c r="CN52" i="1"/>
  <c r="CN50" i="1"/>
  <c r="CN39" i="1"/>
  <c r="CN34" i="1"/>
  <c r="CN22" i="1"/>
  <c r="CN49" i="1"/>
  <c r="CN19" i="1"/>
  <c r="LI19" i="1" s="1"/>
  <c r="CN18" i="1"/>
  <c r="LI18" i="1" s="1"/>
  <c r="CN46" i="1"/>
  <c r="CN40" i="1"/>
  <c r="V68" i="22"/>
  <c r="AA68" i="22"/>
  <c r="AB68" i="22"/>
  <c r="V67" i="22"/>
  <c r="AA67" i="22"/>
  <c r="AB67" i="22"/>
  <c r="V66" i="22"/>
  <c r="AA66" i="22"/>
  <c r="AB66" i="22"/>
  <c r="V65" i="22"/>
  <c r="AA65" i="22"/>
  <c r="AB65" i="22"/>
  <c r="V64" i="22"/>
  <c r="AA64" i="22"/>
  <c r="AB64" i="22"/>
  <c r="V63" i="22"/>
  <c r="AA63" i="22"/>
  <c r="AB63" i="22"/>
  <c r="V49" i="22"/>
  <c r="AA49" i="22"/>
  <c r="AB49" i="22"/>
  <c r="V42" i="22"/>
  <c r="AA42" i="22"/>
  <c r="V41" i="22"/>
  <c r="AA41" i="22"/>
  <c r="V40" i="22"/>
  <c r="AA40" i="22"/>
  <c r="V39" i="22"/>
  <c r="AA39" i="22"/>
  <c r="V34" i="22"/>
  <c r="AA34" i="22"/>
  <c r="V33" i="22"/>
  <c r="AA33" i="22"/>
  <c r="V32" i="22"/>
  <c r="AA32" i="22"/>
  <c r="V31" i="22"/>
  <c r="AA31" i="22"/>
  <c r="V30" i="22"/>
  <c r="AA30" i="22"/>
  <c r="V29" i="22"/>
  <c r="AA29" i="22"/>
  <c r="V28" i="22"/>
  <c r="AA28" i="22"/>
  <c r="V20" i="22"/>
  <c r="AA20" i="22"/>
  <c r="V19" i="22"/>
  <c r="AA19" i="22"/>
  <c r="V18" i="22"/>
  <c r="AA18" i="22"/>
  <c r="V16" i="22"/>
  <c r="AA16" i="22"/>
  <c r="V15" i="22"/>
  <c r="AA15" i="22"/>
  <c r="V14" i="22"/>
  <c r="AA14" i="22"/>
  <c r="V13" i="22"/>
  <c r="AA13" i="22"/>
  <c r="V11" i="22"/>
  <c r="AA11" i="22"/>
  <c r="V9" i="22"/>
  <c r="AA9" i="22"/>
  <c r="V8" i="22"/>
  <c r="AA8" i="22"/>
  <c r="AB19" i="22"/>
  <c r="AC19" i="22"/>
  <c r="AC9" i="22"/>
  <c r="AB9" i="22"/>
  <c r="AC15" i="22"/>
  <c r="AB15" i="22"/>
  <c r="AC20" i="22"/>
  <c r="AB20" i="22"/>
  <c r="AB31" i="22"/>
  <c r="AC31" i="22"/>
  <c r="AC39" i="22"/>
  <c r="AB39" i="22"/>
  <c r="AB8" i="22"/>
  <c r="AC8" i="22"/>
  <c r="AC14" i="22"/>
  <c r="AB14" i="22"/>
  <c r="AB30" i="22"/>
  <c r="AC30" i="22"/>
  <c r="AB34" i="22"/>
  <c r="AC34" i="22"/>
  <c r="AB42" i="22"/>
  <c r="AC42" i="22"/>
  <c r="AC11" i="22"/>
  <c r="AB11" i="22"/>
  <c r="AB16" i="22"/>
  <c r="AC16" i="22"/>
  <c r="AB28" i="22"/>
  <c r="AC28" i="22"/>
  <c r="AB32" i="22"/>
  <c r="AC32" i="22"/>
  <c r="AC40" i="22"/>
  <c r="AB40" i="22"/>
  <c r="AB13" i="22"/>
  <c r="AC13" i="22"/>
  <c r="AB18" i="22"/>
  <c r="AC18" i="22"/>
  <c r="AB29" i="22"/>
  <c r="AC29" i="22"/>
  <c r="AC33" i="22"/>
  <c r="AB33" i="22"/>
  <c r="AB41" i="22"/>
  <c r="AC41" i="22"/>
  <c r="CK5" i="1"/>
  <c r="CK37" i="1"/>
  <c r="CK38" i="1"/>
  <c r="CK52" i="1"/>
  <c r="CK50" i="1"/>
  <c r="CK39" i="1"/>
  <c r="CK46" i="1"/>
  <c r="CK34" i="1"/>
  <c r="CK22" i="1"/>
  <c r="CK49" i="1"/>
  <c r="CK19" i="1"/>
  <c r="LH19" i="1" s="1"/>
  <c r="CK18" i="1"/>
  <c r="LH18" i="1" s="1"/>
  <c r="CK40" i="1"/>
  <c r="C12" i="23"/>
  <c r="N13" i="23"/>
  <c r="N14" i="23" s="1"/>
  <c r="N15" i="23" s="1"/>
  <c r="M13" i="23"/>
  <c r="M14" i="23" s="1"/>
  <c r="M15" i="23" s="1"/>
  <c r="L13" i="23"/>
  <c r="L14" i="23" s="1"/>
  <c r="L15" i="23" s="1"/>
  <c r="K13" i="23"/>
  <c r="K14" i="23" s="1"/>
  <c r="K15" i="23" s="1"/>
  <c r="J13" i="23"/>
  <c r="J14" i="23" s="1"/>
  <c r="J15" i="23" s="1"/>
  <c r="I13" i="23"/>
  <c r="I14" i="23" s="1"/>
  <c r="I15" i="23" s="1"/>
  <c r="H13" i="23"/>
  <c r="H14" i="23" s="1"/>
  <c r="H15" i="23" s="1"/>
  <c r="G13" i="23"/>
  <c r="G14" i="23" s="1"/>
  <c r="G15" i="23" s="1"/>
  <c r="F13" i="23"/>
  <c r="F14" i="23" s="1"/>
  <c r="F15" i="23" s="1"/>
  <c r="E13" i="23"/>
  <c r="E14" i="23" s="1"/>
  <c r="D13" i="23"/>
  <c r="D14" i="23" s="1"/>
  <c r="D15" i="23" s="1"/>
  <c r="C13" i="23"/>
  <c r="N12" i="23"/>
  <c r="HV11" i="1"/>
  <c r="HW11" i="1"/>
  <c r="C14" i="23"/>
  <c r="C15" i="23" s="1"/>
  <c r="CN43" i="1"/>
  <c r="CN20" i="1"/>
  <c r="CN35" i="1"/>
  <c r="HJ70" i="1"/>
  <c r="HK70" i="1"/>
  <c r="HJ69" i="1"/>
  <c r="HJ68" i="1"/>
  <c r="HK68" i="1"/>
  <c r="HJ67" i="1"/>
  <c r="HJ66" i="1"/>
  <c r="HK66" i="1"/>
  <c r="HJ64" i="1"/>
  <c r="HK64" i="1"/>
  <c r="HJ63" i="1"/>
  <c r="HK63" i="1"/>
  <c r="HJ62" i="1"/>
  <c r="HJ61" i="1"/>
  <c r="HK61" i="1"/>
  <c r="HJ60" i="1"/>
  <c r="HK60" i="1"/>
  <c r="HJ59" i="1"/>
  <c r="HJ58" i="1"/>
  <c r="HK58" i="1"/>
  <c r="HJ57" i="1"/>
  <c r="HJ56" i="1"/>
  <c r="HJ55" i="1"/>
  <c r="HK55" i="1"/>
  <c r="HJ54" i="1"/>
  <c r="HJ53" i="1"/>
  <c r="HJ52" i="1"/>
  <c r="HK52" i="1"/>
  <c r="HJ50" i="1"/>
  <c r="HK50" i="1"/>
  <c r="HJ48" i="1"/>
  <c r="HK48" i="1"/>
  <c r="HJ46" i="1"/>
  <c r="HK46" i="1"/>
  <c r="HJ45" i="1"/>
  <c r="HK45" i="1"/>
  <c r="HJ42" i="1"/>
  <c r="HK42" i="1"/>
  <c r="HJ39" i="1"/>
  <c r="HK39" i="1"/>
  <c r="HJ38" i="1"/>
  <c r="HK38" i="1"/>
  <c r="HJ37" i="1"/>
  <c r="HK37" i="1"/>
  <c r="HJ33" i="1"/>
  <c r="HK33" i="1"/>
  <c r="HJ32" i="1"/>
  <c r="HK32" i="1"/>
  <c r="HJ30" i="1"/>
  <c r="HK30" i="1"/>
  <c r="HJ29" i="1"/>
  <c r="HK29" i="1"/>
  <c r="HJ28" i="1"/>
  <c r="HK28" i="1"/>
  <c r="HJ27" i="1"/>
  <c r="HK27" i="1"/>
  <c r="HJ26" i="1"/>
  <c r="HK26" i="1"/>
  <c r="HJ25" i="1"/>
  <c r="HK25" i="1"/>
  <c r="HJ24" i="1"/>
  <c r="HK24" i="1"/>
  <c r="HJ23" i="1"/>
  <c r="HK23" i="1"/>
  <c r="HJ22" i="1"/>
  <c r="HK22" i="1"/>
  <c r="HJ17" i="1"/>
  <c r="HK17" i="1"/>
  <c r="HJ16" i="1"/>
  <c r="HK16" i="1"/>
  <c r="HJ15" i="1"/>
  <c r="HK15" i="1"/>
  <c r="HJ13" i="1"/>
  <c r="HK13" i="1"/>
  <c r="HJ7" i="1"/>
  <c r="HK7" i="1" s="1"/>
  <c r="HJ6" i="1"/>
  <c r="HK6" i="1" s="1"/>
  <c r="HT70" i="1"/>
  <c r="HU70" i="1"/>
  <c r="HT69" i="1"/>
  <c r="HT68" i="1"/>
  <c r="HU68" i="1"/>
  <c r="HT67" i="1"/>
  <c r="HT66" i="1"/>
  <c r="HU66" i="1"/>
  <c r="HT64" i="1"/>
  <c r="HU64" i="1"/>
  <c r="HT63" i="1"/>
  <c r="HU63" i="1"/>
  <c r="HT62" i="1"/>
  <c r="HU62" i="1"/>
  <c r="HT61" i="1"/>
  <c r="HT60" i="1"/>
  <c r="HU60" i="1"/>
  <c r="HT59" i="1"/>
  <c r="HU59" i="1"/>
  <c r="HT58" i="1"/>
  <c r="HU58" i="1"/>
  <c r="HT57" i="1"/>
  <c r="HU57" i="1"/>
  <c r="HT56" i="1"/>
  <c r="HT55" i="1"/>
  <c r="HU55" i="1"/>
  <c r="HT54" i="1"/>
  <c r="HU54" i="1"/>
  <c r="HT53" i="1"/>
  <c r="HT48" i="1"/>
  <c r="HU48" i="1"/>
  <c r="HT45" i="1"/>
  <c r="HU45" i="1"/>
  <c r="HT42" i="1"/>
  <c r="HU42" i="1"/>
  <c r="HT33" i="1"/>
  <c r="HU33" i="1"/>
  <c r="HT32" i="1"/>
  <c r="HU32" i="1"/>
  <c r="HT30" i="1"/>
  <c r="HU30" i="1"/>
  <c r="HT29" i="1"/>
  <c r="HU29" i="1"/>
  <c r="HT28" i="1"/>
  <c r="HU28" i="1"/>
  <c r="HT27" i="1"/>
  <c r="HU27" i="1"/>
  <c r="HT26" i="1"/>
  <c r="HU26" i="1"/>
  <c r="HT25" i="1"/>
  <c r="HU25" i="1"/>
  <c r="HT24" i="1"/>
  <c r="HU24" i="1"/>
  <c r="HT23" i="1"/>
  <c r="HU23" i="1"/>
  <c r="HT17" i="1"/>
  <c r="HU17" i="1"/>
  <c r="HT16" i="1"/>
  <c r="HU16" i="1"/>
  <c r="HT15" i="1"/>
  <c r="HU15" i="1"/>
  <c r="HT13" i="1"/>
  <c r="HU13" i="1"/>
  <c r="HT7" i="1"/>
  <c r="HU7" i="1" s="1"/>
  <c r="HT6" i="1"/>
  <c r="HU6" i="1" s="1"/>
  <c r="HT5" i="1"/>
  <c r="HU5" i="1" s="1"/>
  <c r="HR70" i="1"/>
  <c r="HS70" i="1"/>
  <c r="HR69" i="1"/>
  <c r="HR68" i="1"/>
  <c r="HS68" i="1"/>
  <c r="HR67" i="1"/>
  <c r="HR66" i="1"/>
  <c r="HS66" i="1"/>
  <c r="HR64" i="1"/>
  <c r="HS64" i="1"/>
  <c r="HR63" i="1"/>
  <c r="HS63" i="1"/>
  <c r="HR62" i="1"/>
  <c r="HS62" i="1"/>
  <c r="HR61" i="1"/>
  <c r="HS61" i="1"/>
  <c r="HR60" i="1"/>
  <c r="HS60" i="1"/>
  <c r="HR59" i="1"/>
  <c r="HS59" i="1"/>
  <c r="HR58" i="1"/>
  <c r="HS58" i="1"/>
  <c r="HR57" i="1"/>
  <c r="HS57" i="1"/>
  <c r="HR56" i="1"/>
  <c r="HR55" i="1"/>
  <c r="HS55" i="1"/>
  <c r="HR54" i="1"/>
  <c r="HR53" i="1"/>
  <c r="HS53" i="1"/>
  <c r="HR50" i="1"/>
  <c r="HS50" i="1"/>
  <c r="HR48" i="1"/>
  <c r="HS48" i="1"/>
  <c r="HR45" i="1"/>
  <c r="HS45" i="1"/>
  <c r="HR42" i="1"/>
  <c r="HS42" i="1"/>
  <c r="HR37" i="1"/>
  <c r="HS37" i="1"/>
  <c r="HR33" i="1"/>
  <c r="HS33" i="1"/>
  <c r="HR32" i="1"/>
  <c r="HS32" i="1"/>
  <c r="HR30" i="1"/>
  <c r="HS30" i="1"/>
  <c r="HR29" i="1"/>
  <c r="HS29" i="1"/>
  <c r="HR28" i="1"/>
  <c r="HS28" i="1"/>
  <c r="HR27" i="1"/>
  <c r="HS27" i="1"/>
  <c r="HR26" i="1"/>
  <c r="HS26" i="1"/>
  <c r="HR25" i="1"/>
  <c r="HS25" i="1"/>
  <c r="HR24" i="1"/>
  <c r="HS24" i="1"/>
  <c r="HR23" i="1"/>
  <c r="HS23" i="1"/>
  <c r="HR22" i="1"/>
  <c r="HS22" i="1"/>
  <c r="HR17" i="1"/>
  <c r="HS17" i="1"/>
  <c r="HR16" i="1"/>
  <c r="HS16" i="1"/>
  <c r="HR15" i="1"/>
  <c r="HS15" i="1"/>
  <c r="HR13" i="1"/>
  <c r="HS13" i="1"/>
  <c r="HR7" i="1"/>
  <c r="HS7" i="1" s="1"/>
  <c r="HR6" i="1"/>
  <c r="HS6" i="1" s="1"/>
  <c r="HP70" i="1"/>
  <c r="HQ70" i="1"/>
  <c r="HP69" i="1"/>
  <c r="HP68" i="1"/>
  <c r="HQ68" i="1"/>
  <c r="HP67" i="1"/>
  <c r="HP66" i="1"/>
  <c r="HQ66" i="1"/>
  <c r="HP64" i="1"/>
  <c r="HQ64" i="1"/>
  <c r="HP63" i="1"/>
  <c r="HQ63" i="1"/>
  <c r="HP62" i="1"/>
  <c r="HQ62" i="1"/>
  <c r="HP61" i="1"/>
  <c r="HP60" i="1"/>
  <c r="HQ60" i="1"/>
  <c r="HP59" i="1"/>
  <c r="HP58" i="1"/>
  <c r="HQ58" i="1"/>
  <c r="HP57" i="1"/>
  <c r="HQ57" i="1"/>
  <c r="HP56" i="1"/>
  <c r="HP55" i="1"/>
  <c r="HQ55" i="1"/>
  <c r="HP54" i="1"/>
  <c r="HP53" i="1"/>
  <c r="HQ53" i="1"/>
  <c r="HP48" i="1"/>
  <c r="HQ48" i="1"/>
  <c r="HP45" i="1"/>
  <c r="HQ45" i="1"/>
  <c r="HP42" i="1"/>
  <c r="HQ42" i="1"/>
  <c r="HP33" i="1"/>
  <c r="HQ33" i="1"/>
  <c r="HP32" i="1"/>
  <c r="HQ32" i="1"/>
  <c r="HP30" i="1"/>
  <c r="HQ30" i="1"/>
  <c r="HP29" i="1"/>
  <c r="HQ29" i="1"/>
  <c r="HP28" i="1"/>
  <c r="HQ28" i="1"/>
  <c r="HP27" i="1"/>
  <c r="HQ27" i="1"/>
  <c r="HP26" i="1"/>
  <c r="HQ26" i="1"/>
  <c r="HP25" i="1"/>
  <c r="HQ25" i="1"/>
  <c r="HP24" i="1"/>
  <c r="HQ24" i="1"/>
  <c r="HP23" i="1"/>
  <c r="HQ23" i="1"/>
  <c r="HP17" i="1"/>
  <c r="HQ17" i="1"/>
  <c r="HP16" i="1"/>
  <c r="HQ16" i="1"/>
  <c r="HP15" i="1"/>
  <c r="HQ15" i="1"/>
  <c r="HP13" i="1"/>
  <c r="HQ13" i="1"/>
  <c r="HP7" i="1"/>
  <c r="HQ7" i="1" s="1"/>
  <c r="HP6" i="1"/>
  <c r="HQ6" i="1" s="1"/>
  <c r="HN70" i="1"/>
  <c r="HO70" i="1"/>
  <c r="HN69" i="1"/>
  <c r="HN68" i="1"/>
  <c r="HO68" i="1"/>
  <c r="HN67" i="1"/>
  <c r="HN66" i="1"/>
  <c r="HO66" i="1"/>
  <c r="HN64" i="1"/>
  <c r="HO64" i="1"/>
  <c r="HN63" i="1"/>
  <c r="HO63" i="1"/>
  <c r="HN62" i="1"/>
  <c r="HO62" i="1"/>
  <c r="HN61" i="1"/>
  <c r="HO61" i="1"/>
  <c r="HN60" i="1"/>
  <c r="HO60" i="1"/>
  <c r="HN59" i="1"/>
  <c r="HO59" i="1"/>
  <c r="HN58" i="1"/>
  <c r="HO58" i="1"/>
  <c r="HN57" i="1"/>
  <c r="HO57" i="1"/>
  <c r="HN56" i="1"/>
  <c r="HO56" i="1"/>
  <c r="HN55" i="1"/>
  <c r="HO55" i="1"/>
  <c r="HN54" i="1"/>
  <c r="HN53" i="1"/>
  <c r="HO53" i="1"/>
  <c r="HN52" i="1"/>
  <c r="HO52" i="1"/>
  <c r="HN48" i="1"/>
  <c r="HO48" i="1"/>
  <c r="HN45" i="1"/>
  <c r="HO45" i="1"/>
  <c r="HN42" i="1"/>
  <c r="HO42" i="1"/>
  <c r="HN41" i="1"/>
  <c r="HN33" i="1"/>
  <c r="HO33" i="1"/>
  <c r="HN32" i="1"/>
  <c r="HO32" i="1"/>
  <c r="HN30" i="1"/>
  <c r="HO30" i="1"/>
  <c r="HN29" i="1"/>
  <c r="HO29" i="1"/>
  <c r="HN28" i="1"/>
  <c r="HO28" i="1"/>
  <c r="HN27" i="1"/>
  <c r="HO27" i="1"/>
  <c r="HN26" i="1"/>
  <c r="HO26" i="1"/>
  <c r="HN25" i="1"/>
  <c r="HO25" i="1"/>
  <c r="HN24" i="1"/>
  <c r="HO24" i="1"/>
  <c r="HN23" i="1"/>
  <c r="HO23" i="1"/>
  <c r="HN17" i="1"/>
  <c r="HO17" i="1"/>
  <c r="HN16" i="1"/>
  <c r="HO16" i="1"/>
  <c r="HN15" i="1"/>
  <c r="HO15" i="1"/>
  <c r="HN13" i="1"/>
  <c r="HO13" i="1"/>
  <c r="HN7" i="1"/>
  <c r="HO7" i="1" s="1"/>
  <c r="HN6" i="1"/>
  <c r="HO6" i="1" s="1"/>
  <c r="HL70" i="1"/>
  <c r="HM70" i="1"/>
  <c r="HL69" i="1"/>
  <c r="HL68" i="1"/>
  <c r="HM68" i="1"/>
  <c r="HL67" i="1"/>
  <c r="HL66" i="1"/>
  <c r="HM66" i="1"/>
  <c r="HL64" i="1"/>
  <c r="HM64" i="1"/>
  <c r="HL63" i="1"/>
  <c r="HM63" i="1"/>
  <c r="HL62" i="1"/>
  <c r="HM62" i="1"/>
  <c r="HL61" i="1"/>
  <c r="HL60" i="1"/>
  <c r="HM60" i="1"/>
  <c r="HL59" i="1"/>
  <c r="HM59" i="1"/>
  <c r="HL58" i="1"/>
  <c r="HM58" i="1"/>
  <c r="HL57" i="1"/>
  <c r="HM57" i="1"/>
  <c r="HL56" i="1"/>
  <c r="HL55" i="1"/>
  <c r="HM55" i="1"/>
  <c r="HL54" i="1"/>
  <c r="HL53" i="1"/>
  <c r="HM53" i="1"/>
  <c r="HL48" i="1"/>
  <c r="HM48" i="1"/>
  <c r="HL45" i="1"/>
  <c r="HM45" i="1"/>
  <c r="HL42" i="1"/>
  <c r="HM42" i="1"/>
  <c r="HL41" i="1"/>
  <c r="HL33" i="1"/>
  <c r="HM33" i="1"/>
  <c r="HL32" i="1"/>
  <c r="HM32" i="1"/>
  <c r="HL30" i="1"/>
  <c r="HM30" i="1"/>
  <c r="HL29" i="1"/>
  <c r="HM29" i="1"/>
  <c r="HL28" i="1"/>
  <c r="HM28" i="1"/>
  <c r="HL27" i="1"/>
  <c r="HM27" i="1"/>
  <c r="HL26" i="1"/>
  <c r="HM26" i="1"/>
  <c r="HL25" i="1"/>
  <c r="HM25" i="1"/>
  <c r="HL24" i="1"/>
  <c r="HM24" i="1"/>
  <c r="HL23" i="1"/>
  <c r="HM23" i="1"/>
  <c r="HL22" i="1"/>
  <c r="HM22" i="1"/>
  <c r="HL17" i="1"/>
  <c r="HM17" i="1"/>
  <c r="HL16" i="1"/>
  <c r="HM16" i="1"/>
  <c r="HL15" i="1"/>
  <c r="HM15" i="1"/>
  <c r="HL13" i="1"/>
  <c r="HM13" i="1"/>
  <c r="HL7" i="1"/>
  <c r="HM7" i="1" s="1"/>
  <c r="HL6" i="1"/>
  <c r="HM6" i="1" s="1"/>
  <c r="HH70" i="1"/>
  <c r="HI70" i="1"/>
  <c r="HH69" i="1"/>
  <c r="HH68" i="1"/>
  <c r="HI68" i="1"/>
  <c r="HH67" i="1"/>
  <c r="HH66" i="1"/>
  <c r="HI66" i="1"/>
  <c r="HH64" i="1"/>
  <c r="HI64" i="1"/>
  <c r="HH63" i="1"/>
  <c r="HI63" i="1"/>
  <c r="HH62" i="1"/>
  <c r="HI62" i="1"/>
  <c r="HH61" i="1"/>
  <c r="HH60" i="1"/>
  <c r="HI60" i="1"/>
  <c r="HH59" i="1"/>
  <c r="HH58" i="1"/>
  <c r="HI58" i="1"/>
  <c r="HH57" i="1"/>
  <c r="HI57" i="1"/>
  <c r="HH56" i="1"/>
  <c r="HH55" i="1"/>
  <c r="HI55" i="1"/>
  <c r="HH54" i="1"/>
  <c r="HH53" i="1"/>
  <c r="HI53" i="1"/>
  <c r="HH48" i="1"/>
  <c r="HI48" i="1"/>
  <c r="HH45" i="1"/>
  <c r="HI45" i="1"/>
  <c r="HH42" i="1"/>
  <c r="HI42" i="1"/>
  <c r="HH33" i="1"/>
  <c r="HI33" i="1"/>
  <c r="HH32" i="1"/>
  <c r="HI32" i="1"/>
  <c r="HH30" i="1"/>
  <c r="HI30" i="1"/>
  <c r="HH29" i="1"/>
  <c r="HI29" i="1"/>
  <c r="HH28" i="1"/>
  <c r="HI28" i="1"/>
  <c r="HH27" i="1"/>
  <c r="HI27" i="1"/>
  <c r="HH26" i="1"/>
  <c r="HI26" i="1"/>
  <c r="HH25" i="1"/>
  <c r="HI25" i="1"/>
  <c r="HH24" i="1"/>
  <c r="HI24" i="1"/>
  <c r="HH23" i="1"/>
  <c r="HI23" i="1"/>
  <c r="HH17" i="1"/>
  <c r="HI17" i="1"/>
  <c r="HH16" i="1"/>
  <c r="HI16" i="1"/>
  <c r="HH15" i="1"/>
  <c r="HI15" i="1"/>
  <c r="HH13" i="1"/>
  <c r="HI13" i="1"/>
  <c r="HH7" i="1"/>
  <c r="HI7" i="1" s="1"/>
  <c r="HH6" i="1"/>
  <c r="HI6" i="1" s="1"/>
  <c r="HF70" i="1"/>
  <c r="HF69" i="1"/>
  <c r="HF68" i="1"/>
  <c r="HG68" i="1"/>
  <c r="HF67" i="1"/>
  <c r="HF66" i="1"/>
  <c r="HG66" i="1"/>
  <c r="HF64" i="1"/>
  <c r="HG64" i="1"/>
  <c r="HF63" i="1"/>
  <c r="HG63" i="1"/>
  <c r="HF62" i="1"/>
  <c r="HG62" i="1"/>
  <c r="HF61" i="1"/>
  <c r="HG61" i="1"/>
  <c r="HF60" i="1"/>
  <c r="HG60" i="1"/>
  <c r="HF59" i="1"/>
  <c r="HG59" i="1"/>
  <c r="HF58" i="1"/>
  <c r="HG58" i="1"/>
  <c r="HF57" i="1"/>
  <c r="HG57" i="1"/>
  <c r="HF56" i="1"/>
  <c r="HF55" i="1"/>
  <c r="HG55" i="1"/>
  <c r="HF54" i="1"/>
  <c r="HF53" i="1"/>
  <c r="HF48" i="1"/>
  <c r="HG48" i="1"/>
  <c r="HF45" i="1"/>
  <c r="HG45" i="1"/>
  <c r="HF42" i="1"/>
  <c r="HG42" i="1"/>
  <c r="HF33" i="1"/>
  <c r="HG33" i="1"/>
  <c r="HF32" i="1"/>
  <c r="HG32" i="1"/>
  <c r="HF30" i="1"/>
  <c r="HG30" i="1"/>
  <c r="HF29" i="1"/>
  <c r="HG29" i="1"/>
  <c r="HF28" i="1"/>
  <c r="HG28" i="1"/>
  <c r="HF27" i="1"/>
  <c r="HG27" i="1"/>
  <c r="HF26" i="1"/>
  <c r="HG26" i="1"/>
  <c r="HF25" i="1"/>
  <c r="HG25" i="1"/>
  <c r="HF24" i="1"/>
  <c r="HG24" i="1"/>
  <c r="HF23" i="1"/>
  <c r="HG23" i="1"/>
  <c r="HF17" i="1"/>
  <c r="HG17" i="1"/>
  <c r="HF16" i="1"/>
  <c r="HG16" i="1"/>
  <c r="HF15" i="1"/>
  <c r="HG15" i="1"/>
  <c r="HF13" i="1"/>
  <c r="HG13" i="1"/>
  <c r="HF7" i="1"/>
  <c r="HG7" i="1" s="1"/>
  <c r="HF6" i="1"/>
  <c r="HG6" i="1" s="1"/>
  <c r="HG70" i="1"/>
  <c r="HD70" i="1"/>
  <c r="HE70" i="1"/>
  <c r="HD69" i="1"/>
  <c r="HD68" i="1"/>
  <c r="HE68" i="1"/>
  <c r="HD67" i="1"/>
  <c r="HD66" i="1"/>
  <c r="HE66" i="1"/>
  <c r="HD64" i="1"/>
  <c r="HE64" i="1"/>
  <c r="HD63" i="1"/>
  <c r="HE63" i="1"/>
  <c r="HD62" i="1"/>
  <c r="HE62" i="1"/>
  <c r="HD61" i="1"/>
  <c r="HE61" i="1"/>
  <c r="HD60" i="1"/>
  <c r="HE60" i="1"/>
  <c r="HD59" i="1"/>
  <c r="HD58" i="1"/>
  <c r="HE58" i="1"/>
  <c r="HD57" i="1"/>
  <c r="HE57" i="1"/>
  <c r="HD56" i="1"/>
  <c r="HD55" i="1"/>
  <c r="HE55" i="1"/>
  <c r="HD54" i="1"/>
  <c r="HD53" i="1"/>
  <c r="HE53" i="1"/>
  <c r="HD48" i="1"/>
  <c r="HE48" i="1"/>
  <c r="HD45" i="1"/>
  <c r="HE45" i="1"/>
  <c r="HD42" i="1"/>
  <c r="HE42" i="1"/>
  <c r="HD33" i="1"/>
  <c r="HE33" i="1"/>
  <c r="HD32" i="1"/>
  <c r="HE32" i="1"/>
  <c r="HD30" i="1"/>
  <c r="HE30" i="1"/>
  <c r="HD29" i="1"/>
  <c r="HE29" i="1"/>
  <c r="HD28" i="1"/>
  <c r="HE28" i="1"/>
  <c r="HD27" i="1"/>
  <c r="HE27" i="1"/>
  <c r="HD26" i="1"/>
  <c r="HE26" i="1"/>
  <c r="HD25" i="1"/>
  <c r="HE25" i="1"/>
  <c r="HD24" i="1"/>
  <c r="HE24" i="1"/>
  <c r="HD23" i="1"/>
  <c r="HE23" i="1"/>
  <c r="HD17" i="1"/>
  <c r="HE17" i="1"/>
  <c r="HD16" i="1"/>
  <c r="HE16" i="1"/>
  <c r="HD15" i="1"/>
  <c r="HE15" i="1"/>
  <c r="HD13" i="1"/>
  <c r="HE13" i="1"/>
  <c r="HD7" i="1"/>
  <c r="HE7" i="1" s="1"/>
  <c r="HD6" i="1"/>
  <c r="HE6" i="1" s="1"/>
  <c r="HB70" i="1"/>
  <c r="HC70" i="1"/>
  <c r="HB69" i="1"/>
  <c r="HB68" i="1"/>
  <c r="HC68" i="1"/>
  <c r="HB67" i="1"/>
  <c r="HB66" i="1"/>
  <c r="HC66" i="1"/>
  <c r="HB64" i="1"/>
  <c r="HC64" i="1"/>
  <c r="HB63" i="1"/>
  <c r="HC63" i="1"/>
  <c r="HB61" i="1"/>
  <c r="HC61" i="1"/>
  <c r="HB60" i="1"/>
  <c r="HC60" i="1"/>
  <c r="HB59" i="1"/>
  <c r="HC59" i="1"/>
  <c r="HB58" i="1"/>
  <c r="HC58" i="1"/>
  <c r="HB57" i="1"/>
  <c r="HC57" i="1"/>
  <c r="HB56" i="1"/>
  <c r="HB55" i="1"/>
  <c r="HB54" i="1"/>
  <c r="HB53" i="1"/>
  <c r="HB48" i="1"/>
  <c r="HC48" i="1"/>
  <c r="HB45" i="1"/>
  <c r="HC45" i="1"/>
  <c r="HB42" i="1"/>
  <c r="HC42" i="1"/>
  <c r="HB37" i="1"/>
  <c r="HC37" i="1"/>
  <c r="HB33" i="1"/>
  <c r="HC33" i="1"/>
  <c r="HB32" i="1"/>
  <c r="HC32" i="1"/>
  <c r="HB30" i="1"/>
  <c r="HC30" i="1"/>
  <c r="HB29" i="1"/>
  <c r="HC29" i="1"/>
  <c r="HB28" i="1"/>
  <c r="HC28" i="1"/>
  <c r="HB27" i="1"/>
  <c r="HC27" i="1"/>
  <c r="HB26" i="1"/>
  <c r="HC26" i="1"/>
  <c r="HB25" i="1"/>
  <c r="HC25" i="1"/>
  <c r="HB24" i="1"/>
  <c r="HC24" i="1"/>
  <c r="HB23" i="1"/>
  <c r="HC23" i="1"/>
  <c r="HB17" i="1"/>
  <c r="HC17" i="1"/>
  <c r="HB16" i="1"/>
  <c r="HC16" i="1"/>
  <c r="HB15" i="1"/>
  <c r="HC15" i="1"/>
  <c r="HB13" i="1"/>
  <c r="HC13" i="1"/>
  <c r="HB7" i="1"/>
  <c r="HC7" i="1" s="1"/>
  <c r="HB6" i="1"/>
  <c r="HC6" i="1" s="1"/>
  <c r="GZ70" i="1"/>
  <c r="HA70" i="1"/>
  <c r="GZ69" i="1"/>
  <c r="GZ68" i="1"/>
  <c r="HA68" i="1"/>
  <c r="GZ67" i="1"/>
  <c r="GZ66" i="1"/>
  <c r="HA66" i="1"/>
  <c r="GZ64" i="1"/>
  <c r="HA64" i="1"/>
  <c r="GZ61" i="1"/>
  <c r="HA61" i="1"/>
  <c r="GZ60" i="1"/>
  <c r="HA60" i="1"/>
  <c r="GZ59" i="1"/>
  <c r="GZ58" i="1"/>
  <c r="HA58" i="1"/>
  <c r="GZ57" i="1"/>
  <c r="HA57" i="1"/>
  <c r="GZ56" i="1"/>
  <c r="GZ55" i="1"/>
  <c r="HA55" i="1"/>
  <c r="GZ54" i="1"/>
  <c r="GZ53" i="1"/>
  <c r="HA53" i="1"/>
  <c r="GZ48" i="1"/>
  <c r="HA48" i="1"/>
  <c r="GZ45" i="1"/>
  <c r="HA45" i="1"/>
  <c r="GZ42" i="1"/>
  <c r="HA42" i="1"/>
  <c r="GZ33" i="1"/>
  <c r="HA33" i="1"/>
  <c r="GZ32" i="1"/>
  <c r="HA32" i="1"/>
  <c r="GZ30" i="1"/>
  <c r="HA30" i="1"/>
  <c r="GZ29" i="1"/>
  <c r="HA29" i="1"/>
  <c r="GZ28" i="1"/>
  <c r="HA28" i="1"/>
  <c r="GZ27" i="1"/>
  <c r="HA27" i="1"/>
  <c r="GZ26" i="1"/>
  <c r="HA26" i="1"/>
  <c r="GZ25" i="1"/>
  <c r="HA25" i="1"/>
  <c r="GZ24" i="1"/>
  <c r="HA24" i="1"/>
  <c r="GZ23" i="1"/>
  <c r="HA23" i="1"/>
  <c r="GZ17" i="1"/>
  <c r="HA17" i="1"/>
  <c r="GZ16" i="1"/>
  <c r="HA16" i="1"/>
  <c r="GZ15" i="1"/>
  <c r="HA15" i="1"/>
  <c r="GZ13" i="1"/>
  <c r="HA13" i="1"/>
  <c r="GZ7" i="1"/>
  <c r="HA7" i="1" s="1"/>
  <c r="GZ6" i="1"/>
  <c r="HA6" i="1" s="1"/>
  <c r="GZ5" i="1"/>
  <c r="HA5" i="1" s="1"/>
  <c r="GX13" i="1"/>
  <c r="GY13" i="1"/>
  <c r="LT13" i="1"/>
  <c r="GX70" i="1"/>
  <c r="GY70" i="1"/>
  <c r="GX69" i="1"/>
  <c r="GX68" i="1"/>
  <c r="GY68" i="1"/>
  <c r="GX67" i="1"/>
  <c r="GX66" i="1"/>
  <c r="GY66" i="1"/>
  <c r="GX64" i="1"/>
  <c r="GY64" i="1"/>
  <c r="GX62" i="1"/>
  <c r="GY62" i="1"/>
  <c r="GX61" i="1"/>
  <c r="GY61" i="1"/>
  <c r="GX60" i="1"/>
  <c r="GY60" i="1"/>
  <c r="GX59" i="1"/>
  <c r="GY59" i="1"/>
  <c r="GX58" i="1"/>
  <c r="GY58" i="1"/>
  <c r="GX57" i="1"/>
  <c r="GY57" i="1"/>
  <c r="GX56" i="1"/>
  <c r="GX55" i="1"/>
  <c r="GY55" i="1"/>
  <c r="GX54" i="1"/>
  <c r="GX53" i="1"/>
  <c r="GY53" i="1"/>
  <c r="GX48" i="1"/>
  <c r="GY48" i="1"/>
  <c r="GX45" i="1"/>
  <c r="GY45" i="1"/>
  <c r="GX42" i="1"/>
  <c r="GY42" i="1"/>
  <c r="GX33" i="1"/>
  <c r="GY33" i="1"/>
  <c r="GX32" i="1"/>
  <c r="GY32" i="1"/>
  <c r="GX30" i="1"/>
  <c r="GY30" i="1"/>
  <c r="GX29" i="1"/>
  <c r="GY29" i="1"/>
  <c r="GX28" i="1"/>
  <c r="GY28" i="1"/>
  <c r="GX27" i="1"/>
  <c r="GY27" i="1"/>
  <c r="GX26" i="1"/>
  <c r="GY26" i="1"/>
  <c r="GX25" i="1"/>
  <c r="GY25" i="1"/>
  <c r="GX24" i="1"/>
  <c r="GY24" i="1"/>
  <c r="GX23" i="1"/>
  <c r="GY23" i="1"/>
  <c r="GX17" i="1"/>
  <c r="GY17" i="1"/>
  <c r="GX16" i="1"/>
  <c r="GY16" i="1"/>
  <c r="GX15" i="1"/>
  <c r="GY15" i="1"/>
  <c r="GX7" i="1"/>
  <c r="GY7" i="1" s="1"/>
  <c r="GX6" i="1"/>
  <c r="GY6" i="1" s="1"/>
  <c r="LK10" i="1"/>
  <c r="LL10" i="1"/>
  <c r="LM10" i="1"/>
  <c r="LN10" i="1"/>
  <c r="LO10" i="1"/>
  <c r="LP10" i="1"/>
  <c r="LQ10" i="1"/>
  <c r="LR10" i="1"/>
  <c r="LS10" i="1"/>
  <c r="LT10" i="1"/>
  <c r="LK13" i="1"/>
  <c r="LL13" i="1"/>
  <c r="LM13" i="1"/>
  <c r="LN13" i="1"/>
  <c r="LO13" i="1"/>
  <c r="LP13" i="1"/>
  <c r="LQ13" i="1"/>
  <c r="LR13" i="1"/>
  <c r="LS13" i="1"/>
  <c r="LK15" i="1"/>
  <c r="LL15" i="1"/>
  <c r="LM15" i="1"/>
  <c r="LN15" i="1"/>
  <c r="LO15" i="1"/>
  <c r="LP15" i="1"/>
  <c r="LQ15" i="1"/>
  <c r="LR15" i="1"/>
  <c r="LS15" i="1"/>
  <c r="LT15" i="1"/>
  <c r="LK16" i="1"/>
  <c r="LL16" i="1"/>
  <c r="LM16" i="1"/>
  <c r="LN16" i="1"/>
  <c r="LO16" i="1"/>
  <c r="LP16" i="1"/>
  <c r="LQ16" i="1"/>
  <c r="LR16" i="1"/>
  <c r="LS16" i="1"/>
  <c r="LT16" i="1"/>
  <c r="LK17" i="1"/>
  <c r="LL17" i="1"/>
  <c r="LM17" i="1"/>
  <c r="LN17" i="1"/>
  <c r="LO17" i="1"/>
  <c r="LP17" i="1"/>
  <c r="LQ17" i="1"/>
  <c r="LR17" i="1"/>
  <c r="LS17" i="1"/>
  <c r="LT17" i="1"/>
  <c r="LT20" i="1"/>
  <c r="LT22" i="1"/>
  <c r="LK23" i="1"/>
  <c r="LL23" i="1"/>
  <c r="LM23" i="1"/>
  <c r="LN23" i="1"/>
  <c r="LO23" i="1"/>
  <c r="LP23" i="1"/>
  <c r="LQ23" i="1"/>
  <c r="LR23" i="1"/>
  <c r="LS23" i="1"/>
  <c r="LT23" i="1"/>
  <c r="LK24" i="1"/>
  <c r="LL24" i="1"/>
  <c r="LM24" i="1"/>
  <c r="LN24" i="1"/>
  <c r="LO24" i="1"/>
  <c r="LP24" i="1"/>
  <c r="LQ24" i="1"/>
  <c r="LR24" i="1"/>
  <c r="LS24" i="1"/>
  <c r="LT24" i="1"/>
  <c r="LK25" i="1"/>
  <c r="LL25" i="1"/>
  <c r="LM25" i="1"/>
  <c r="LN25" i="1"/>
  <c r="LO25" i="1"/>
  <c r="LP25" i="1"/>
  <c r="LQ25" i="1"/>
  <c r="LR25" i="1"/>
  <c r="LS25" i="1"/>
  <c r="LT25" i="1"/>
  <c r="LK26" i="1"/>
  <c r="LL26" i="1"/>
  <c r="LM26" i="1"/>
  <c r="LN26" i="1"/>
  <c r="LO26" i="1"/>
  <c r="LP26" i="1"/>
  <c r="LQ26" i="1"/>
  <c r="LR26" i="1"/>
  <c r="LS26" i="1"/>
  <c r="LT26" i="1"/>
  <c r="LK27" i="1"/>
  <c r="LL27" i="1"/>
  <c r="LM27" i="1"/>
  <c r="LN27" i="1"/>
  <c r="LO27" i="1"/>
  <c r="LP27" i="1"/>
  <c r="LQ27" i="1"/>
  <c r="LR27" i="1"/>
  <c r="LS27" i="1"/>
  <c r="LT27" i="1"/>
  <c r="LK28" i="1"/>
  <c r="LL28" i="1"/>
  <c r="LM28" i="1"/>
  <c r="LN28" i="1"/>
  <c r="LO28" i="1"/>
  <c r="LP28" i="1"/>
  <c r="LQ28" i="1"/>
  <c r="LR28" i="1"/>
  <c r="LS28" i="1"/>
  <c r="LT28" i="1"/>
  <c r="LK29" i="1"/>
  <c r="LL29" i="1"/>
  <c r="LM29" i="1"/>
  <c r="LN29" i="1"/>
  <c r="LO29" i="1"/>
  <c r="LP29" i="1"/>
  <c r="LQ29" i="1"/>
  <c r="LR29" i="1"/>
  <c r="LS29" i="1"/>
  <c r="LT29" i="1"/>
  <c r="LK30" i="1"/>
  <c r="LL30" i="1"/>
  <c r="LM30" i="1"/>
  <c r="LN30" i="1"/>
  <c r="LO30" i="1"/>
  <c r="LP30" i="1"/>
  <c r="LQ30" i="1"/>
  <c r="LR30" i="1"/>
  <c r="LS30" i="1"/>
  <c r="LT30" i="1"/>
  <c r="LK32" i="1"/>
  <c r="LL32" i="1"/>
  <c r="LM32" i="1"/>
  <c r="LN32" i="1"/>
  <c r="LO32" i="1"/>
  <c r="LP32" i="1"/>
  <c r="LQ32" i="1"/>
  <c r="LR32" i="1"/>
  <c r="LS32" i="1"/>
  <c r="LT32" i="1"/>
  <c r="LK33" i="1"/>
  <c r="LL33" i="1"/>
  <c r="LM33" i="1"/>
  <c r="LN33" i="1"/>
  <c r="LO33" i="1"/>
  <c r="LP33" i="1"/>
  <c r="LQ33" i="1"/>
  <c r="LR33" i="1"/>
  <c r="LS33" i="1"/>
  <c r="LT33" i="1"/>
  <c r="LT34" i="1"/>
  <c r="LT35" i="1"/>
  <c r="LK37" i="1"/>
  <c r="LO37" i="1"/>
  <c r="LT37" i="1"/>
  <c r="LL38" i="1"/>
  <c r="LP38" i="1"/>
  <c r="LT38" i="1"/>
  <c r="LT39" i="1"/>
  <c r="LK42" i="1"/>
  <c r="LL42" i="1"/>
  <c r="LM42" i="1"/>
  <c r="LN42" i="1"/>
  <c r="LO42" i="1"/>
  <c r="LP42" i="1"/>
  <c r="LQ42" i="1"/>
  <c r="LR42" i="1"/>
  <c r="LS42" i="1"/>
  <c r="LT42" i="1"/>
  <c r="LT43" i="1"/>
  <c r="LK45" i="1"/>
  <c r="LL45" i="1"/>
  <c r="LM45" i="1"/>
  <c r="LN45" i="1"/>
  <c r="LO45" i="1"/>
  <c r="LP45" i="1"/>
  <c r="LQ45" i="1"/>
  <c r="LR45" i="1"/>
  <c r="LS45" i="1"/>
  <c r="LT45" i="1"/>
  <c r="LT46" i="1"/>
  <c r="LK48" i="1"/>
  <c r="LL48" i="1"/>
  <c r="LM48" i="1"/>
  <c r="LN48" i="1"/>
  <c r="LO48" i="1"/>
  <c r="LP48" i="1"/>
  <c r="LQ48" i="1"/>
  <c r="LR48" i="1"/>
  <c r="LS48" i="1"/>
  <c r="LT48" i="1"/>
  <c r="LT49" i="1"/>
  <c r="LT50" i="1"/>
  <c r="LT52" i="1"/>
  <c r="LK53" i="1"/>
  <c r="LL53" i="1"/>
  <c r="LM53" i="1"/>
  <c r="LN53" i="1"/>
  <c r="LO53" i="1"/>
  <c r="LP53" i="1"/>
  <c r="LQ53" i="1"/>
  <c r="LR53" i="1"/>
  <c r="LS53" i="1"/>
  <c r="LT53" i="1"/>
  <c r="LK54" i="1"/>
  <c r="LL54" i="1"/>
  <c r="LM54" i="1"/>
  <c r="LN54" i="1"/>
  <c r="LO54" i="1"/>
  <c r="LP54" i="1"/>
  <c r="LQ54" i="1"/>
  <c r="LR54" i="1"/>
  <c r="LS54" i="1"/>
  <c r="LT54" i="1"/>
  <c r="LK55" i="1"/>
  <c r="LL55" i="1"/>
  <c r="LM55" i="1"/>
  <c r="LN55" i="1"/>
  <c r="LO55" i="1"/>
  <c r="LP55" i="1"/>
  <c r="LQ55" i="1"/>
  <c r="LR55" i="1"/>
  <c r="LS55" i="1"/>
  <c r="LT55" i="1"/>
  <c r="LK57" i="1"/>
  <c r="LL57" i="1"/>
  <c r="LM57" i="1"/>
  <c r="LN57" i="1"/>
  <c r="LO57" i="1"/>
  <c r="LP57" i="1"/>
  <c r="LQ57" i="1"/>
  <c r="LR57" i="1"/>
  <c r="LS57" i="1"/>
  <c r="LT57" i="1"/>
  <c r="LK58" i="1"/>
  <c r="LL58" i="1"/>
  <c r="LM58" i="1"/>
  <c r="LN58" i="1"/>
  <c r="LO58" i="1"/>
  <c r="LP58" i="1"/>
  <c r="LQ58" i="1"/>
  <c r="LR58" i="1"/>
  <c r="LS58" i="1"/>
  <c r="LT58" i="1"/>
  <c r="LK59" i="1"/>
  <c r="LL59" i="1"/>
  <c r="LM59" i="1"/>
  <c r="LN59" i="1"/>
  <c r="LO59" i="1"/>
  <c r="LP59" i="1"/>
  <c r="LQ59" i="1"/>
  <c r="LR59" i="1"/>
  <c r="LS59" i="1"/>
  <c r="LT59" i="1"/>
  <c r="LK60" i="1"/>
  <c r="LL60" i="1"/>
  <c r="LM60" i="1"/>
  <c r="LN60" i="1"/>
  <c r="LO60" i="1"/>
  <c r="LP60" i="1"/>
  <c r="LQ60" i="1"/>
  <c r="LR60" i="1"/>
  <c r="LS60" i="1"/>
  <c r="LT60" i="1"/>
  <c r="LK61" i="1"/>
  <c r="LL61" i="1"/>
  <c r="LM61" i="1"/>
  <c r="LN61" i="1"/>
  <c r="LO61" i="1"/>
  <c r="LP61" i="1"/>
  <c r="LQ61" i="1"/>
  <c r="LR61" i="1"/>
  <c r="LS61" i="1"/>
  <c r="LT61" i="1"/>
  <c r="LK62" i="1"/>
  <c r="LL62" i="1"/>
  <c r="LM62" i="1"/>
  <c r="LN62" i="1"/>
  <c r="LO62" i="1"/>
  <c r="LP62" i="1"/>
  <c r="LQ62" i="1"/>
  <c r="LR62" i="1"/>
  <c r="LS62" i="1"/>
  <c r="LT62" i="1"/>
  <c r="LK63" i="1"/>
  <c r="LL63" i="1"/>
  <c r="LM63" i="1"/>
  <c r="LN63" i="1"/>
  <c r="LO63" i="1"/>
  <c r="LP63" i="1"/>
  <c r="LQ63" i="1"/>
  <c r="LR63" i="1"/>
  <c r="LS63" i="1"/>
  <c r="LT63" i="1"/>
  <c r="LK64" i="1"/>
  <c r="LL64" i="1"/>
  <c r="LM64" i="1"/>
  <c r="LN64" i="1"/>
  <c r="LO64" i="1"/>
  <c r="LP64" i="1"/>
  <c r="LQ64" i="1"/>
  <c r="LR64" i="1"/>
  <c r="LS64" i="1"/>
  <c r="LT64" i="1"/>
  <c r="LK66" i="1"/>
  <c r="LL66" i="1"/>
  <c r="LM66" i="1"/>
  <c r="LN66" i="1"/>
  <c r="LO66" i="1"/>
  <c r="LP66" i="1"/>
  <c r="LQ66" i="1"/>
  <c r="LR66" i="1"/>
  <c r="LS66" i="1"/>
  <c r="LT66" i="1"/>
  <c r="LK67" i="1"/>
  <c r="LL67" i="1"/>
  <c r="LM67" i="1"/>
  <c r="LN67" i="1"/>
  <c r="LO67" i="1"/>
  <c r="LP67" i="1"/>
  <c r="LQ67" i="1"/>
  <c r="LR67" i="1"/>
  <c r="LS67" i="1"/>
  <c r="LT67" i="1"/>
  <c r="LK68" i="1"/>
  <c r="LL68" i="1"/>
  <c r="LM68" i="1"/>
  <c r="LN68" i="1"/>
  <c r="LO68" i="1"/>
  <c r="LP68" i="1"/>
  <c r="LQ68" i="1"/>
  <c r="LR68" i="1"/>
  <c r="LS68" i="1"/>
  <c r="LT68" i="1"/>
  <c r="LK69" i="1"/>
  <c r="LL69" i="1"/>
  <c r="LM69" i="1"/>
  <c r="LN69" i="1"/>
  <c r="LO69" i="1"/>
  <c r="LP69" i="1"/>
  <c r="LQ69" i="1"/>
  <c r="LR69" i="1"/>
  <c r="LS69" i="1"/>
  <c r="LT69" i="1"/>
  <c r="LK70" i="1"/>
  <c r="LL70" i="1"/>
  <c r="LM70" i="1"/>
  <c r="LN70" i="1"/>
  <c r="LO70" i="1"/>
  <c r="LP70" i="1"/>
  <c r="LQ70" i="1"/>
  <c r="LR70" i="1"/>
  <c r="LS70" i="1"/>
  <c r="LT70" i="1"/>
  <c r="LI10" i="1"/>
  <c r="LJ10" i="1"/>
  <c r="LI13" i="1"/>
  <c r="LJ13" i="1"/>
  <c r="LI15" i="1"/>
  <c r="LJ15" i="1"/>
  <c r="LI16" i="1"/>
  <c r="LJ16" i="1"/>
  <c r="LI17" i="1"/>
  <c r="LJ17" i="1"/>
  <c r="LI23" i="1"/>
  <c r="LJ23" i="1"/>
  <c r="LI24" i="1"/>
  <c r="LJ24" i="1"/>
  <c r="LI25" i="1"/>
  <c r="LJ25" i="1"/>
  <c r="LI26" i="1"/>
  <c r="LJ26" i="1"/>
  <c r="LI27" i="1"/>
  <c r="LJ27" i="1"/>
  <c r="LI28" i="1"/>
  <c r="LJ28" i="1"/>
  <c r="LI29" i="1"/>
  <c r="LJ29" i="1"/>
  <c r="LI30" i="1"/>
  <c r="LJ30" i="1"/>
  <c r="LI32" i="1"/>
  <c r="LJ32" i="1"/>
  <c r="LI33" i="1"/>
  <c r="LJ33" i="1"/>
  <c r="LI42" i="1"/>
  <c r="LJ42" i="1"/>
  <c r="LI45" i="1"/>
  <c r="LJ45" i="1"/>
  <c r="LI48" i="1"/>
  <c r="LJ48" i="1"/>
  <c r="LI53" i="1"/>
  <c r="LJ53" i="1"/>
  <c r="LI54" i="1"/>
  <c r="LJ54" i="1"/>
  <c r="LI55" i="1"/>
  <c r="LJ55" i="1"/>
  <c r="LI57" i="1"/>
  <c r="LJ57" i="1"/>
  <c r="LI58" i="1"/>
  <c r="LJ58" i="1"/>
  <c r="LI59" i="1"/>
  <c r="LJ59" i="1"/>
  <c r="LI60" i="1"/>
  <c r="LJ60" i="1"/>
  <c r="LI61" i="1"/>
  <c r="LJ61" i="1"/>
  <c r="LI62" i="1"/>
  <c r="LJ63" i="1"/>
  <c r="LI64" i="1"/>
  <c r="LJ64" i="1"/>
  <c r="LI66" i="1"/>
  <c r="LJ66" i="1"/>
  <c r="LI67" i="1"/>
  <c r="LJ67" i="1"/>
  <c r="LI68" i="1"/>
  <c r="LJ68" i="1"/>
  <c r="LI69" i="1"/>
  <c r="LJ69" i="1"/>
  <c r="LI70" i="1"/>
  <c r="LJ70" i="1"/>
  <c r="CY204" i="1"/>
  <c r="CX204" i="1"/>
  <c r="CW204" i="1"/>
  <c r="CV204" i="1"/>
  <c r="CU204" i="1"/>
  <c r="CT204" i="1"/>
  <c r="CS204" i="1"/>
  <c r="CR204" i="1"/>
  <c r="CQ204" i="1"/>
  <c r="CP204" i="1"/>
  <c r="CO204" i="1"/>
  <c r="CN204" i="1"/>
  <c r="CZ64" i="1"/>
  <c r="V62" i="22"/>
  <c r="LJ62" i="1"/>
  <c r="CZ61" i="1"/>
  <c r="V59" i="22"/>
  <c r="CZ60" i="1"/>
  <c r="V58" i="22"/>
  <c r="CZ59" i="1"/>
  <c r="V57" i="22"/>
  <c r="CZ58" i="1"/>
  <c r="V56" i="22"/>
  <c r="CZ57" i="1"/>
  <c r="V55" i="22"/>
  <c r="CZ56" i="1"/>
  <c r="V54" i="22"/>
  <c r="AA54" i="22"/>
  <c r="AB54" i="22" s="1"/>
  <c r="CZ55" i="1"/>
  <c r="V53" i="22"/>
  <c r="CZ54" i="1"/>
  <c r="V52" i="22"/>
  <c r="CZ53" i="1"/>
  <c r="V51" i="22"/>
  <c r="LQ52" i="1"/>
  <c r="LO52" i="1"/>
  <c r="LM52" i="1"/>
  <c r="LL52" i="1"/>
  <c r="LK52" i="1"/>
  <c r="LI52" i="1"/>
  <c r="LR50" i="1"/>
  <c r="LO50" i="1"/>
  <c r="LL50" i="1"/>
  <c r="LK50" i="1"/>
  <c r="LJ50" i="1"/>
  <c r="LI50" i="1"/>
  <c r="CZ48" i="1"/>
  <c r="V46" i="22"/>
  <c r="CZ45" i="1"/>
  <c r="V43" i="22"/>
  <c r="CV11" i="1"/>
  <c r="LO38" i="1"/>
  <c r="HD38" i="1"/>
  <c r="HE38" i="1"/>
  <c r="LK38" i="1"/>
  <c r="LI38" i="1"/>
  <c r="HT37" i="1"/>
  <c r="HU37" i="1"/>
  <c r="LR37" i="1"/>
  <c r="LJ37" i="1"/>
  <c r="GZ37" i="1"/>
  <c r="HA37" i="1"/>
  <c r="LO34" i="1"/>
  <c r="LN34" i="1"/>
  <c r="LK34" i="1"/>
  <c r="LJ34" i="1"/>
  <c r="LI34" i="1"/>
  <c r="CZ28" i="1"/>
  <c r="V27" i="22"/>
  <c r="CZ27" i="1"/>
  <c r="V26" i="22"/>
  <c r="V25" i="22"/>
  <c r="V24" i="22"/>
  <c r="V23" i="22"/>
  <c r="CZ23" i="1"/>
  <c r="V22" i="22"/>
  <c r="LS49" i="1"/>
  <c r="LR49" i="1"/>
  <c r="LO49" i="1"/>
  <c r="HD22" i="1"/>
  <c r="HE22" i="1"/>
  <c r="LK49" i="1"/>
  <c r="LJ49" i="1"/>
  <c r="GX22" i="1"/>
  <c r="GY22" i="1"/>
  <c r="CY4" i="1"/>
  <c r="CZ7" i="1"/>
  <c r="V6" i="22" s="1"/>
  <c r="CZ6" i="1"/>
  <c r="V5" i="22" s="1"/>
  <c r="V17" i="22" s="1"/>
  <c r="HL5" i="1"/>
  <c r="HM5" i="1" s="1"/>
  <c r="HD5" i="1"/>
  <c r="HE5" i="1" s="1"/>
  <c r="HB5" i="1"/>
  <c r="HC5" i="1" s="1"/>
  <c r="GX5" i="1"/>
  <c r="GY5" i="1" s="1"/>
  <c r="L12" i="23"/>
  <c r="CW35" i="1"/>
  <c r="CW20" i="1"/>
  <c r="CW43" i="1"/>
  <c r="CV43" i="1"/>
  <c r="K12" i="23"/>
  <c r="CV20" i="1"/>
  <c r="CV35" i="1"/>
  <c r="CZ204" i="1"/>
  <c r="HJ49" i="1"/>
  <c r="HK49" i="1"/>
  <c r="HJ34" i="1"/>
  <c r="HK34" i="1"/>
  <c r="LS34" i="1"/>
  <c r="HR34" i="1"/>
  <c r="HS34" i="1"/>
  <c r="HT34" i="1"/>
  <c r="HU34" i="1"/>
  <c r="LQ11" i="1"/>
  <c r="CZ63" i="1"/>
  <c r="V61" i="22"/>
  <c r="AA61" i="22"/>
  <c r="AB61" i="22"/>
  <c r="LI63" i="1"/>
  <c r="GX63" i="1"/>
  <c r="GY63" i="1"/>
  <c r="GX38" i="1"/>
  <c r="GY38" i="1"/>
  <c r="HD50" i="1"/>
  <c r="HE50" i="1"/>
  <c r="HN38" i="1"/>
  <c r="HO38" i="1"/>
  <c r="HL37" i="1"/>
  <c r="HM37" i="1"/>
  <c r="CR11" i="1"/>
  <c r="HF38" i="1"/>
  <c r="HG38" i="1"/>
  <c r="LP50" i="1"/>
  <c r="HL50" i="1"/>
  <c r="HM50" i="1"/>
  <c r="LN52" i="1"/>
  <c r="HH52" i="1"/>
  <c r="HI52" i="1"/>
  <c r="LR52" i="1"/>
  <c r="HP52" i="1"/>
  <c r="HQ52" i="1"/>
  <c r="HF5" i="1"/>
  <c r="HG5" i="1" s="1"/>
  <c r="HN5" i="1"/>
  <c r="HO5" i="1" s="1"/>
  <c r="HP11" i="1"/>
  <c r="HQ11" i="1"/>
  <c r="HF22" i="1"/>
  <c r="HG22" i="1"/>
  <c r="HN22" i="1"/>
  <c r="HO22" i="1"/>
  <c r="HP22" i="1"/>
  <c r="HQ22" i="1"/>
  <c r="LL34" i="1"/>
  <c r="HD34" i="1"/>
  <c r="HE34" i="1"/>
  <c r="LP34" i="1"/>
  <c r="LI37" i="1"/>
  <c r="GX37" i="1"/>
  <c r="GY37" i="1"/>
  <c r="LM37" i="1"/>
  <c r="HF37" i="1"/>
  <c r="HG37" i="1"/>
  <c r="LQ37" i="1"/>
  <c r="HN37" i="1"/>
  <c r="HO37" i="1"/>
  <c r="HP37" i="1"/>
  <c r="HQ37" i="1"/>
  <c r="CO11" i="1"/>
  <c r="GZ38" i="1"/>
  <c r="HA38" i="1"/>
  <c r="CS11" i="1"/>
  <c r="HH38" i="1"/>
  <c r="HI38" i="1"/>
  <c r="LR38" i="1"/>
  <c r="HP38" i="1"/>
  <c r="HQ38" i="1"/>
  <c r="LM50" i="1"/>
  <c r="HF50" i="1"/>
  <c r="HG50" i="1"/>
  <c r="LQ50" i="1"/>
  <c r="HN50" i="1"/>
  <c r="HO50" i="1"/>
  <c r="HP50" i="1"/>
  <c r="HQ50" i="1"/>
  <c r="LS52" i="1"/>
  <c r="HT52" i="1"/>
  <c r="HU52" i="1"/>
  <c r="HR52" i="1"/>
  <c r="HS52" i="1"/>
  <c r="GZ63" i="1"/>
  <c r="HA63" i="1"/>
  <c r="HB38" i="1"/>
  <c r="HC38" i="1"/>
  <c r="HD37" i="1"/>
  <c r="HE37" i="1"/>
  <c r="HD52" i="1"/>
  <c r="HE52" i="1"/>
  <c r="HL34" i="1"/>
  <c r="HM34" i="1"/>
  <c r="HH5" i="1"/>
  <c r="HI5" i="1" s="1"/>
  <c r="HP5" i="1"/>
  <c r="HQ5" i="1" s="1"/>
  <c r="LQ34" i="1"/>
  <c r="HN34" i="1"/>
  <c r="HO34" i="1"/>
  <c r="LN37" i="1"/>
  <c r="HH37" i="1"/>
  <c r="HI37" i="1"/>
  <c r="LS38" i="1"/>
  <c r="HT38" i="1"/>
  <c r="HU38" i="1"/>
  <c r="HR38" i="1"/>
  <c r="HS38" i="1"/>
  <c r="LN50" i="1"/>
  <c r="HH50" i="1"/>
  <c r="HI50" i="1"/>
  <c r="LP52" i="1"/>
  <c r="HL52" i="1"/>
  <c r="HM52" i="1"/>
  <c r="HB62" i="1"/>
  <c r="HC62" i="1"/>
  <c r="HH34" i="1"/>
  <c r="HI34" i="1"/>
  <c r="HH22" i="1"/>
  <c r="HI22" i="1"/>
  <c r="LM34" i="1"/>
  <c r="HF34" i="1"/>
  <c r="HG34" i="1"/>
  <c r="HJ5" i="1"/>
  <c r="HK5" i="1" s="1"/>
  <c r="LR34" i="1"/>
  <c r="HP34" i="1"/>
  <c r="HQ34" i="1"/>
  <c r="HL38" i="1"/>
  <c r="HM38" i="1"/>
  <c r="LS50" i="1"/>
  <c r="HT50" i="1"/>
  <c r="HU50" i="1"/>
  <c r="LS37" i="1"/>
  <c r="GZ62" i="1"/>
  <c r="HA62" i="1"/>
  <c r="HF52" i="1"/>
  <c r="HG52" i="1"/>
  <c r="HR5" i="1"/>
  <c r="HS5" i="1" s="1"/>
  <c r="HR49" i="1"/>
  <c r="HS49" i="1"/>
  <c r="HT22" i="1"/>
  <c r="HU22" i="1"/>
  <c r="HT49" i="1"/>
  <c r="HU49" i="1"/>
  <c r="GX52" i="1"/>
  <c r="GY52" i="1"/>
  <c r="GZ34" i="1"/>
  <c r="HA34" i="1"/>
  <c r="HB34" i="1"/>
  <c r="HC34" i="1"/>
  <c r="HB49" i="1"/>
  <c r="HC49" i="1"/>
  <c r="GZ22" i="1"/>
  <c r="HA22" i="1"/>
  <c r="GZ50" i="1"/>
  <c r="HA50" i="1"/>
  <c r="HB22" i="1"/>
  <c r="HC22" i="1"/>
  <c r="HB50" i="1"/>
  <c r="HC50" i="1"/>
  <c r="GX34" i="1"/>
  <c r="GY34" i="1"/>
  <c r="GX50" i="1"/>
  <c r="GY50" i="1"/>
  <c r="CZ13" i="1"/>
  <c r="V12" i="22"/>
  <c r="LR22" i="1"/>
  <c r="LM22" i="1"/>
  <c r="LT11" i="1"/>
  <c r="LR11" i="1"/>
  <c r="LL22" i="1"/>
  <c r="LP22" i="1"/>
  <c r="CU11" i="1"/>
  <c r="LL39" i="1"/>
  <c r="LQ38" i="1"/>
  <c r="GZ49" i="1"/>
  <c r="HA49" i="1"/>
  <c r="LI22" i="1"/>
  <c r="LJ38" i="1"/>
  <c r="LL37" i="1"/>
  <c r="LN38" i="1"/>
  <c r="LQ22" i="1"/>
  <c r="LJ22" i="1"/>
  <c r="LM38" i="1"/>
  <c r="LP37" i="1"/>
  <c r="LN22" i="1"/>
  <c r="HD39" i="1"/>
  <c r="HE39" i="1"/>
  <c r="CQ11" i="1"/>
  <c r="LS22" i="1"/>
  <c r="LO22" i="1"/>
  <c r="LK22" i="1"/>
  <c r="CZ62" i="1"/>
  <c r="V60" i="22"/>
  <c r="CT11" i="1"/>
  <c r="CZ22" i="1"/>
  <c r="CP11" i="1"/>
  <c r="CP43" i="1"/>
  <c r="CZ38" i="1"/>
  <c r="V36" i="22"/>
  <c r="LI11" i="1"/>
  <c r="HN39" i="1"/>
  <c r="HO39" i="1"/>
  <c r="CV4" i="1"/>
  <c r="CW4" i="1"/>
  <c r="CX11" i="1"/>
  <c r="GZ39" i="1"/>
  <c r="HA39" i="1"/>
  <c r="CZ37" i="1"/>
  <c r="V35" i="22"/>
  <c r="HF39" i="1"/>
  <c r="HG39" i="1"/>
  <c r="CZ50" i="1"/>
  <c r="V48" i="22"/>
  <c r="LG56" i="1"/>
  <c r="M12" i="23"/>
  <c r="CX35" i="1"/>
  <c r="CX43" i="1"/>
  <c r="CX20" i="1"/>
  <c r="J12" i="23"/>
  <c r="CU43" i="1"/>
  <c r="CU20" i="1"/>
  <c r="CU35" i="1"/>
  <c r="CT43" i="1"/>
  <c r="LO43" i="1"/>
  <c r="CT20" i="1"/>
  <c r="LO20" i="1"/>
  <c r="CT35" i="1"/>
  <c r="LO35" i="1"/>
  <c r="H12" i="23"/>
  <c r="CS35" i="1"/>
  <c r="CS20" i="1"/>
  <c r="CS43" i="1"/>
  <c r="CR43" i="1"/>
  <c r="LM43" i="1"/>
  <c r="CR20" i="1"/>
  <c r="CR35" i="1"/>
  <c r="F12" i="23"/>
  <c r="CQ43" i="1"/>
  <c r="CQ20" i="1"/>
  <c r="CQ35" i="1"/>
  <c r="E12" i="23"/>
  <c r="CP20" i="1"/>
  <c r="CP35" i="1"/>
  <c r="CO35" i="1"/>
  <c r="LJ35" i="1"/>
  <c r="CO43" i="1"/>
  <c r="LJ43" i="1"/>
  <c r="CO20" i="1"/>
  <c r="CZ49" i="1"/>
  <c r="V47" i="22"/>
  <c r="V21" i="22"/>
  <c r="HN11" i="1"/>
  <c r="HO11" i="1"/>
  <c r="HJ11" i="1"/>
  <c r="HK11" i="1"/>
  <c r="I12" i="23"/>
  <c r="CR4" i="1"/>
  <c r="G12" i="23"/>
  <c r="LJ11" i="1"/>
  <c r="D12" i="23"/>
  <c r="CO4" i="1"/>
  <c r="LR35" i="1"/>
  <c r="HP35" i="1"/>
  <c r="HQ35" i="1"/>
  <c r="LR43" i="1"/>
  <c r="HP43" i="1"/>
  <c r="HQ43" i="1"/>
  <c r="LN49" i="1"/>
  <c r="HH49" i="1"/>
  <c r="HI49" i="1"/>
  <c r="LN11" i="1"/>
  <c r="HH11" i="1"/>
  <c r="HI11" i="1"/>
  <c r="CS4" i="1"/>
  <c r="HR39" i="1"/>
  <c r="HS39" i="1"/>
  <c r="HT39" i="1"/>
  <c r="HU39" i="1"/>
  <c r="LP11" i="1"/>
  <c r="HL11" i="1"/>
  <c r="HM11" i="1"/>
  <c r="LR20" i="1"/>
  <c r="HP20" i="1"/>
  <c r="HQ20" i="1"/>
  <c r="LQ43" i="1"/>
  <c r="LQ35" i="1"/>
  <c r="HD11" i="1"/>
  <c r="HE11" i="1"/>
  <c r="LP49" i="1"/>
  <c r="HL49" i="1"/>
  <c r="HM49" i="1"/>
  <c r="LQ49" i="1"/>
  <c r="HN49" i="1"/>
  <c r="HO49" i="1"/>
  <c r="HP49" i="1"/>
  <c r="HQ49" i="1"/>
  <c r="HP39" i="1"/>
  <c r="HQ39" i="1"/>
  <c r="LS11" i="1"/>
  <c r="HR11" i="1"/>
  <c r="HS11" i="1"/>
  <c r="HT11" i="1"/>
  <c r="HU11" i="1"/>
  <c r="HH39" i="1"/>
  <c r="HI39" i="1"/>
  <c r="LQ20" i="1"/>
  <c r="HL39" i="1"/>
  <c r="HM39" i="1"/>
  <c r="LL49" i="1"/>
  <c r="HD49" i="1"/>
  <c r="HE49" i="1"/>
  <c r="GZ11" i="1"/>
  <c r="HA11" i="1"/>
  <c r="LM49" i="1"/>
  <c r="HF49" i="1"/>
  <c r="HG49" i="1"/>
  <c r="LM11" i="1"/>
  <c r="HF11" i="1"/>
  <c r="HG11" i="1"/>
  <c r="LL46" i="1"/>
  <c r="HD46" i="1"/>
  <c r="HE46" i="1"/>
  <c r="HB52" i="1"/>
  <c r="HC52" i="1"/>
  <c r="GZ52" i="1"/>
  <c r="HA52" i="1"/>
  <c r="LI39" i="1"/>
  <c r="GX39" i="1"/>
  <c r="GY39" i="1"/>
  <c r="LK11" i="1"/>
  <c r="HB11" i="1"/>
  <c r="HC11" i="1"/>
  <c r="LI49" i="1"/>
  <c r="GX49" i="1"/>
  <c r="GY49" i="1"/>
  <c r="HB39" i="1"/>
  <c r="HC39" i="1"/>
  <c r="LJ52" i="1"/>
  <c r="LR39" i="1"/>
  <c r="LO11" i="1"/>
  <c r="LL11" i="1"/>
  <c r="LN39" i="1"/>
  <c r="LQ39" i="1"/>
  <c r="LS39" i="1"/>
  <c r="CQ4" i="1"/>
  <c r="CU4" i="1"/>
  <c r="LO39" i="1"/>
  <c r="LP39" i="1"/>
  <c r="LM39" i="1"/>
  <c r="LJ39" i="1"/>
  <c r="LO46" i="1"/>
  <c r="CZ52" i="1"/>
  <c r="V50" i="22"/>
  <c r="LK39" i="1"/>
  <c r="CT4" i="1"/>
  <c r="CX4" i="1"/>
  <c r="CZ39" i="1"/>
  <c r="CZ11" i="1"/>
  <c r="V10" i="22"/>
  <c r="CN4" i="1"/>
  <c r="CP4" i="1"/>
  <c r="CJ38" i="1"/>
  <c r="CJ37" i="1"/>
  <c r="LN43" i="1"/>
  <c r="IV35" i="1"/>
  <c r="IW35" i="1" s="1"/>
  <c r="IV20" i="1"/>
  <c r="IW20" i="1" s="1"/>
  <c r="HN35" i="1"/>
  <c r="HO35" i="1"/>
  <c r="HH43" i="1"/>
  <c r="HI43" i="1"/>
  <c r="HJ20" i="1"/>
  <c r="HK20" i="1"/>
  <c r="HJ35" i="1"/>
  <c r="HK35" i="1"/>
  <c r="LN20" i="1"/>
  <c r="HJ43" i="1"/>
  <c r="HK43" i="1"/>
  <c r="LM35" i="1"/>
  <c r="HH20" i="1"/>
  <c r="HI20" i="1"/>
  <c r="LM20" i="1"/>
  <c r="CZ4" i="1"/>
  <c r="DA70" i="1" s="1"/>
  <c r="O12" i="23"/>
  <c r="LJ20" i="1"/>
  <c r="CZ46" i="1"/>
  <c r="V44" i="22"/>
  <c r="V37" i="22"/>
  <c r="LS20" i="1"/>
  <c r="HR20" i="1"/>
  <c r="HS20" i="1"/>
  <c r="HT20" i="1"/>
  <c r="HU20" i="1"/>
  <c r="LS43" i="1"/>
  <c r="HR43" i="1"/>
  <c r="HS43" i="1"/>
  <c r="HT43" i="1"/>
  <c r="HU43" i="1"/>
  <c r="LP43" i="1"/>
  <c r="HL43" i="1"/>
  <c r="HM43" i="1"/>
  <c r="LL35" i="1"/>
  <c r="HD35" i="1"/>
  <c r="HE35" i="1"/>
  <c r="LN35" i="1"/>
  <c r="HH35" i="1"/>
  <c r="HI35" i="1"/>
  <c r="LP20" i="1"/>
  <c r="HL20" i="1"/>
  <c r="HM20" i="1"/>
  <c r="LP46" i="1"/>
  <c r="HL46" i="1"/>
  <c r="HM46" i="1"/>
  <c r="LQ46" i="1"/>
  <c r="HN46" i="1"/>
  <c r="HO46" i="1"/>
  <c r="LN46" i="1"/>
  <c r="HH46" i="1"/>
  <c r="HI46" i="1"/>
  <c r="LP35" i="1"/>
  <c r="HL35" i="1"/>
  <c r="HM35" i="1"/>
  <c r="HN43" i="1"/>
  <c r="HO43" i="1"/>
  <c r="LS35" i="1"/>
  <c r="HT35" i="1"/>
  <c r="HU35" i="1"/>
  <c r="HR35" i="1"/>
  <c r="HS35" i="1"/>
  <c r="LL43" i="1"/>
  <c r="HD43" i="1"/>
  <c r="HE43" i="1"/>
  <c r="LM46" i="1"/>
  <c r="HF46" i="1"/>
  <c r="HG46" i="1"/>
  <c r="LS46" i="1"/>
  <c r="HT46" i="1"/>
  <c r="HU46" i="1"/>
  <c r="HR46" i="1"/>
  <c r="HS46" i="1"/>
  <c r="LL20" i="1"/>
  <c r="HD20" i="1"/>
  <c r="HE20" i="1"/>
  <c r="LR46" i="1"/>
  <c r="HP46" i="1"/>
  <c r="HQ46" i="1"/>
  <c r="HN20" i="1"/>
  <c r="HO20" i="1"/>
  <c r="HF43" i="1"/>
  <c r="HG43" i="1"/>
  <c r="HF35" i="1"/>
  <c r="HG35" i="1"/>
  <c r="HF20" i="1"/>
  <c r="HG20" i="1"/>
  <c r="LI35" i="1"/>
  <c r="LK20" i="1"/>
  <c r="HB20" i="1"/>
  <c r="HC20" i="1"/>
  <c r="LI43" i="1"/>
  <c r="GZ43" i="1"/>
  <c r="HA43" i="1"/>
  <c r="LK43" i="1"/>
  <c r="HB43" i="1"/>
  <c r="HC43" i="1"/>
  <c r="LI20" i="1"/>
  <c r="LI46" i="1"/>
  <c r="GX46" i="1"/>
  <c r="GY46" i="1"/>
  <c r="GZ46" i="1"/>
  <c r="HA46" i="1"/>
  <c r="GZ35" i="1"/>
  <c r="HA35" i="1"/>
  <c r="LK35" i="1"/>
  <c r="HB35" i="1"/>
  <c r="HC35" i="1"/>
  <c r="LK46" i="1"/>
  <c r="HB46" i="1"/>
  <c r="HC46" i="1"/>
  <c r="GZ20" i="1"/>
  <c r="HA20" i="1"/>
  <c r="LJ46" i="1"/>
  <c r="CJ18" i="1"/>
  <c r="P12" i="23"/>
  <c r="CJ52" i="1"/>
  <c r="CJ50" i="1"/>
  <c r="CJ39" i="1"/>
  <c r="CJ46" i="1"/>
  <c r="CJ34" i="1"/>
  <c r="CJ22" i="1"/>
  <c r="CJ19" i="1"/>
  <c r="LG19" i="1" s="1"/>
  <c r="CJ49" i="1"/>
  <c r="CJ40" i="1"/>
  <c r="LG40" i="1" s="1"/>
  <c r="CI5" i="1"/>
  <c r="CI38" i="1"/>
  <c r="CI37" i="1"/>
  <c r="CI34" i="1"/>
  <c r="CI52" i="1"/>
  <c r="CI50" i="1"/>
  <c r="CI39" i="1"/>
  <c r="CI46" i="1"/>
  <c r="CI22" i="1"/>
  <c r="CI49" i="1"/>
  <c r="CI19" i="1"/>
  <c r="CI18" i="1"/>
  <c r="LF18" i="1" s="1"/>
  <c r="CI40" i="1"/>
  <c r="CH38" i="1"/>
  <c r="CH37" i="1"/>
  <c r="CH5" i="1"/>
  <c r="CH52" i="1"/>
  <c r="CH50" i="1"/>
  <c r="CH39" i="1"/>
  <c r="CH34" i="1"/>
  <c r="CH22" i="1"/>
  <c r="CH19" i="1"/>
  <c r="LE19" i="1" s="1"/>
  <c r="CH18" i="1"/>
  <c r="CH46" i="1"/>
  <c r="CH49" i="1"/>
  <c r="CH40" i="1"/>
  <c r="LE40" i="1" s="1"/>
  <c r="CG37" i="1"/>
  <c r="CG38" i="1"/>
  <c r="CG5" i="1"/>
  <c r="CF5" i="1"/>
  <c r="CG52" i="1"/>
  <c r="CG50" i="1"/>
  <c r="CG39" i="1"/>
  <c r="CG34" i="1"/>
  <c r="CG22" i="1"/>
  <c r="CG49" i="1"/>
  <c r="CG19" i="1"/>
  <c r="LD19" i="1" s="1"/>
  <c r="CG18" i="1"/>
  <c r="LD18" i="1" s="1"/>
  <c r="CG40" i="1"/>
  <c r="LD40" i="1" s="1"/>
  <c r="CG46" i="1"/>
  <c r="CF38" i="1"/>
  <c r="CF37" i="1"/>
  <c r="LC56" i="1"/>
  <c r="CF52" i="1"/>
  <c r="CF50" i="1"/>
  <c r="CF39" i="1"/>
  <c r="CF46" i="1"/>
  <c r="CF34" i="1"/>
  <c r="CF22" i="1"/>
  <c r="CF49" i="1"/>
  <c r="CF19" i="1"/>
  <c r="CF18" i="1"/>
  <c r="CF40" i="1"/>
  <c r="LC40" i="1" s="1"/>
  <c r="LB56" i="1"/>
  <c r="CE38" i="1"/>
  <c r="CE37" i="1"/>
  <c r="CE5" i="1"/>
  <c r="CE52" i="1"/>
  <c r="CE50" i="1"/>
  <c r="CE39" i="1"/>
  <c r="CE34" i="1"/>
  <c r="CE22" i="1"/>
  <c r="CE49" i="1"/>
  <c r="CE19" i="1"/>
  <c r="CE18" i="1"/>
  <c r="LB18" i="1" s="1"/>
  <c r="CE40" i="1"/>
  <c r="CE46" i="1"/>
  <c r="CD5" i="1"/>
  <c r="CD38" i="1"/>
  <c r="CD37" i="1"/>
  <c r="LA56" i="1"/>
  <c r="CD19" i="1"/>
  <c r="LA19" i="1" s="1"/>
  <c r="CD52" i="1"/>
  <c r="CD50" i="1"/>
  <c r="CD34" i="1"/>
  <c r="CD22" i="1"/>
  <c r="CD49" i="1"/>
  <c r="CD18" i="1"/>
  <c r="LA18" i="1" s="1"/>
  <c r="CD39" i="1"/>
  <c r="CC37" i="1"/>
  <c r="CC38" i="1"/>
  <c r="CD40" i="1"/>
  <c r="LA40" i="1" s="1"/>
  <c r="CD46" i="1"/>
  <c r="CC5" i="1"/>
  <c r="KZ56" i="1"/>
  <c r="CC52" i="1"/>
  <c r="CC50" i="1"/>
  <c r="CC39" i="1"/>
  <c r="CC34" i="1"/>
  <c r="CC22" i="1"/>
  <c r="CC49" i="1"/>
  <c r="CC19" i="1"/>
  <c r="KZ19" i="1" s="1"/>
  <c r="CC18" i="1"/>
  <c r="KZ18" i="1" s="1"/>
  <c r="CC46" i="1"/>
  <c r="CC40" i="1"/>
  <c r="KY56" i="1"/>
  <c r="CB5" i="1"/>
  <c r="CB38" i="1"/>
  <c r="CB37" i="1"/>
  <c r="CB52" i="1"/>
  <c r="CB50" i="1"/>
  <c r="CB39" i="1"/>
  <c r="CB34" i="1"/>
  <c r="CB22" i="1"/>
  <c r="CB49" i="1"/>
  <c r="CB19" i="1"/>
  <c r="KY19" i="1" s="1"/>
  <c r="CB18" i="1"/>
  <c r="CB40" i="1"/>
  <c r="KY40" i="1" s="1"/>
  <c r="CB46" i="1"/>
  <c r="CA5" i="1"/>
  <c r="CA38" i="1"/>
  <c r="CA37" i="1"/>
  <c r="CA62" i="1"/>
  <c r="KX56" i="1"/>
  <c r="CA52" i="1"/>
  <c r="CA19" i="1"/>
  <c r="CA50" i="1"/>
  <c r="CA34" i="1"/>
  <c r="CA22" i="1"/>
  <c r="CA49" i="1"/>
  <c r="CA18" i="1"/>
  <c r="KX18" i="1" s="1"/>
  <c r="CA39" i="1"/>
  <c r="CA40" i="1"/>
  <c r="KX40" i="1" s="1"/>
  <c r="CA46" i="1"/>
  <c r="BZ63" i="1"/>
  <c r="KW56" i="1"/>
  <c r="BZ38" i="1"/>
  <c r="BZ37" i="1"/>
  <c r="BZ5" i="1"/>
  <c r="BZ11" i="1"/>
  <c r="BZ52" i="1"/>
  <c r="BZ50" i="1"/>
  <c r="BZ39" i="1"/>
  <c r="BZ46" i="1"/>
  <c r="BZ34" i="1"/>
  <c r="BZ22" i="1"/>
  <c r="BZ19" i="1"/>
  <c r="BZ18" i="1"/>
  <c r="KW18" i="1" s="1"/>
  <c r="BZ49" i="1"/>
  <c r="BW38" i="1"/>
  <c r="BW37" i="1"/>
  <c r="BW5" i="1"/>
  <c r="A53" i="22"/>
  <c r="D53" i="22"/>
  <c r="E53" i="22"/>
  <c r="G53" i="22"/>
  <c r="H53" i="22"/>
  <c r="J53" i="22"/>
  <c r="K53" i="22"/>
  <c r="A54" i="22"/>
  <c r="D54" i="22"/>
  <c r="E54" i="22"/>
  <c r="G54" i="22"/>
  <c r="H54" i="22"/>
  <c r="J54" i="22"/>
  <c r="K54" i="22"/>
  <c r="CL6" i="1"/>
  <c r="S5" i="22" s="1"/>
  <c r="S68" i="22"/>
  <c r="W68" i="22"/>
  <c r="X68" i="22"/>
  <c r="S67" i="22"/>
  <c r="W67" i="22"/>
  <c r="X67" i="22"/>
  <c r="S66" i="22"/>
  <c r="W66" i="22"/>
  <c r="X66" i="22"/>
  <c r="S65" i="22"/>
  <c r="W65" i="22"/>
  <c r="X65" i="22"/>
  <c r="S64" i="22"/>
  <c r="W64" i="22"/>
  <c r="X64" i="22"/>
  <c r="S63" i="22"/>
  <c r="W63" i="22"/>
  <c r="X63" i="22"/>
  <c r="S49" i="22"/>
  <c r="W49" i="22"/>
  <c r="X49" i="22"/>
  <c r="S42" i="22"/>
  <c r="W42" i="22"/>
  <c r="S41" i="22"/>
  <c r="W41" i="22"/>
  <c r="S40" i="22"/>
  <c r="W40" i="22"/>
  <c r="S39" i="22"/>
  <c r="W39" i="22"/>
  <c r="S34" i="22"/>
  <c r="W34" i="22"/>
  <c r="S33" i="22"/>
  <c r="W33" i="22"/>
  <c r="S32" i="22"/>
  <c r="W32" i="22"/>
  <c r="S31" i="22"/>
  <c r="W31" i="22"/>
  <c r="S30" i="22"/>
  <c r="W30" i="22"/>
  <c r="S29" i="22"/>
  <c r="W29" i="22"/>
  <c r="S28" i="22"/>
  <c r="W28" i="22"/>
  <c r="S20" i="22"/>
  <c r="W20" i="22"/>
  <c r="S19" i="22"/>
  <c r="W19" i="22"/>
  <c r="S18" i="22"/>
  <c r="W18" i="22"/>
  <c r="S16" i="22"/>
  <c r="W16" i="22"/>
  <c r="S15" i="22"/>
  <c r="W15" i="22"/>
  <c r="S14" i="22"/>
  <c r="W14" i="22"/>
  <c r="S13" i="22"/>
  <c r="W13" i="22"/>
  <c r="S11" i="22"/>
  <c r="W11" i="22"/>
  <c r="S9" i="22"/>
  <c r="W9" i="22"/>
  <c r="S8" i="22"/>
  <c r="W8" i="22"/>
  <c r="X13" i="22"/>
  <c r="Y13" i="22"/>
  <c r="X18" i="22"/>
  <c r="Y18" i="22"/>
  <c r="X29" i="22"/>
  <c r="Y29" i="22"/>
  <c r="X33" i="22"/>
  <c r="Y33" i="22"/>
  <c r="X41" i="22"/>
  <c r="Y41" i="22"/>
  <c r="X8" i="22"/>
  <c r="Y8" i="22"/>
  <c r="X14" i="22"/>
  <c r="Y14" i="22"/>
  <c r="X19" i="22"/>
  <c r="Y19" i="22"/>
  <c r="X30" i="22"/>
  <c r="Y30" i="22"/>
  <c r="X34" i="22"/>
  <c r="Y34" i="22"/>
  <c r="X42" i="22"/>
  <c r="Y42" i="22"/>
  <c r="X9" i="22"/>
  <c r="Y9" i="22"/>
  <c r="X15" i="22"/>
  <c r="Y15" i="22"/>
  <c r="X20" i="22"/>
  <c r="Y20" i="22"/>
  <c r="X31" i="22"/>
  <c r="Y31" i="22"/>
  <c r="X39" i="22"/>
  <c r="Y39" i="22"/>
  <c r="X11" i="22"/>
  <c r="Y11" i="22"/>
  <c r="X16" i="22"/>
  <c r="Y16" i="22"/>
  <c r="X28" i="22"/>
  <c r="Y28" i="22"/>
  <c r="X32" i="22"/>
  <c r="Y32" i="22"/>
  <c r="X40" i="22"/>
  <c r="Y40" i="22"/>
  <c r="BW52" i="1"/>
  <c r="BW50" i="1"/>
  <c r="BW39" i="1"/>
  <c r="BW34" i="1"/>
  <c r="BW22" i="1"/>
  <c r="BW19" i="1"/>
  <c r="KV19" i="1" s="1"/>
  <c r="BW18" i="1"/>
  <c r="KV18" i="1" s="1"/>
  <c r="BW49" i="1"/>
  <c r="BW46" i="1"/>
  <c r="BW40" i="1"/>
  <c r="KV40" i="1" s="1"/>
  <c r="BV5" i="1"/>
  <c r="BV38" i="1"/>
  <c r="BV37" i="1"/>
  <c r="KU56" i="1"/>
  <c r="BV52" i="1"/>
  <c r="BV50" i="1"/>
  <c r="BV39" i="1"/>
  <c r="BV34" i="1"/>
  <c r="BV22" i="1"/>
  <c r="BV19" i="1"/>
  <c r="BV18" i="1"/>
  <c r="BV49" i="1"/>
  <c r="BV46" i="1"/>
  <c r="BV40" i="1"/>
  <c r="BT38" i="1"/>
  <c r="BU5" i="1"/>
  <c r="BT37" i="1"/>
  <c r="BU38" i="1"/>
  <c r="BU37" i="1"/>
  <c r="D18" i="23"/>
  <c r="D19" i="23" s="1"/>
  <c r="D20" i="23" s="1"/>
  <c r="E18" i="23"/>
  <c r="E19" i="23" s="1"/>
  <c r="E20" i="23" s="1"/>
  <c r="F18" i="23"/>
  <c r="F19" i="23" s="1"/>
  <c r="F20" i="23" s="1"/>
  <c r="G18" i="23"/>
  <c r="G19" i="23" s="1"/>
  <c r="G20" i="23" s="1"/>
  <c r="H18" i="23"/>
  <c r="H19" i="23" s="1"/>
  <c r="H20" i="23" s="1"/>
  <c r="I18" i="23"/>
  <c r="I19" i="23" s="1"/>
  <c r="I20" i="23" s="1"/>
  <c r="J18" i="23"/>
  <c r="J19" i="23" s="1"/>
  <c r="J20" i="23" s="1"/>
  <c r="K18" i="23"/>
  <c r="K19" i="23" s="1"/>
  <c r="K20" i="23" s="1"/>
  <c r="L18" i="23"/>
  <c r="M18" i="23"/>
  <c r="M19" i="23" s="1"/>
  <c r="M20" i="23" s="1"/>
  <c r="N18" i="23"/>
  <c r="N19" i="23" s="1"/>
  <c r="N20" i="23" s="1"/>
  <c r="LH70" i="1"/>
  <c r="LG70" i="1"/>
  <c r="LF70" i="1"/>
  <c r="LE70" i="1"/>
  <c r="LD70" i="1"/>
  <c r="LC70" i="1"/>
  <c r="LB70" i="1"/>
  <c r="LA70" i="1"/>
  <c r="KZ70" i="1"/>
  <c r="KY70" i="1"/>
  <c r="KX70" i="1"/>
  <c r="LH69" i="1"/>
  <c r="LG69" i="1"/>
  <c r="LF69" i="1"/>
  <c r="LE69" i="1"/>
  <c r="LD69" i="1"/>
  <c r="LC69" i="1"/>
  <c r="LB69" i="1"/>
  <c r="LA69" i="1"/>
  <c r="KZ69" i="1"/>
  <c r="KY69" i="1"/>
  <c r="KX69" i="1"/>
  <c r="LH68" i="1"/>
  <c r="LG68" i="1"/>
  <c r="LF68" i="1"/>
  <c r="LE68" i="1"/>
  <c r="LD68" i="1"/>
  <c r="LC68" i="1"/>
  <c r="LB68" i="1"/>
  <c r="LA68" i="1"/>
  <c r="KZ68" i="1"/>
  <c r="KY68" i="1"/>
  <c r="KX68" i="1"/>
  <c r="LH67" i="1"/>
  <c r="LG67" i="1"/>
  <c r="LF67" i="1"/>
  <c r="LE67" i="1"/>
  <c r="LD67" i="1"/>
  <c r="LC67" i="1"/>
  <c r="LB67" i="1"/>
  <c r="LA67" i="1"/>
  <c r="KZ67" i="1"/>
  <c r="KY67" i="1"/>
  <c r="KX67" i="1"/>
  <c r="LH66" i="1"/>
  <c r="LG66" i="1"/>
  <c r="LF66" i="1"/>
  <c r="LE66" i="1"/>
  <c r="LD66" i="1"/>
  <c r="LC66" i="1"/>
  <c r="LB66" i="1"/>
  <c r="LA66" i="1"/>
  <c r="KZ66" i="1"/>
  <c r="KY66" i="1"/>
  <c r="KX66" i="1"/>
  <c r="LH64" i="1"/>
  <c r="LG64" i="1"/>
  <c r="LF64" i="1"/>
  <c r="LE64" i="1"/>
  <c r="LD64" i="1"/>
  <c r="LC64" i="1"/>
  <c r="LB64" i="1"/>
  <c r="LA64" i="1"/>
  <c r="KZ64" i="1"/>
  <c r="KY64" i="1"/>
  <c r="KX64" i="1"/>
  <c r="LH63" i="1"/>
  <c r="LG63" i="1"/>
  <c r="LF63" i="1"/>
  <c r="LE63" i="1"/>
  <c r="LD63" i="1"/>
  <c r="LC63" i="1"/>
  <c r="LB63" i="1"/>
  <c r="LA63" i="1"/>
  <c r="KZ63" i="1"/>
  <c r="KY63" i="1"/>
  <c r="KX63" i="1"/>
  <c r="LH62" i="1"/>
  <c r="LG62" i="1"/>
  <c r="LF62" i="1"/>
  <c r="LE62" i="1"/>
  <c r="LD62" i="1"/>
  <c r="LC62" i="1"/>
  <c r="LB62" i="1"/>
  <c r="LA62" i="1"/>
  <c r="KZ62" i="1"/>
  <c r="KY62" i="1"/>
  <c r="KX62" i="1"/>
  <c r="LH61" i="1"/>
  <c r="LG61" i="1"/>
  <c r="LF61" i="1"/>
  <c r="LE61" i="1"/>
  <c r="LD61" i="1"/>
  <c r="LC61" i="1"/>
  <c r="LB61" i="1"/>
  <c r="LA61" i="1"/>
  <c r="KZ61" i="1"/>
  <c r="KY61" i="1"/>
  <c r="KX61" i="1"/>
  <c r="LH60" i="1"/>
  <c r="LG60" i="1"/>
  <c r="LF60" i="1"/>
  <c r="LE60" i="1"/>
  <c r="LD60" i="1"/>
  <c r="LC60" i="1"/>
  <c r="LB60" i="1"/>
  <c r="LA60" i="1"/>
  <c r="KZ60" i="1"/>
  <c r="KY60" i="1"/>
  <c r="KX60" i="1"/>
  <c r="LH59" i="1"/>
  <c r="LG59" i="1"/>
  <c r="LF59" i="1"/>
  <c r="LE59" i="1"/>
  <c r="LD59" i="1"/>
  <c r="LC59" i="1"/>
  <c r="LB59" i="1"/>
  <c r="LA59" i="1"/>
  <c r="KZ59" i="1"/>
  <c r="KY59" i="1"/>
  <c r="KX59" i="1"/>
  <c r="LH58" i="1"/>
  <c r="LG58" i="1"/>
  <c r="LF58" i="1"/>
  <c r="LE58" i="1"/>
  <c r="LD58" i="1"/>
  <c r="LC58" i="1"/>
  <c r="LB58" i="1"/>
  <c r="LA58" i="1"/>
  <c r="KZ58" i="1"/>
  <c r="KY58" i="1"/>
  <c r="KX58" i="1"/>
  <c r="LH57" i="1"/>
  <c r="LG57" i="1"/>
  <c r="LF57" i="1"/>
  <c r="LE57" i="1"/>
  <c r="LD57" i="1"/>
  <c r="LC57" i="1"/>
  <c r="LB57" i="1"/>
  <c r="LA57" i="1"/>
  <c r="KZ57" i="1"/>
  <c r="KY57" i="1"/>
  <c r="KX57" i="1"/>
  <c r="LH55" i="1"/>
  <c r="LG55" i="1"/>
  <c r="LF55" i="1"/>
  <c r="LE55" i="1"/>
  <c r="LD55" i="1"/>
  <c r="LC55" i="1"/>
  <c r="LB55" i="1"/>
  <c r="LA55" i="1"/>
  <c r="KZ55" i="1"/>
  <c r="KY55" i="1"/>
  <c r="KX55" i="1"/>
  <c r="LH54" i="1"/>
  <c r="LG54" i="1"/>
  <c r="LF54" i="1"/>
  <c r="LE54" i="1"/>
  <c r="LD54" i="1"/>
  <c r="LC54" i="1"/>
  <c r="LB54" i="1"/>
  <c r="LA54" i="1"/>
  <c r="KZ54" i="1"/>
  <c r="KY54" i="1"/>
  <c r="KX54" i="1"/>
  <c r="LH53" i="1"/>
  <c r="LG53" i="1"/>
  <c r="LF53" i="1"/>
  <c r="LE53" i="1"/>
  <c r="LD53" i="1"/>
  <c r="LC53" i="1"/>
  <c r="LB53" i="1"/>
  <c r="LA53" i="1"/>
  <c r="KZ53" i="1"/>
  <c r="KY53" i="1"/>
  <c r="KX53" i="1"/>
  <c r="LH50" i="1"/>
  <c r="LG50" i="1"/>
  <c r="LH49" i="1"/>
  <c r="LG49" i="1"/>
  <c r="LH48" i="1"/>
  <c r="LG48" i="1"/>
  <c r="LF48" i="1"/>
  <c r="LE48" i="1"/>
  <c r="LD48" i="1"/>
  <c r="LC48" i="1"/>
  <c r="LB48" i="1"/>
  <c r="LA48" i="1"/>
  <c r="KZ48" i="1"/>
  <c r="KY48" i="1"/>
  <c r="KX48" i="1"/>
  <c r="LH46" i="1"/>
  <c r="LG46" i="1"/>
  <c r="LH45" i="1"/>
  <c r="LG45" i="1"/>
  <c r="LF45" i="1"/>
  <c r="LE45" i="1"/>
  <c r="LD45" i="1"/>
  <c r="LC45" i="1"/>
  <c r="LB45" i="1"/>
  <c r="LA45" i="1"/>
  <c r="KZ45" i="1"/>
  <c r="KY45" i="1"/>
  <c r="KX45" i="1"/>
  <c r="LH42" i="1"/>
  <c r="LG42" i="1"/>
  <c r="LF42" i="1"/>
  <c r="LE42" i="1"/>
  <c r="LD42" i="1"/>
  <c r="LC42" i="1"/>
  <c r="LB42" i="1"/>
  <c r="LA42" i="1"/>
  <c r="KZ42" i="1"/>
  <c r="KY42" i="1"/>
  <c r="KX42" i="1"/>
  <c r="LH40" i="1"/>
  <c r="LH38" i="1"/>
  <c r="LG38" i="1"/>
  <c r="LF38" i="1"/>
  <c r="LE38" i="1"/>
  <c r="LH37" i="1"/>
  <c r="LG37" i="1"/>
  <c r="LF37" i="1"/>
  <c r="LH34" i="1"/>
  <c r="LG34" i="1"/>
  <c r="LH33" i="1"/>
  <c r="LG33" i="1"/>
  <c r="LF33" i="1"/>
  <c r="LE33" i="1"/>
  <c r="LD33" i="1"/>
  <c r="LC33" i="1"/>
  <c r="LB33" i="1"/>
  <c r="LA33" i="1"/>
  <c r="KZ33" i="1"/>
  <c r="KY33" i="1"/>
  <c r="KX33" i="1"/>
  <c r="LH32" i="1"/>
  <c r="LG32" i="1"/>
  <c r="LF32" i="1"/>
  <c r="LE32" i="1"/>
  <c r="LD32" i="1"/>
  <c r="LC32" i="1"/>
  <c r="LB32" i="1"/>
  <c r="LA32" i="1"/>
  <c r="KZ32" i="1"/>
  <c r="KY32" i="1"/>
  <c r="KX32" i="1"/>
  <c r="LH30" i="1"/>
  <c r="LG30" i="1"/>
  <c r="LF30" i="1"/>
  <c r="LE30" i="1"/>
  <c r="LD30" i="1"/>
  <c r="LC30" i="1"/>
  <c r="LB30" i="1"/>
  <c r="LA30" i="1"/>
  <c r="KZ30" i="1"/>
  <c r="KY30" i="1"/>
  <c r="KX30" i="1"/>
  <c r="LH29" i="1"/>
  <c r="LG29" i="1"/>
  <c r="LF29" i="1"/>
  <c r="LE29" i="1"/>
  <c r="LD29" i="1"/>
  <c r="LC29" i="1"/>
  <c r="LB29" i="1"/>
  <c r="LA29" i="1"/>
  <c r="KZ29" i="1"/>
  <c r="KY29" i="1"/>
  <c r="KX29" i="1"/>
  <c r="LH28" i="1"/>
  <c r="LG28" i="1"/>
  <c r="LF28" i="1"/>
  <c r="LE28" i="1"/>
  <c r="LD28" i="1"/>
  <c r="LC28" i="1"/>
  <c r="LB28" i="1"/>
  <c r="LA28" i="1"/>
  <c r="KZ28" i="1"/>
  <c r="KY28" i="1"/>
  <c r="KX28" i="1"/>
  <c r="LH27" i="1"/>
  <c r="LG27" i="1"/>
  <c r="LF27" i="1"/>
  <c r="LE27" i="1"/>
  <c r="LD27" i="1"/>
  <c r="LC27" i="1"/>
  <c r="LB27" i="1"/>
  <c r="LA27" i="1"/>
  <c r="KZ27" i="1"/>
  <c r="KY27" i="1"/>
  <c r="KX27" i="1"/>
  <c r="LH26" i="1"/>
  <c r="LG26" i="1"/>
  <c r="LF26" i="1"/>
  <c r="LE26" i="1"/>
  <c r="LD26" i="1"/>
  <c r="LC26" i="1"/>
  <c r="LB26" i="1"/>
  <c r="LA26" i="1"/>
  <c r="KZ26" i="1"/>
  <c r="KY26" i="1"/>
  <c r="KX26" i="1"/>
  <c r="LH25" i="1"/>
  <c r="LG25" i="1"/>
  <c r="LF25" i="1"/>
  <c r="LE25" i="1"/>
  <c r="LD25" i="1"/>
  <c r="LC25" i="1"/>
  <c r="LB25" i="1"/>
  <c r="LA25" i="1"/>
  <c r="KZ25" i="1"/>
  <c r="KY25" i="1"/>
  <c r="KX25" i="1"/>
  <c r="LH24" i="1"/>
  <c r="LG24" i="1"/>
  <c r="LF24" i="1"/>
  <c r="LE24" i="1"/>
  <c r="LD24" i="1"/>
  <c r="LC24" i="1"/>
  <c r="LB24" i="1"/>
  <c r="LA24" i="1"/>
  <c r="KZ24" i="1"/>
  <c r="KY24" i="1"/>
  <c r="KX24" i="1"/>
  <c r="LH23" i="1"/>
  <c r="LG23" i="1"/>
  <c r="LF23" i="1"/>
  <c r="LE23" i="1"/>
  <c r="LD23" i="1"/>
  <c r="LC23" i="1"/>
  <c r="LB23" i="1"/>
  <c r="LA23" i="1"/>
  <c r="KZ23" i="1"/>
  <c r="KY23" i="1"/>
  <c r="KX23" i="1"/>
  <c r="LH17" i="1"/>
  <c r="LG17" i="1"/>
  <c r="LF17" i="1"/>
  <c r="LE17" i="1"/>
  <c r="LD17" i="1"/>
  <c r="LC17" i="1"/>
  <c r="LB17" i="1"/>
  <c r="LA17" i="1"/>
  <c r="KZ17" i="1"/>
  <c r="KY17" i="1"/>
  <c r="KX17" i="1"/>
  <c r="LH16" i="1"/>
  <c r="LG16" i="1"/>
  <c r="LF16" i="1"/>
  <c r="LE16" i="1"/>
  <c r="LD16" i="1"/>
  <c r="LC16" i="1"/>
  <c r="LB16" i="1"/>
  <c r="LA16" i="1"/>
  <c r="KZ16" i="1"/>
  <c r="KY16" i="1"/>
  <c r="KX16" i="1"/>
  <c r="LH15" i="1"/>
  <c r="LG15" i="1"/>
  <c r="LF15" i="1"/>
  <c r="LE15" i="1"/>
  <c r="LD15" i="1"/>
  <c r="LC15" i="1"/>
  <c r="LB15" i="1"/>
  <c r="LA15" i="1"/>
  <c r="KZ15" i="1"/>
  <c r="KY15" i="1"/>
  <c r="KX15" i="1"/>
  <c r="LH13" i="1"/>
  <c r="LG13" i="1"/>
  <c r="LF13" i="1"/>
  <c r="LE13" i="1"/>
  <c r="LD13" i="1"/>
  <c r="LC13" i="1"/>
  <c r="LB13" i="1"/>
  <c r="LA13" i="1"/>
  <c r="KZ13" i="1"/>
  <c r="KY13" i="1"/>
  <c r="KX13" i="1"/>
  <c r="LH10" i="1"/>
  <c r="LG10" i="1"/>
  <c r="LF10" i="1"/>
  <c r="LE10" i="1"/>
  <c r="LD10" i="1"/>
  <c r="LC10" i="1"/>
  <c r="LB10" i="1"/>
  <c r="LA10" i="1"/>
  <c r="KZ10" i="1"/>
  <c r="KY10" i="1"/>
  <c r="KX10" i="1"/>
  <c r="KW70" i="1"/>
  <c r="KW69" i="1"/>
  <c r="KW68" i="1"/>
  <c r="KW67" i="1"/>
  <c r="KW66" i="1"/>
  <c r="KW64" i="1"/>
  <c r="KW63" i="1"/>
  <c r="KW62" i="1"/>
  <c r="KW61" i="1"/>
  <c r="KW60" i="1"/>
  <c r="KW59" i="1"/>
  <c r="KW58" i="1"/>
  <c r="KW57" i="1"/>
  <c r="KW55" i="1"/>
  <c r="KW54" i="1"/>
  <c r="KW53" i="1"/>
  <c r="KW48" i="1"/>
  <c r="KW45" i="1"/>
  <c r="KW42" i="1"/>
  <c r="KW33" i="1"/>
  <c r="KW32" i="1"/>
  <c r="KW30" i="1"/>
  <c r="KW29" i="1"/>
  <c r="KW28" i="1"/>
  <c r="KW27" i="1"/>
  <c r="KW26" i="1"/>
  <c r="KW25" i="1"/>
  <c r="KW24" i="1"/>
  <c r="KW23" i="1"/>
  <c r="KW17" i="1"/>
  <c r="KW16" i="1"/>
  <c r="KW15" i="1"/>
  <c r="KW13" i="1"/>
  <c r="KW10" i="1"/>
  <c r="FZ70" i="1"/>
  <c r="GA70" i="1"/>
  <c r="FZ69" i="1"/>
  <c r="FZ68" i="1"/>
  <c r="GA68" i="1"/>
  <c r="FZ67" i="1"/>
  <c r="FZ66" i="1"/>
  <c r="GA66" i="1"/>
  <c r="FZ64" i="1"/>
  <c r="GA64" i="1"/>
  <c r="FZ63" i="1"/>
  <c r="GA63" i="1"/>
  <c r="FZ62" i="1"/>
  <c r="GA62" i="1"/>
  <c r="FZ61" i="1"/>
  <c r="FZ60" i="1"/>
  <c r="GA60" i="1"/>
  <c r="FZ59" i="1"/>
  <c r="FZ58" i="1"/>
  <c r="GA58" i="1"/>
  <c r="FZ57" i="1"/>
  <c r="FZ56" i="1"/>
  <c r="FZ55" i="1"/>
  <c r="GA55" i="1"/>
  <c r="FZ54" i="1"/>
  <c r="FZ53" i="1"/>
  <c r="GA53" i="1"/>
  <c r="FZ48" i="1"/>
  <c r="GA48" i="1"/>
  <c r="FZ45" i="1"/>
  <c r="GA45" i="1"/>
  <c r="FZ42" i="1"/>
  <c r="GA42" i="1"/>
  <c r="FZ33" i="1"/>
  <c r="GA33" i="1"/>
  <c r="FZ32" i="1"/>
  <c r="GA32" i="1"/>
  <c r="FZ30" i="1"/>
  <c r="GA30" i="1"/>
  <c r="FZ29" i="1"/>
  <c r="GA29" i="1"/>
  <c r="FZ28" i="1"/>
  <c r="GA28" i="1"/>
  <c r="FZ27" i="1"/>
  <c r="GA27" i="1"/>
  <c r="FZ26" i="1"/>
  <c r="GA26" i="1"/>
  <c r="FZ25" i="1"/>
  <c r="GA25" i="1"/>
  <c r="FZ24" i="1"/>
  <c r="GA24" i="1"/>
  <c r="FZ23" i="1"/>
  <c r="GA23" i="1"/>
  <c r="FZ17" i="1"/>
  <c r="GA17" i="1"/>
  <c r="FZ16" i="1"/>
  <c r="GA16" i="1"/>
  <c r="FZ15" i="1"/>
  <c r="GA15" i="1"/>
  <c r="FZ13" i="1"/>
  <c r="GA13" i="1"/>
  <c r="FZ7" i="1"/>
  <c r="GA7" i="1" s="1"/>
  <c r="FZ6" i="1"/>
  <c r="GA6" i="1" s="1"/>
  <c r="GH70" i="1"/>
  <c r="GI70" i="1"/>
  <c r="GH69" i="1"/>
  <c r="GH68" i="1"/>
  <c r="GI68" i="1"/>
  <c r="GH67" i="1"/>
  <c r="GH66" i="1"/>
  <c r="GI66" i="1"/>
  <c r="GH64" i="1"/>
  <c r="GI64" i="1"/>
  <c r="GH63" i="1"/>
  <c r="GI63" i="1"/>
  <c r="GH62" i="1"/>
  <c r="GI62" i="1"/>
  <c r="GH61" i="1"/>
  <c r="GH60" i="1"/>
  <c r="GI60" i="1"/>
  <c r="GH59" i="1"/>
  <c r="GH58" i="1"/>
  <c r="GI58" i="1"/>
  <c r="GH57" i="1"/>
  <c r="GH56" i="1"/>
  <c r="GH55" i="1"/>
  <c r="GI55" i="1"/>
  <c r="GH54" i="1"/>
  <c r="GI54" i="1"/>
  <c r="GH53" i="1"/>
  <c r="GI53" i="1"/>
  <c r="GH48" i="1"/>
  <c r="GI48" i="1"/>
  <c r="GH45" i="1"/>
  <c r="GI45" i="1"/>
  <c r="GH42" i="1"/>
  <c r="GI42" i="1"/>
  <c r="GH33" i="1"/>
  <c r="GI33" i="1"/>
  <c r="GH32" i="1"/>
  <c r="GI32" i="1"/>
  <c r="GH30" i="1"/>
  <c r="GI30" i="1"/>
  <c r="GH29" i="1"/>
  <c r="GI29" i="1"/>
  <c r="GH28" i="1"/>
  <c r="GI28" i="1"/>
  <c r="GH27" i="1"/>
  <c r="GI27" i="1"/>
  <c r="GH26" i="1"/>
  <c r="GI26" i="1"/>
  <c r="GH25" i="1"/>
  <c r="GI25" i="1"/>
  <c r="GH24" i="1"/>
  <c r="GI24" i="1"/>
  <c r="GH23" i="1"/>
  <c r="GI23" i="1"/>
  <c r="GH17" i="1"/>
  <c r="GI17" i="1"/>
  <c r="GH16" i="1"/>
  <c r="GI16" i="1"/>
  <c r="GH15" i="1"/>
  <c r="GI15" i="1"/>
  <c r="GH13" i="1"/>
  <c r="GI13" i="1"/>
  <c r="GH7" i="1"/>
  <c r="GI7" i="1" s="1"/>
  <c r="GH6" i="1"/>
  <c r="GI6" i="1" s="1"/>
  <c r="GJ70" i="1"/>
  <c r="GK70" i="1"/>
  <c r="GJ69" i="1"/>
  <c r="GJ68" i="1"/>
  <c r="GK68" i="1"/>
  <c r="GJ67" i="1"/>
  <c r="GJ66" i="1"/>
  <c r="GK66" i="1"/>
  <c r="GJ64" i="1"/>
  <c r="GK64" i="1"/>
  <c r="GJ63" i="1"/>
  <c r="GK63" i="1"/>
  <c r="GJ62" i="1"/>
  <c r="GK62" i="1"/>
  <c r="GJ61" i="1"/>
  <c r="GK61" i="1"/>
  <c r="GJ60" i="1"/>
  <c r="GK60" i="1"/>
  <c r="GJ59" i="1"/>
  <c r="GK59" i="1"/>
  <c r="GJ58" i="1"/>
  <c r="GK58" i="1"/>
  <c r="GJ57" i="1"/>
  <c r="GK57" i="1"/>
  <c r="GJ56" i="1"/>
  <c r="GK56" i="1"/>
  <c r="GJ55" i="1"/>
  <c r="GK55" i="1"/>
  <c r="GJ54" i="1"/>
  <c r="GJ53" i="1"/>
  <c r="GJ48" i="1"/>
  <c r="GK48" i="1"/>
  <c r="GJ45" i="1"/>
  <c r="GK45" i="1"/>
  <c r="GJ42" i="1"/>
  <c r="GK42" i="1"/>
  <c r="GJ33" i="1"/>
  <c r="GK33" i="1"/>
  <c r="GJ32" i="1"/>
  <c r="GK32" i="1"/>
  <c r="GJ30" i="1"/>
  <c r="GK30" i="1"/>
  <c r="GJ29" i="1"/>
  <c r="GK29" i="1"/>
  <c r="GJ28" i="1"/>
  <c r="GK28" i="1"/>
  <c r="GJ27" i="1"/>
  <c r="GK27" i="1"/>
  <c r="GJ26" i="1"/>
  <c r="GK26" i="1"/>
  <c r="GJ25" i="1"/>
  <c r="GK25" i="1"/>
  <c r="GJ24" i="1"/>
  <c r="GK24" i="1"/>
  <c r="GJ23" i="1"/>
  <c r="GK23" i="1"/>
  <c r="GJ17" i="1"/>
  <c r="GK17" i="1"/>
  <c r="GJ16" i="1"/>
  <c r="GK16" i="1"/>
  <c r="GJ15" i="1"/>
  <c r="GK15" i="1"/>
  <c r="GJ13" i="1"/>
  <c r="GK13" i="1"/>
  <c r="GJ7" i="1"/>
  <c r="GK7" i="1" s="1"/>
  <c r="GJ6" i="1"/>
  <c r="GK6" i="1" s="1"/>
  <c r="GL70" i="1"/>
  <c r="GM70" i="1"/>
  <c r="GL69" i="1"/>
  <c r="GL68" i="1"/>
  <c r="GM68" i="1"/>
  <c r="GL67" i="1"/>
  <c r="GL66" i="1"/>
  <c r="GM66" i="1"/>
  <c r="GL64" i="1"/>
  <c r="GM64" i="1"/>
  <c r="GL63" i="1"/>
  <c r="GM63" i="1"/>
  <c r="GL62" i="1"/>
  <c r="GM62" i="1"/>
  <c r="GL61" i="1"/>
  <c r="GL60" i="1"/>
  <c r="GM60" i="1"/>
  <c r="GL59" i="1"/>
  <c r="GM59" i="1"/>
  <c r="GL58" i="1"/>
  <c r="GM58" i="1"/>
  <c r="GL57" i="1"/>
  <c r="GM57" i="1"/>
  <c r="GL56" i="1"/>
  <c r="GL55" i="1"/>
  <c r="GM55" i="1"/>
  <c r="GL54" i="1"/>
  <c r="GM54" i="1"/>
  <c r="GL53" i="1"/>
  <c r="GM53" i="1"/>
  <c r="GL48" i="1"/>
  <c r="GM48" i="1"/>
  <c r="GL45" i="1"/>
  <c r="GM45" i="1"/>
  <c r="GL42" i="1"/>
  <c r="GM42" i="1"/>
  <c r="GL33" i="1"/>
  <c r="GM33" i="1"/>
  <c r="GL32" i="1"/>
  <c r="GM32" i="1"/>
  <c r="GL30" i="1"/>
  <c r="GM30" i="1"/>
  <c r="GL29" i="1"/>
  <c r="GM29" i="1"/>
  <c r="GL28" i="1"/>
  <c r="GM28" i="1"/>
  <c r="GL27" i="1"/>
  <c r="GM27" i="1"/>
  <c r="GL26" i="1"/>
  <c r="GM26" i="1"/>
  <c r="GL25" i="1"/>
  <c r="GM25" i="1"/>
  <c r="GL24" i="1"/>
  <c r="GM24" i="1"/>
  <c r="GL23" i="1"/>
  <c r="GM23" i="1"/>
  <c r="GL17" i="1"/>
  <c r="GM17" i="1"/>
  <c r="GL16" i="1"/>
  <c r="GM16" i="1"/>
  <c r="GL15" i="1"/>
  <c r="GM15" i="1"/>
  <c r="GL13" i="1"/>
  <c r="GM13" i="1"/>
  <c r="GL7" i="1"/>
  <c r="GM7" i="1" s="1"/>
  <c r="GL6" i="1"/>
  <c r="GM6" i="1" s="1"/>
  <c r="GN70" i="1"/>
  <c r="GO70" i="1"/>
  <c r="GN69" i="1"/>
  <c r="GN68" i="1"/>
  <c r="GO68" i="1"/>
  <c r="GN67" i="1"/>
  <c r="GN66" i="1"/>
  <c r="GO66" i="1"/>
  <c r="GN64" i="1"/>
  <c r="GO64" i="1"/>
  <c r="GN63" i="1"/>
  <c r="GO63" i="1"/>
  <c r="GN62" i="1"/>
  <c r="GO62" i="1"/>
  <c r="GN61" i="1"/>
  <c r="GN60" i="1"/>
  <c r="GO60" i="1"/>
  <c r="GN59" i="1"/>
  <c r="GO59" i="1"/>
  <c r="GN58" i="1"/>
  <c r="GO58" i="1"/>
  <c r="GN57" i="1"/>
  <c r="GO57" i="1"/>
  <c r="GN56" i="1"/>
  <c r="GN55" i="1"/>
  <c r="GO55" i="1"/>
  <c r="GN54" i="1"/>
  <c r="GN53" i="1"/>
  <c r="GO53" i="1"/>
  <c r="GN48" i="1"/>
  <c r="GO48" i="1"/>
  <c r="GN45" i="1"/>
  <c r="GO45" i="1"/>
  <c r="GN42" i="1"/>
  <c r="GO42" i="1"/>
  <c r="GN33" i="1"/>
  <c r="GO33" i="1"/>
  <c r="GN32" i="1"/>
  <c r="GO32" i="1"/>
  <c r="GN30" i="1"/>
  <c r="GO30" i="1"/>
  <c r="GN29" i="1"/>
  <c r="GO29" i="1"/>
  <c r="GN28" i="1"/>
  <c r="GO28" i="1"/>
  <c r="GN27" i="1"/>
  <c r="GO27" i="1"/>
  <c r="GN26" i="1"/>
  <c r="GO26" i="1"/>
  <c r="GN25" i="1"/>
  <c r="GO25" i="1"/>
  <c r="GN24" i="1"/>
  <c r="GO24" i="1"/>
  <c r="GN23" i="1"/>
  <c r="GO23" i="1"/>
  <c r="GN17" i="1"/>
  <c r="GO17" i="1"/>
  <c r="GN16" i="1"/>
  <c r="GO16" i="1"/>
  <c r="GN15" i="1"/>
  <c r="GO15" i="1"/>
  <c r="GN13" i="1"/>
  <c r="GO13" i="1"/>
  <c r="GN7" i="1"/>
  <c r="GO7" i="1" s="1"/>
  <c r="GN6" i="1"/>
  <c r="GO6" i="1" s="1"/>
  <c r="GP70" i="1"/>
  <c r="GQ70" i="1"/>
  <c r="GP69" i="1"/>
  <c r="GP68" i="1"/>
  <c r="GQ68" i="1"/>
  <c r="GP67" i="1"/>
  <c r="GP66" i="1"/>
  <c r="GQ66" i="1"/>
  <c r="GP64" i="1"/>
  <c r="GQ64" i="1"/>
  <c r="GP63" i="1"/>
  <c r="GQ63" i="1"/>
  <c r="GP62" i="1"/>
  <c r="GQ62" i="1"/>
  <c r="GP61" i="1"/>
  <c r="GP60" i="1"/>
  <c r="GQ60" i="1"/>
  <c r="GP59" i="1"/>
  <c r="GQ59" i="1"/>
  <c r="GP58" i="1"/>
  <c r="GQ58" i="1"/>
  <c r="GP57" i="1"/>
  <c r="GQ57" i="1"/>
  <c r="GP56" i="1"/>
  <c r="GQ56" i="1"/>
  <c r="GP55" i="1"/>
  <c r="GQ55" i="1"/>
  <c r="GP54" i="1"/>
  <c r="GP53" i="1"/>
  <c r="GQ53" i="1"/>
  <c r="GP48" i="1"/>
  <c r="GQ48" i="1"/>
  <c r="GP45" i="1"/>
  <c r="GQ45" i="1"/>
  <c r="GP42" i="1"/>
  <c r="GQ42" i="1"/>
  <c r="GP33" i="1"/>
  <c r="GQ33" i="1"/>
  <c r="GP32" i="1"/>
  <c r="GQ32" i="1"/>
  <c r="GP30" i="1"/>
  <c r="GQ30" i="1"/>
  <c r="GP29" i="1"/>
  <c r="GQ29" i="1"/>
  <c r="GP28" i="1"/>
  <c r="GQ28" i="1"/>
  <c r="GP27" i="1"/>
  <c r="GQ27" i="1"/>
  <c r="GP26" i="1"/>
  <c r="GQ26" i="1"/>
  <c r="GP25" i="1"/>
  <c r="GQ25" i="1"/>
  <c r="GP24" i="1"/>
  <c r="GQ24" i="1"/>
  <c r="GP23" i="1"/>
  <c r="GQ23" i="1"/>
  <c r="GP17" i="1"/>
  <c r="GQ17" i="1"/>
  <c r="GP16" i="1"/>
  <c r="GQ16" i="1"/>
  <c r="GP15" i="1"/>
  <c r="GQ15" i="1"/>
  <c r="GP13" i="1"/>
  <c r="GQ13" i="1"/>
  <c r="GP7" i="1"/>
  <c r="GQ7" i="1" s="1"/>
  <c r="GP6" i="1"/>
  <c r="GQ6" i="1" s="1"/>
  <c r="GR70" i="1"/>
  <c r="GS70" i="1"/>
  <c r="GR69" i="1"/>
  <c r="GR68" i="1"/>
  <c r="GS68" i="1"/>
  <c r="GR67" i="1"/>
  <c r="GR66" i="1"/>
  <c r="GS66" i="1"/>
  <c r="GR64" i="1"/>
  <c r="GS64" i="1"/>
  <c r="GR63" i="1"/>
  <c r="GS63" i="1"/>
  <c r="GR62" i="1"/>
  <c r="GS62" i="1"/>
  <c r="GR61" i="1"/>
  <c r="GS61" i="1"/>
  <c r="GR60" i="1"/>
  <c r="GS60" i="1"/>
  <c r="GR59" i="1"/>
  <c r="GS59" i="1"/>
  <c r="GR58" i="1"/>
  <c r="GS58" i="1"/>
  <c r="GR57" i="1"/>
  <c r="GS57" i="1"/>
  <c r="GR56" i="1"/>
  <c r="GS56" i="1"/>
  <c r="GR55" i="1"/>
  <c r="GS55" i="1"/>
  <c r="GR54" i="1"/>
  <c r="GS54" i="1"/>
  <c r="GR53" i="1"/>
  <c r="GS53" i="1"/>
  <c r="GR48" i="1"/>
  <c r="GS48" i="1"/>
  <c r="GR45" i="1"/>
  <c r="GS45" i="1"/>
  <c r="GR42" i="1"/>
  <c r="GS42" i="1"/>
  <c r="GR38" i="1"/>
  <c r="GS38" i="1"/>
  <c r="GR33" i="1"/>
  <c r="GS33" i="1"/>
  <c r="GR32" i="1"/>
  <c r="GS32" i="1"/>
  <c r="GR30" i="1"/>
  <c r="GS30" i="1"/>
  <c r="GR29" i="1"/>
  <c r="GS29" i="1"/>
  <c r="GR28" i="1"/>
  <c r="GS28" i="1"/>
  <c r="GR27" i="1"/>
  <c r="GS27" i="1"/>
  <c r="GR26" i="1"/>
  <c r="GS26" i="1"/>
  <c r="GR25" i="1"/>
  <c r="GS25" i="1"/>
  <c r="GR24" i="1"/>
  <c r="GS24" i="1"/>
  <c r="GR23" i="1"/>
  <c r="GS23" i="1"/>
  <c r="GR17" i="1"/>
  <c r="GS17" i="1"/>
  <c r="GR16" i="1"/>
  <c r="GS16" i="1"/>
  <c r="GR15" i="1"/>
  <c r="GS15" i="1"/>
  <c r="GR13" i="1"/>
  <c r="GS13" i="1"/>
  <c r="GR7" i="1"/>
  <c r="GS7" i="1" s="1"/>
  <c r="GR6" i="1"/>
  <c r="GS6" i="1" s="1"/>
  <c r="GR5" i="1"/>
  <c r="GS5" i="1" s="1"/>
  <c r="GF70" i="1"/>
  <c r="GG70" i="1"/>
  <c r="GF69" i="1"/>
  <c r="GF68" i="1"/>
  <c r="GG68" i="1"/>
  <c r="GF67" i="1"/>
  <c r="GF66" i="1"/>
  <c r="GG66" i="1"/>
  <c r="GF64" i="1"/>
  <c r="GG64" i="1"/>
  <c r="GF63" i="1"/>
  <c r="GG63" i="1"/>
  <c r="GF62" i="1"/>
  <c r="GG62" i="1"/>
  <c r="GF61" i="1"/>
  <c r="GF60" i="1"/>
  <c r="GG60" i="1"/>
  <c r="GF59" i="1"/>
  <c r="GG59" i="1"/>
  <c r="GF58" i="1"/>
  <c r="GG58" i="1"/>
  <c r="GF57" i="1"/>
  <c r="GG57" i="1"/>
  <c r="GF56" i="1"/>
  <c r="GF55" i="1"/>
  <c r="GG55" i="1"/>
  <c r="GF54" i="1"/>
  <c r="GG54" i="1"/>
  <c r="GF53" i="1"/>
  <c r="GG53" i="1"/>
  <c r="GF48" i="1"/>
  <c r="GG48" i="1"/>
  <c r="GF45" i="1"/>
  <c r="GG45" i="1"/>
  <c r="GF42" i="1"/>
  <c r="GG42" i="1"/>
  <c r="GF33" i="1"/>
  <c r="GG33" i="1"/>
  <c r="GF32" i="1"/>
  <c r="GG32" i="1"/>
  <c r="GF30" i="1"/>
  <c r="GG30" i="1"/>
  <c r="GF29" i="1"/>
  <c r="GG29" i="1"/>
  <c r="GF28" i="1"/>
  <c r="GG28" i="1"/>
  <c r="GF27" i="1"/>
  <c r="GG27" i="1"/>
  <c r="GF26" i="1"/>
  <c r="GG26" i="1"/>
  <c r="GF25" i="1"/>
  <c r="GG25" i="1"/>
  <c r="GF24" i="1"/>
  <c r="GG24" i="1"/>
  <c r="GF23" i="1"/>
  <c r="GG23" i="1"/>
  <c r="GF17" i="1"/>
  <c r="GG17" i="1"/>
  <c r="GF16" i="1"/>
  <c r="GG16" i="1"/>
  <c r="GF15" i="1"/>
  <c r="GG15" i="1"/>
  <c r="GF13" i="1"/>
  <c r="GG13" i="1"/>
  <c r="GF7" i="1"/>
  <c r="GG7" i="1" s="1"/>
  <c r="GF6" i="1"/>
  <c r="GG6" i="1" s="1"/>
  <c r="GD70" i="1"/>
  <c r="GE70" i="1"/>
  <c r="GD69" i="1"/>
  <c r="GD68" i="1"/>
  <c r="GE68" i="1"/>
  <c r="GD67" i="1"/>
  <c r="GD66" i="1"/>
  <c r="GE66" i="1"/>
  <c r="GD64" i="1"/>
  <c r="GE64" i="1"/>
  <c r="GD63" i="1"/>
  <c r="GE63" i="1"/>
  <c r="GD62" i="1"/>
  <c r="GE62" i="1"/>
  <c r="GD61" i="1"/>
  <c r="GE61" i="1"/>
  <c r="GD60" i="1"/>
  <c r="GE60" i="1"/>
  <c r="GD59" i="1"/>
  <c r="GE59" i="1"/>
  <c r="GD58" i="1"/>
  <c r="GE58" i="1"/>
  <c r="GD57" i="1"/>
  <c r="GE57" i="1"/>
  <c r="GD56" i="1"/>
  <c r="GD55" i="1"/>
  <c r="GE55" i="1"/>
  <c r="GD54" i="1"/>
  <c r="GE54" i="1"/>
  <c r="GD53" i="1"/>
  <c r="GD48" i="1"/>
  <c r="GE48" i="1"/>
  <c r="GD45" i="1"/>
  <c r="GE45" i="1"/>
  <c r="GD42" i="1"/>
  <c r="GE42" i="1"/>
  <c r="GD38" i="1"/>
  <c r="GE38" i="1"/>
  <c r="GD33" i="1"/>
  <c r="GE33" i="1"/>
  <c r="GD32" i="1"/>
  <c r="GE32" i="1"/>
  <c r="GD30" i="1"/>
  <c r="GE30" i="1"/>
  <c r="GD29" i="1"/>
  <c r="GE29" i="1"/>
  <c r="GD28" i="1"/>
  <c r="GE28" i="1"/>
  <c r="GD27" i="1"/>
  <c r="GE27" i="1"/>
  <c r="GD26" i="1"/>
  <c r="GE26" i="1"/>
  <c r="GD25" i="1"/>
  <c r="GE25" i="1"/>
  <c r="GD24" i="1"/>
  <c r="GE24" i="1"/>
  <c r="GD23" i="1"/>
  <c r="GE23" i="1"/>
  <c r="GD17" i="1"/>
  <c r="GE17" i="1"/>
  <c r="GD16" i="1"/>
  <c r="GE16" i="1"/>
  <c r="GD15" i="1"/>
  <c r="GE15" i="1"/>
  <c r="GD13" i="1"/>
  <c r="GE13" i="1"/>
  <c r="GD7" i="1"/>
  <c r="GE7" i="1" s="1"/>
  <c r="GD6" i="1"/>
  <c r="GE6" i="1" s="1"/>
  <c r="GT70" i="1"/>
  <c r="GU70" i="1"/>
  <c r="GT69" i="1"/>
  <c r="GT68" i="1"/>
  <c r="GU68" i="1"/>
  <c r="GT67" i="1"/>
  <c r="GT66" i="1"/>
  <c r="GU66" i="1"/>
  <c r="GT64" i="1"/>
  <c r="GU64" i="1"/>
  <c r="GT63" i="1"/>
  <c r="GU63" i="1"/>
  <c r="GT62" i="1"/>
  <c r="GU62" i="1"/>
  <c r="GT61" i="1"/>
  <c r="GU61" i="1"/>
  <c r="GT60" i="1"/>
  <c r="GU60" i="1"/>
  <c r="GT59" i="1"/>
  <c r="GU59" i="1"/>
  <c r="GT58" i="1"/>
  <c r="GU58" i="1"/>
  <c r="GT57" i="1"/>
  <c r="GU57" i="1"/>
  <c r="GT56" i="1"/>
  <c r="GT55" i="1"/>
  <c r="GU55" i="1"/>
  <c r="GT54" i="1"/>
  <c r="GT53" i="1"/>
  <c r="GU53" i="1"/>
  <c r="GT48" i="1"/>
  <c r="GU48" i="1"/>
  <c r="GT45" i="1"/>
  <c r="GU45" i="1"/>
  <c r="GT42" i="1"/>
  <c r="GU42" i="1"/>
  <c r="GT38" i="1"/>
  <c r="GU38" i="1"/>
  <c r="GT37" i="1"/>
  <c r="GU37" i="1"/>
  <c r="GT33" i="1"/>
  <c r="GU33" i="1"/>
  <c r="GT32" i="1"/>
  <c r="GU32" i="1"/>
  <c r="GT30" i="1"/>
  <c r="GU30" i="1"/>
  <c r="GT29" i="1"/>
  <c r="GU29" i="1"/>
  <c r="GT28" i="1"/>
  <c r="GU28" i="1"/>
  <c r="GT27" i="1"/>
  <c r="GU27" i="1"/>
  <c r="GT26" i="1"/>
  <c r="GU26" i="1"/>
  <c r="GT25" i="1"/>
  <c r="GU25" i="1"/>
  <c r="GT24" i="1"/>
  <c r="GU24" i="1"/>
  <c r="GT23" i="1"/>
  <c r="GU23" i="1"/>
  <c r="GT17" i="1"/>
  <c r="GU17" i="1"/>
  <c r="GT16" i="1"/>
  <c r="GU16" i="1"/>
  <c r="GT15" i="1"/>
  <c r="GU15" i="1"/>
  <c r="GT13" i="1"/>
  <c r="GU13" i="1"/>
  <c r="GT7" i="1"/>
  <c r="GU7" i="1" s="1"/>
  <c r="GT6" i="1"/>
  <c r="GU6" i="1" s="1"/>
  <c r="GT5" i="1"/>
  <c r="GU5" i="1" s="1"/>
  <c r="GV70" i="1"/>
  <c r="GW70" i="1"/>
  <c r="GV69" i="1"/>
  <c r="GV68" i="1"/>
  <c r="GW68" i="1"/>
  <c r="GV67" i="1"/>
  <c r="GV66" i="1"/>
  <c r="GW66" i="1"/>
  <c r="GV64" i="1"/>
  <c r="GW64" i="1"/>
  <c r="GV63" i="1"/>
  <c r="GW63" i="1"/>
  <c r="GV62" i="1"/>
  <c r="GW62" i="1"/>
  <c r="GV61" i="1"/>
  <c r="GW61" i="1"/>
  <c r="GV60" i="1"/>
  <c r="GW60" i="1"/>
  <c r="GV59" i="1"/>
  <c r="GW59" i="1"/>
  <c r="GV58" i="1"/>
  <c r="GW58" i="1"/>
  <c r="GV57" i="1"/>
  <c r="GW57" i="1"/>
  <c r="GV56" i="1"/>
  <c r="GW56" i="1"/>
  <c r="GV55" i="1"/>
  <c r="GW55" i="1"/>
  <c r="GV54" i="1"/>
  <c r="GW54" i="1"/>
  <c r="GV53" i="1"/>
  <c r="GW53" i="1"/>
  <c r="GV50" i="1"/>
  <c r="GW50" i="1"/>
  <c r="GV49" i="1"/>
  <c r="GW49" i="1"/>
  <c r="GV48" i="1"/>
  <c r="GW48" i="1"/>
  <c r="GV46" i="1"/>
  <c r="GW46" i="1"/>
  <c r="GV45" i="1"/>
  <c r="GW45" i="1"/>
  <c r="GV42" i="1"/>
  <c r="GW42" i="1"/>
  <c r="GV39" i="1"/>
  <c r="GW39" i="1"/>
  <c r="GV38" i="1"/>
  <c r="GW38" i="1"/>
  <c r="GV37" i="1"/>
  <c r="GW37" i="1"/>
  <c r="GV34" i="1"/>
  <c r="GW34" i="1"/>
  <c r="GV33" i="1"/>
  <c r="GW33" i="1"/>
  <c r="GV32" i="1"/>
  <c r="GW32" i="1"/>
  <c r="GV30" i="1"/>
  <c r="GW30" i="1"/>
  <c r="GV29" i="1"/>
  <c r="GW29" i="1"/>
  <c r="GV28" i="1"/>
  <c r="GW28" i="1"/>
  <c r="GV27" i="1"/>
  <c r="GW27" i="1"/>
  <c r="GV26" i="1"/>
  <c r="GW26" i="1"/>
  <c r="GV25" i="1"/>
  <c r="GW25" i="1"/>
  <c r="GV24" i="1"/>
  <c r="GW24" i="1"/>
  <c r="GV23" i="1"/>
  <c r="GW23" i="1"/>
  <c r="GV17" i="1"/>
  <c r="GW17" i="1"/>
  <c r="GV16" i="1"/>
  <c r="GW16" i="1"/>
  <c r="GV15" i="1"/>
  <c r="GW15" i="1"/>
  <c r="GV13" i="1"/>
  <c r="GW13" i="1"/>
  <c r="GV7" i="1"/>
  <c r="GW7" i="1" s="1"/>
  <c r="GV6" i="1"/>
  <c r="GW6" i="1" s="1"/>
  <c r="GV5" i="1"/>
  <c r="GW5" i="1" s="1"/>
  <c r="GB70" i="1"/>
  <c r="GC70" i="1"/>
  <c r="GB69" i="1"/>
  <c r="GB68" i="1"/>
  <c r="GC68" i="1"/>
  <c r="GB67" i="1"/>
  <c r="GB66" i="1"/>
  <c r="GC66" i="1"/>
  <c r="GB64" i="1"/>
  <c r="GC64" i="1"/>
  <c r="GB63" i="1"/>
  <c r="GC63" i="1"/>
  <c r="GB62" i="1"/>
  <c r="GC62" i="1"/>
  <c r="GB61" i="1"/>
  <c r="GB60" i="1"/>
  <c r="GC60" i="1"/>
  <c r="GB59" i="1"/>
  <c r="GC59" i="1"/>
  <c r="GB58" i="1"/>
  <c r="GC58" i="1"/>
  <c r="GB57" i="1"/>
  <c r="GC57" i="1"/>
  <c r="GB56" i="1"/>
  <c r="GB55" i="1"/>
  <c r="GC55" i="1"/>
  <c r="GB54" i="1"/>
  <c r="GC54" i="1"/>
  <c r="GB53" i="1"/>
  <c r="GB48" i="1"/>
  <c r="GC48" i="1"/>
  <c r="GB45" i="1"/>
  <c r="GC45" i="1"/>
  <c r="GB42" i="1"/>
  <c r="GC42" i="1"/>
  <c r="GB33" i="1"/>
  <c r="GC33" i="1"/>
  <c r="GB32" i="1"/>
  <c r="GC32" i="1"/>
  <c r="GB30" i="1"/>
  <c r="GC30" i="1"/>
  <c r="GB29" i="1"/>
  <c r="GC29" i="1"/>
  <c r="GB28" i="1"/>
  <c r="GC28" i="1"/>
  <c r="GB27" i="1"/>
  <c r="GC27" i="1"/>
  <c r="GB26" i="1"/>
  <c r="GC26" i="1"/>
  <c r="GB25" i="1"/>
  <c r="GC25" i="1"/>
  <c r="GB24" i="1"/>
  <c r="GC24" i="1"/>
  <c r="GB23" i="1"/>
  <c r="GC23" i="1"/>
  <c r="GB17" i="1"/>
  <c r="GC17" i="1"/>
  <c r="GB16" i="1"/>
  <c r="GC16" i="1"/>
  <c r="GB15" i="1"/>
  <c r="GC15" i="1"/>
  <c r="GB13" i="1"/>
  <c r="GC13" i="1"/>
  <c r="GB7" i="1"/>
  <c r="GC7" i="1" s="1"/>
  <c r="GB6" i="1"/>
  <c r="GC6" i="1" s="1"/>
  <c r="CK204" i="1"/>
  <c r="CJ204" i="1"/>
  <c r="CI204" i="1"/>
  <c r="CH204" i="1"/>
  <c r="CG204" i="1"/>
  <c r="CF204" i="1"/>
  <c r="CE204" i="1"/>
  <c r="CD204" i="1"/>
  <c r="CC204" i="1"/>
  <c r="CB204" i="1"/>
  <c r="CA204" i="1"/>
  <c r="BZ204" i="1"/>
  <c r="CL64" i="1"/>
  <c r="S62" i="22"/>
  <c r="W62" i="22"/>
  <c r="X62" i="22"/>
  <c r="CL63" i="1"/>
  <c r="S61" i="22"/>
  <c r="W61" i="22"/>
  <c r="X61" i="22"/>
  <c r="CL62" i="1"/>
  <c r="S60" i="22"/>
  <c r="W60" i="22"/>
  <c r="X60" i="22"/>
  <c r="CL61" i="1"/>
  <c r="S59" i="22"/>
  <c r="W59" i="22"/>
  <c r="X59" i="22"/>
  <c r="CL60" i="1"/>
  <c r="S58" i="22"/>
  <c r="W58" i="22"/>
  <c r="X58" i="22"/>
  <c r="CL59" i="1"/>
  <c r="S57" i="22"/>
  <c r="W57" i="22"/>
  <c r="X57" i="22"/>
  <c r="CL58" i="1"/>
  <c r="S56" i="22"/>
  <c r="W56" i="22"/>
  <c r="X56" i="22"/>
  <c r="CL57" i="1"/>
  <c r="S55" i="22"/>
  <c r="W55" i="22"/>
  <c r="X55" i="22"/>
  <c r="CL56" i="1"/>
  <c r="S54" i="22"/>
  <c r="W54" i="22"/>
  <c r="X54" i="22"/>
  <c r="CL55" i="1"/>
  <c r="S53" i="22"/>
  <c r="W53" i="22"/>
  <c r="X53" i="22"/>
  <c r="CL54" i="1"/>
  <c r="S52" i="22"/>
  <c r="W52" i="22"/>
  <c r="X52" i="22"/>
  <c r="CL53" i="1"/>
  <c r="S51" i="22"/>
  <c r="W51" i="22"/>
  <c r="X51" i="22"/>
  <c r="LH52" i="1"/>
  <c r="LG52" i="1"/>
  <c r="KX52" i="1"/>
  <c r="GT50" i="1"/>
  <c r="GU50" i="1"/>
  <c r="LE50" i="1"/>
  <c r="KZ50" i="1"/>
  <c r="KX50" i="1"/>
  <c r="CL48" i="1"/>
  <c r="CL45" i="1"/>
  <c r="S43" i="22"/>
  <c r="W43" i="22"/>
  <c r="LH39" i="1"/>
  <c r="LG39" i="1"/>
  <c r="KY38" i="1"/>
  <c r="KX38" i="1"/>
  <c r="LC37" i="1"/>
  <c r="CD11" i="1"/>
  <c r="KX37" i="1"/>
  <c r="GB37" i="1"/>
  <c r="GC37" i="1"/>
  <c r="GT34" i="1"/>
  <c r="GU34" i="1"/>
  <c r="KX34" i="1"/>
  <c r="CL28" i="1"/>
  <c r="S27" i="22"/>
  <c r="W27" i="22"/>
  <c r="X27" i="22"/>
  <c r="CL27" i="1"/>
  <c r="S26" i="22"/>
  <c r="W26" i="22"/>
  <c r="X26" i="22"/>
  <c r="CL26" i="1"/>
  <c r="S25" i="22"/>
  <c r="W25" i="22"/>
  <c r="X25" i="22"/>
  <c r="CL25" i="1"/>
  <c r="S24" i="22"/>
  <c r="W24" i="22"/>
  <c r="X24" i="22"/>
  <c r="CL24" i="1"/>
  <c r="S23" i="22"/>
  <c r="W23" i="22"/>
  <c r="X23" i="22"/>
  <c r="CL23" i="1"/>
  <c r="S22" i="22"/>
  <c r="W22" i="22"/>
  <c r="X22" i="22"/>
  <c r="LH22" i="1"/>
  <c r="LG22" i="1"/>
  <c r="GP22" i="1"/>
  <c r="GQ22" i="1"/>
  <c r="GF22" i="1"/>
  <c r="GG22" i="1"/>
  <c r="CL13" i="1"/>
  <c r="S12" i="22"/>
  <c r="W12" i="22"/>
  <c r="X12" i="22"/>
  <c r="CK11" i="1"/>
  <c r="CJ11" i="1"/>
  <c r="CI11" i="1"/>
  <c r="CL7" i="1"/>
  <c r="S6" i="22" s="1"/>
  <c r="T6" i="22" s="1"/>
  <c r="U6" i="22" s="1"/>
  <c r="GN5" i="1"/>
  <c r="GO5" i="1" s="1"/>
  <c r="GL5" i="1"/>
  <c r="GM5" i="1" s="1"/>
  <c r="GH5" i="1"/>
  <c r="GI5" i="1" s="1"/>
  <c r="GF5" i="1"/>
  <c r="GG5" i="1" s="1"/>
  <c r="GD5" i="1"/>
  <c r="GE5" i="1" s="1"/>
  <c r="X43" i="22"/>
  <c r="Y43" i="22"/>
  <c r="CK43" i="1"/>
  <c r="CK20" i="1"/>
  <c r="CK35" i="1"/>
  <c r="N17" i="23"/>
  <c r="GX11" i="1"/>
  <c r="GY11" i="1"/>
  <c r="M17" i="23"/>
  <c r="CJ43" i="1"/>
  <c r="CJ20" i="1"/>
  <c r="CJ35" i="1"/>
  <c r="CI43" i="1"/>
  <c r="CI20" i="1"/>
  <c r="CI35" i="1"/>
  <c r="L17" i="23"/>
  <c r="L19" i="23"/>
  <c r="L20" i="23" s="1"/>
  <c r="GV11" i="1"/>
  <c r="GW11" i="1"/>
  <c r="CD35" i="1"/>
  <c r="CD43" i="1"/>
  <c r="CD20" i="1"/>
  <c r="G17" i="23"/>
  <c r="S46" i="22"/>
  <c r="W46" i="22"/>
  <c r="LA11" i="1"/>
  <c r="LF11" i="1"/>
  <c r="LA22" i="1"/>
  <c r="GH22" i="1"/>
  <c r="GI22" i="1"/>
  <c r="KY34" i="1"/>
  <c r="GD34" i="1"/>
  <c r="GE34" i="1"/>
  <c r="LC34" i="1"/>
  <c r="GL34" i="1"/>
  <c r="GM34" i="1"/>
  <c r="LE37" i="1"/>
  <c r="GP37" i="1"/>
  <c r="GQ37" i="1"/>
  <c r="GR37" i="1"/>
  <c r="GS37" i="1"/>
  <c r="KY50" i="1"/>
  <c r="GD50" i="1"/>
  <c r="GE50" i="1"/>
  <c r="LA52" i="1"/>
  <c r="GH52" i="1"/>
  <c r="GI52" i="1"/>
  <c r="GJ5" i="1"/>
  <c r="GK5" i="1" s="1"/>
  <c r="CJ4" i="1"/>
  <c r="LG11" i="1"/>
  <c r="KX49" i="1"/>
  <c r="KX22" i="1"/>
  <c r="LB22" i="1"/>
  <c r="GJ22" i="1"/>
  <c r="GK22" i="1"/>
  <c r="LF22" i="1"/>
  <c r="GR22" i="1"/>
  <c r="GS22" i="1"/>
  <c r="KZ34" i="1"/>
  <c r="GF34" i="1"/>
  <c r="GG34" i="1"/>
  <c r="LD34" i="1"/>
  <c r="GN34" i="1"/>
  <c r="GO34" i="1"/>
  <c r="LB37" i="1"/>
  <c r="GJ37" i="1"/>
  <c r="GK37" i="1"/>
  <c r="FZ38" i="1"/>
  <c r="GA38" i="1"/>
  <c r="KW38" i="1"/>
  <c r="LA38" i="1"/>
  <c r="GH38" i="1"/>
  <c r="GI38" i="1"/>
  <c r="LF39" i="1"/>
  <c r="GR39" i="1"/>
  <c r="GS39" i="1"/>
  <c r="LD50" i="1"/>
  <c r="GN50" i="1"/>
  <c r="GO50" i="1"/>
  <c r="LB52" i="1"/>
  <c r="GJ52" i="1"/>
  <c r="GK52" i="1"/>
  <c r="LF52" i="1"/>
  <c r="GR52" i="1"/>
  <c r="GS52" i="1"/>
  <c r="GV22" i="1"/>
  <c r="GW22" i="1"/>
  <c r="GB49" i="1"/>
  <c r="GC49" i="1"/>
  <c r="KW22" i="1"/>
  <c r="KW37" i="1"/>
  <c r="FZ37" i="1"/>
  <c r="GA37" i="1"/>
  <c r="KZ38" i="1"/>
  <c r="GF38" i="1"/>
  <c r="GG38" i="1"/>
  <c r="LC50" i="1"/>
  <c r="GL50" i="1"/>
  <c r="GM50" i="1"/>
  <c r="LE52" i="1"/>
  <c r="GP52" i="1"/>
  <c r="GQ52" i="1"/>
  <c r="CK4" i="1"/>
  <c r="LH11" i="1"/>
  <c r="KY22" i="1"/>
  <c r="GD22" i="1"/>
  <c r="GE22" i="1"/>
  <c r="LC22" i="1"/>
  <c r="GL22" i="1"/>
  <c r="GM22" i="1"/>
  <c r="FZ34" i="1"/>
  <c r="GA34" i="1"/>
  <c r="KW34" i="1"/>
  <c r="LA34" i="1"/>
  <c r="GH34" i="1"/>
  <c r="GI34" i="1"/>
  <c r="LE34" i="1"/>
  <c r="GP34" i="1"/>
  <c r="GQ34" i="1"/>
  <c r="KY37" i="1"/>
  <c r="GD37" i="1"/>
  <c r="GE37" i="1"/>
  <c r="CE11" i="1"/>
  <c r="CE4" i="1"/>
  <c r="LB38" i="1"/>
  <c r="GJ38" i="1"/>
  <c r="GK38" i="1"/>
  <c r="FZ50" i="1"/>
  <c r="GA50" i="1"/>
  <c r="KW50" i="1"/>
  <c r="LA50" i="1"/>
  <c r="GH50" i="1"/>
  <c r="GI50" i="1"/>
  <c r="KY52" i="1"/>
  <c r="GD52" i="1"/>
  <c r="GE52" i="1"/>
  <c r="LC52" i="1"/>
  <c r="GL52" i="1"/>
  <c r="GM52" i="1"/>
  <c r="GV52" i="1"/>
  <c r="GW52" i="1"/>
  <c r="GT11" i="1"/>
  <c r="GU11" i="1"/>
  <c r="GT39" i="1"/>
  <c r="GU39" i="1"/>
  <c r="LE22" i="1"/>
  <c r="LA37" i="1"/>
  <c r="GH37" i="1"/>
  <c r="GI37" i="1"/>
  <c r="LD38" i="1"/>
  <c r="GN38" i="1"/>
  <c r="GO38" i="1"/>
  <c r="GP38" i="1"/>
  <c r="GQ38" i="1"/>
  <c r="KW52" i="1"/>
  <c r="CG11" i="1"/>
  <c r="KZ22" i="1"/>
  <c r="LD22" i="1"/>
  <c r="GN22" i="1"/>
  <c r="GO22" i="1"/>
  <c r="LB34" i="1"/>
  <c r="GJ34" i="1"/>
  <c r="GK34" i="1"/>
  <c r="LF34" i="1"/>
  <c r="GR34" i="1"/>
  <c r="GS34" i="1"/>
  <c r="KZ37" i="1"/>
  <c r="GF37" i="1"/>
  <c r="GG37" i="1"/>
  <c r="LD37" i="1"/>
  <c r="GN37" i="1"/>
  <c r="GO37" i="1"/>
  <c r="LC38" i="1"/>
  <c r="GL38" i="1"/>
  <c r="GM38" i="1"/>
  <c r="LB50" i="1"/>
  <c r="GJ50" i="1"/>
  <c r="GK50" i="1"/>
  <c r="LF50" i="1"/>
  <c r="GR50" i="1"/>
  <c r="GS50" i="1"/>
  <c r="KZ52" i="1"/>
  <c r="GF52" i="1"/>
  <c r="GG52" i="1"/>
  <c r="LD52" i="1"/>
  <c r="GN52" i="1"/>
  <c r="GO52" i="1"/>
  <c r="GT22" i="1"/>
  <c r="GU22" i="1"/>
  <c r="GT52" i="1"/>
  <c r="GU52" i="1"/>
  <c r="GF50" i="1"/>
  <c r="GG50" i="1"/>
  <c r="GP5" i="1"/>
  <c r="GQ5" i="1" s="1"/>
  <c r="GP50" i="1"/>
  <c r="GQ50" i="1"/>
  <c r="GL37" i="1"/>
  <c r="GM37" i="1"/>
  <c r="CA11" i="1"/>
  <c r="CA43" i="1"/>
  <c r="GB38" i="1"/>
  <c r="GC38" i="1"/>
  <c r="GB52" i="1"/>
  <c r="GC52" i="1"/>
  <c r="GB34" i="1"/>
  <c r="GC34" i="1"/>
  <c r="GB50" i="1"/>
  <c r="GC50" i="1"/>
  <c r="GB22" i="1"/>
  <c r="GC22" i="1"/>
  <c r="CC11" i="1"/>
  <c r="CD4" i="1"/>
  <c r="CH11" i="1"/>
  <c r="CI4" i="1"/>
  <c r="CL50" i="1"/>
  <c r="S48" i="22"/>
  <c r="W48" i="22"/>
  <c r="X48" i="22"/>
  <c r="CL204" i="1"/>
  <c r="CB11" i="1"/>
  <c r="CF11" i="1"/>
  <c r="CL38" i="1"/>
  <c r="S36" i="22"/>
  <c r="W36" i="22"/>
  <c r="X36" i="22"/>
  <c r="CL52" i="1"/>
  <c r="S50" i="22"/>
  <c r="W50" i="22"/>
  <c r="X50" i="22"/>
  <c r="CL22" i="1"/>
  <c r="S21" i="22"/>
  <c r="W21" i="22"/>
  <c r="X21" i="22"/>
  <c r="CL37" i="1"/>
  <c r="S35" i="22"/>
  <c r="W35" i="22"/>
  <c r="X35" i="22"/>
  <c r="BU50" i="1"/>
  <c r="BU34" i="1"/>
  <c r="BU18" i="1"/>
  <c r="KT18" i="1" s="1"/>
  <c r="BU19" i="1"/>
  <c r="KT19" i="1" s="1"/>
  <c r="X46" i="22"/>
  <c r="Y46" i="22"/>
  <c r="GX35" i="1"/>
  <c r="GY35" i="1"/>
  <c r="LH35" i="1"/>
  <c r="GX20" i="1"/>
  <c r="GY20" i="1"/>
  <c r="LH20" i="1"/>
  <c r="GX43" i="1"/>
  <c r="GY43" i="1"/>
  <c r="LH43" i="1"/>
  <c r="LG35" i="1"/>
  <c r="GV35" i="1"/>
  <c r="GW35" i="1"/>
  <c r="GV20" i="1"/>
  <c r="GW20" i="1"/>
  <c r="LG20" i="1"/>
  <c r="LG43" i="1"/>
  <c r="GV43" i="1"/>
  <c r="GW43" i="1"/>
  <c r="K17" i="23"/>
  <c r="CH43" i="1"/>
  <c r="CH20" i="1"/>
  <c r="CH35" i="1"/>
  <c r="CG43" i="1"/>
  <c r="CG20" i="1"/>
  <c r="CG35" i="1"/>
  <c r="LD35" i="1"/>
  <c r="J17" i="23"/>
  <c r="CF43" i="1"/>
  <c r="CF20" i="1"/>
  <c r="CF35" i="1"/>
  <c r="I17" i="23"/>
  <c r="CE43" i="1"/>
  <c r="CE20" i="1"/>
  <c r="CE35" i="1"/>
  <c r="H17" i="23"/>
  <c r="CC43" i="1"/>
  <c r="CC20" i="1"/>
  <c r="CC35" i="1"/>
  <c r="F17" i="23"/>
  <c r="GH11" i="1"/>
  <c r="GI11" i="1"/>
  <c r="CB43" i="1"/>
  <c r="CB20" i="1"/>
  <c r="CB35" i="1"/>
  <c r="E17" i="23"/>
  <c r="CL49" i="1"/>
  <c r="S47" i="22"/>
  <c r="W47" i="22"/>
  <c r="CA4" i="1"/>
  <c r="CA20" i="1"/>
  <c r="CA35" i="1"/>
  <c r="D17" i="23"/>
  <c r="BZ43" i="1"/>
  <c r="BZ20" i="1"/>
  <c r="BZ35" i="1"/>
  <c r="C17" i="23"/>
  <c r="LF46" i="1"/>
  <c r="GR46" i="1"/>
  <c r="GS46" i="1"/>
  <c r="GT46" i="1"/>
  <c r="GU46" i="1"/>
  <c r="LF35" i="1"/>
  <c r="GT35" i="1"/>
  <c r="GU35" i="1"/>
  <c r="LD11" i="1"/>
  <c r="GN11" i="1"/>
  <c r="GO11" i="1"/>
  <c r="FZ46" i="1"/>
  <c r="GA46" i="1"/>
  <c r="KW46" i="1"/>
  <c r="KY11" i="1"/>
  <c r="GD11" i="1"/>
  <c r="GE11" i="1"/>
  <c r="KZ39" i="1"/>
  <c r="GF39" i="1"/>
  <c r="GG39" i="1"/>
  <c r="KX39" i="1"/>
  <c r="LD49" i="1"/>
  <c r="GN49" i="1"/>
  <c r="GO49" i="1"/>
  <c r="LB11" i="1"/>
  <c r="GJ11" i="1"/>
  <c r="GK11" i="1"/>
  <c r="LE39" i="1"/>
  <c r="GP39" i="1"/>
  <c r="GQ39" i="1"/>
  <c r="LF43" i="1"/>
  <c r="GT43" i="1"/>
  <c r="GU43" i="1"/>
  <c r="GL39" i="1"/>
  <c r="GM39" i="1"/>
  <c r="LC39" i="1"/>
  <c r="GL11" i="1"/>
  <c r="GM11" i="1"/>
  <c r="LC11" i="1"/>
  <c r="KW11" i="1"/>
  <c r="LE11" i="1"/>
  <c r="GP11" i="1"/>
  <c r="GQ11" i="1"/>
  <c r="KZ11" i="1"/>
  <c r="GF11" i="1"/>
  <c r="GG11" i="1"/>
  <c r="LA39" i="1"/>
  <c r="GH39" i="1"/>
  <c r="GI39" i="1"/>
  <c r="KZ49" i="1"/>
  <c r="GF49" i="1"/>
  <c r="GG49" i="1"/>
  <c r="KY49" i="1"/>
  <c r="GD49" i="1"/>
  <c r="GE49" i="1"/>
  <c r="LB49" i="1"/>
  <c r="GJ49" i="1"/>
  <c r="GK49" i="1"/>
  <c r="GR11" i="1"/>
  <c r="GS11" i="1"/>
  <c r="LA20" i="1"/>
  <c r="LB39" i="1"/>
  <c r="GJ39" i="1"/>
  <c r="GK39" i="1"/>
  <c r="KX11" i="1"/>
  <c r="FZ49" i="1"/>
  <c r="GA49" i="1"/>
  <c r="KW49" i="1"/>
  <c r="LA43" i="1"/>
  <c r="CG4" i="1"/>
  <c r="LE46" i="1"/>
  <c r="GD39" i="1"/>
  <c r="GE39" i="1"/>
  <c r="KY39" i="1"/>
  <c r="LD39" i="1"/>
  <c r="GN39" i="1"/>
  <c r="GO39" i="1"/>
  <c r="LF20" i="1"/>
  <c r="GT20" i="1"/>
  <c r="GU20" i="1"/>
  <c r="KW39" i="1"/>
  <c r="LE49" i="1"/>
  <c r="GP49" i="1"/>
  <c r="GQ49" i="1"/>
  <c r="LC49" i="1"/>
  <c r="GL49" i="1"/>
  <c r="GM49" i="1"/>
  <c r="LF49" i="1"/>
  <c r="GR49" i="1"/>
  <c r="GS49" i="1"/>
  <c r="GT49" i="1"/>
  <c r="GU49" i="1"/>
  <c r="LA49" i="1"/>
  <c r="GH49" i="1"/>
  <c r="GI49" i="1"/>
  <c r="LA35" i="1"/>
  <c r="GB11" i="1"/>
  <c r="GC11" i="1"/>
  <c r="CC4" i="1"/>
  <c r="GB39" i="1"/>
  <c r="GC39" i="1"/>
  <c r="CM11" i="1"/>
  <c r="CL11" i="1"/>
  <c r="BZ4" i="1"/>
  <c r="CH4" i="1"/>
  <c r="CF4" i="1"/>
  <c r="CL39" i="1"/>
  <c r="CB4" i="1"/>
  <c r="O17" i="23"/>
  <c r="P17" i="23"/>
  <c r="GR43" i="1"/>
  <c r="GS43" i="1"/>
  <c r="X47" i="22"/>
  <c r="Y47" i="22"/>
  <c r="GR20" i="1"/>
  <c r="GS20" i="1"/>
  <c r="CL4" i="1"/>
  <c r="CM69" i="1" s="1"/>
  <c r="GJ35" i="1"/>
  <c r="GK35" i="1"/>
  <c r="LB35" i="1"/>
  <c r="GJ20" i="1"/>
  <c r="GK20" i="1"/>
  <c r="GJ43" i="1"/>
  <c r="GK43" i="1"/>
  <c r="LB20" i="1"/>
  <c r="LB43" i="1"/>
  <c r="GH35" i="1"/>
  <c r="GI35" i="1"/>
  <c r="GH20" i="1"/>
  <c r="GI20" i="1"/>
  <c r="KX35" i="1"/>
  <c r="KX43" i="1"/>
  <c r="KX20" i="1"/>
  <c r="KW20" i="1"/>
  <c r="CL46" i="1"/>
  <c r="S44" i="22"/>
  <c r="W44" i="22"/>
  <c r="S37" i="22"/>
  <c r="W37" i="22"/>
  <c r="X37" i="22"/>
  <c r="S10" i="22"/>
  <c r="W10" i="22"/>
  <c r="X10" i="22"/>
  <c r="GB20" i="1"/>
  <c r="GC20" i="1"/>
  <c r="LC43" i="1"/>
  <c r="GL43" i="1"/>
  <c r="GM43" i="1"/>
  <c r="KW35" i="1"/>
  <c r="KZ43" i="1"/>
  <c r="GF43" i="1"/>
  <c r="GG43" i="1"/>
  <c r="GN46" i="1"/>
  <c r="GO46" i="1"/>
  <c r="LD46" i="1"/>
  <c r="GP46" i="1"/>
  <c r="GQ46" i="1"/>
  <c r="LA46" i="1"/>
  <c r="GH46" i="1"/>
  <c r="GI46" i="1"/>
  <c r="LC46" i="1"/>
  <c r="GL46" i="1"/>
  <c r="GM46" i="1"/>
  <c r="GB46" i="1"/>
  <c r="GC46" i="1"/>
  <c r="KX46" i="1"/>
  <c r="LD20" i="1"/>
  <c r="GN20" i="1"/>
  <c r="GO20" i="1"/>
  <c r="KY35" i="1"/>
  <c r="GD35" i="1"/>
  <c r="GE35" i="1"/>
  <c r="KZ46" i="1"/>
  <c r="GF46" i="1"/>
  <c r="GG46" i="1"/>
  <c r="KW43" i="1"/>
  <c r="KY20" i="1"/>
  <c r="GD20" i="1"/>
  <c r="GE20" i="1"/>
  <c r="KZ20" i="1"/>
  <c r="GF20" i="1"/>
  <c r="GG20" i="1"/>
  <c r="LB46" i="1"/>
  <c r="GJ46" i="1"/>
  <c r="GK46" i="1"/>
  <c r="GL20" i="1"/>
  <c r="GM20" i="1"/>
  <c r="LC20" i="1"/>
  <c r="LE35" i="1"/>
  <c r="GP35" i="1"/>
  <c r="GQ35" i="1"/>
  <c r="LE43" i="1"/>
  <c r="GP43" i="1"/>
  <c r="GQ43" i="1"/>
  <c r="KY43" i="1"/>
  <c r="GD43" i="1"/>
  <c r="GE43" i="1"/>
  <c r="LC35" i="1"/>
  <c r="GL35" i="1"/>
  <c r="GM35" i="1"/>
  <c r="KZ35" i="1"/>
  <c r="GF35" i="1"/>
  <c r="GG35" i="1"/>
  <c r="GB43" i="1"/>
  <c r="GC43" i="1"/>
  <c r="KY46" i="1"/>
  <c r="GD46" i="1"/>
  <c r="GE46" i="1"/>
  <c r="GH43" i="1"/>
  <c r="GI43" i="1"/>
  <c r="GN35" i="1"/>
  <c r="GO35" i="1"/>
  <c r="LE20" i="1"/>
  <c r="GP20" i="1"/>
  <c r="GQ20" i="1"/>
  <c r="LD43" i="1"/>
  <c r="GN43" i="1"/>
  <c r="GO43" i="1"/>
  <c r="GR35" i="1"/>
  <c r="GS35" i="1"/>
  <c r="GB35" i="1"/>
  <c r="GC35" i="1"/>
  <c r="KS56" i="1"/>
  <c r="X44" i="22"/>
  <c r="Y44" i="22"/>
  <c r="BT52" i="1"/>
  <c r="BT50" i="1"/>
  <c r="BT39" i="1"/>
  <c r="BT34" i="1"/>
  <c r="BT22" i="1"/>
  <c r="BT19" i="1"/>
  <c r="KS19" i="1" s="1"/>
  <c r="BT18" i="1"/>
  <c r="BT46" i="1"/>
  <c r="BT49" i="1"/>
  <c r="BT40" i="1"/>
  <c r="KS40" i="1" s="1"/>
  <c r="BS5" i="1"/>
  <c r="BS38" i="1"/>
  <c r="BS37" i="1"/>
  <c r="KR56" i="1"/>
  <c r="BS52" i="1"/>
  <c r="BS50" i="1"/>
  <c r="BS39" i="1"/>
  <c r="BS34" i="1"/>
  <c r="BS22" i="1"/>
  <c r="BS19" i="1"/>
  <c r="BS18" i="1"/>
  <c r="KR18" i="1" s="1"/>
  <c r="BS49" i="1"/>
  <c r="BS46" i="1"/>
  <c r="BS40" i="1"/>
  <c r="BX55" i="1"/>
  <c r="P53" i="22"/>
  <c r="T53" i="22"/>
  <c r="U53" i="22"/>
  <c r="BR5" i="1"/>
  <c r="BR37" i="1"/>
  <c r="BR38" i="1"/>
  <c r="KQ56" i="1"/>
  <c r="BR34" i="1"/>
  <c r="BR52" i="1"/>
  <c r="BR50" i="1"/>
  <c r="BR39" i="1"/>
  <c r="BR46" i="1"/>
  <c r="BR22" i="1"/>
  <c r="BR49" i="1"/>
  <c r="BR18" i="1"/>
  <c r="BR19" i="1"/>
  <c r="KQ19" i="1" s="1"/>
  <c r="BR40" i="1"/>
  <c r="KQ40" i="1" s="1"/>
  <c r="BQ5" i="1"/>
  <c r="BQ37" i="1"/>
  <c r="BQ38" i="1"/>
  <c r="KP56" i="1"/>
  <c r="FL55" i="1"/>
  <c r="FN55" i="1"/>
  <c r="FO55" i="1"/>
  <c r="FP55" i="1"/>
  <c r="FR55" i="1"/>
  <c r="FT55" i="1"/>
  <c r="FU55" i="1"/>
  <c r="FV55" i="1"/>
  <c r="FW55" i="1"/>
  <c r="FX55" i="1"/>
  <c r="FY55" i="1"/>
  <c r="JB55" i="1"/>
  <c r="JC55" i="1"/>
  <c r="JD55" i="1"/>
  <c r="JE55" i="1"/>
  <c r="JF55" i="1"/>
  <c r="JG55" i="1"/>
  <c r="JH55" i="1"/>
  <c r="JI55" i="1"/>
  <c r="JJ55" i="1"/>
  <c r="JK55" i="1"/>
  <c r="JL55" i="1"/>
  <c r="JM55" i="1"/>
  <c r="JN55" i="1"/>
  <c r="JO55" i="1"/>
  <c r="JP55" i="1"/>
  <c r="JQ55" i="1"/>
  <c r="JR55" i="1"/>
  <c r="JS55" i="1"/>
  <c r="JT55" i="1"/>
  <c r="JU55" i="1"/>
  <c r="JV55" i="1"/>
  <c r="JW55" i="1"/>
  <c r="JX55" i="1"/>
  <c r="JY55" i="1"/>
  <c r="JZ55" i="1"/>
  <c r="KA55" i="1"/>
  <c r="KB55" i="1"/>
  <c r="KC55" i="1"/>
  <c r="KD55" i="1"/>
  <c r="KE55" i="1"/>
  <c r="KF55" i="1"/>
  <c r="KG55" i="1"/>
  <c r="KH55" i="1"/>
  <c r="KI55" i="1"/>
  <c r="KJ55" i="1"/>
  <c r="KK55" i="1"/>
  <c r="KL55" i="1"/>
  <c r="KM55" i="1"/>
  <c r="KN55" i="1"/>
  <c r="KO55" i="1"/>
  <c r="KP55" i="1"/>
  <c r="KQ55" i="1"/>
  <c r="KR55" i="1"/>
  <c r="KS55" i="1"/>
  <c r="KT55" i="1"/>
  <c r="KU55" i="1"/>
  <c r="KV55" i="1"/>
  <c r="BQ34" i="1"/>
  <c r="BQ52" i="1"/>
  <c r="BQ50" i="1"/>
  <c r="BQ39" i="1"/>
  <c r="BQ22" i="1"/>
  <c r="BQ49" i="1"/>
  <c r="BQ19" i="1"/>
  <c r="BQ18" i="1"/>
  <c r="KP18" i="1" s="1"/>
  <c r="BQ40" i="1"/>
  <c r="KP40" i="1" s="1"/>
  <c r="BQ46" i="1"/>
  <c r="BP5" i="1"/>
  <c r="BP38" i="1"/>
  <c r="BP37" i="1"/>
  <c r="BP50" i="1"/>
  <c r="BX56" i="1"/>
  <c r="ED56" i="1"/>
  <c r="EF56" i="1"/>
  <c r="EH56" i="1"/>
  <c r="EJ56" i="1"/>
  <c r="EK56" i="1"/>
  <c r="IR56" i="1"/>
  <c r="IS56" i="1"/>
  <c r="EL56" i="1"/>
  <c r="EM56" i="1"/>
  <c r="EN56" i="1"/>
  <c r="EP56" i="1"/>
  <c r="EQ56" i="1"/>
  <c r="ER56" i="1"/>
  <c r="ES56" i="1"/>
  <c r="ET56" i="1"/>
  <c r="EU56" i="1"/>
  <c r="EV56" i="1"/>
  <c r="EW56" i="1"/>
  <c r="EX56" i="1"/>
  <c r="EY56" i="1"/>
  <c r="EZ56" i="1"/>
  <c r="FB56" i="1"/>
  <c r="FC56" i="1"/>
  <c r="FD56" i="1"/>
  <c r="FE56" i="1"/>
  <c r="FF56" i="1"/>
  <c r="FG56" i="1"/>
  <c r="FH56" i="1"/>
  <c r="FI56" i="1"/>
  <c r="FJ56" i="1"/>
  <c r="FL56" i="1"/>
  <c r="FM56" i="1"/>
  <c r="FN56" i="1"/>
  <c r="FP56" i="1"/>
  <c r="FR56" i="1"/>
  <c r="FS56" i="1"/>
  <c r="FT56" i="1"/>
  <c r="FV56" i="1"/>
  <c r="FW56" i="1"/>
  <c r="FX56" i="1"/>
  <c r="EI56" i="1"/>
  <c r="EG56" i="1"/>
  <c r="T54" i="22"/>
  <c r="U54" i="22"/>
  <c r="P54" i="22"/>
  <c r="BP39" i="1"/>
  <c r="BP40" i="1"/>
  <c r="BP34" i="1"/>
  <c r="BP19" i="1"/>
  <c r="KO19" i="1" s="1"/>
  <c r="BP18" i="1"/>
  <c r="BP46" i="1"/>
  <c r="BO5" i="1"/>
  <c r="BO38" i="1"/>
  <c r="BO37" i="1"/>
  <c r="BO50" i="1"/>
  <c r="BO39" i="1"/>
  <c r="BO34" i="1"/>
  <c r="BO19" i="1"/>
  <c r="KN19" i="1" s="1"/>
  <c r="BO18" i="1"/>
  <c r="BO46" i="1"/>
  <c r="BO40" i="1"/>
  <c r="KN40" i="1" s="1"/>
  <c r="FH70" i="1"/>
  <c r="FI70" i="1"/>
  <c r="FH69" i="1"/>
  <c r="FI69" i="1"/>
  <c r="FH68" i="1"/>
  <c r="FI68" i="1"/>
  <c r="FH67" i="1"/>
  <c r="FI67" i="1"/>
  <c r="FH66" i="1"/>
  <c r="FI66" i="1"/>
  <c r="FH64" i="1"/>
  <c r="FI64" i="1"/>
  <c r="FH63" i="1"/>
  <c r="FI63" i="1"/>
  <c r="FH62" i="1"/>
  <c r="FI62" i="1"/>
  <c r="FH61" i="1"/>
  <c r="FI61" i="1"/>
  <c r="FH60" i="1"/>
  <c r="FI60" i="1"/>
  <c r="FH59" i="1"/>
  <c r="FI59" i="1"/>
  <c r="FH58" i="1"/>
  <c r="FI58" i="1"/>
  <c r="FH57" i="1"/>
  <c r="FI57" i="1"/>
  <c r="FH54" i="1"/>
  <c r="FI54" i="1"/>
  <c r="FH53" i="1"/>
  <c r="FI53" i="1"/>
  <c r="FH48" i="1"/>
  <c r="FI48" i="1"/>
  <c r="FH45" i="1"/>
  <c r="FI45" i="1"/>
  <c r="FH42" i="1"/>
  <c r="FI42" i="1"/>
  <c r="FH33" i="1"/>
  <c r="FI33" i="1"/>
  <c r="FH32" i="1"/>
  <c r="FI32" i="1"/>
  <c r="FH30" i="1"/>
  <c r="FI30" i="1"/>
  <c r="FH29" i="1"/>
  <c r="FI29" i="1"/>
  <c r="FH28" i="1"/>
  <c r="FI28" i="1"/>
  <c r="FH27" i="1"/>
  <c r="FI27" i="1"/>
  <c r="FH26" i="1"/>
  <c r="FI26" i="1"/>
  <c r="FH25" i="1"/>
  <c r="FI25" i="1"/>
  <c r="FH24" i="1"/>
  <c r="FI24" i="1"/>
  <c r="FH23" i="1"/>
  <c r="FI23" i="1"/>
  <c r="FH17" i="1"/>
  <c r="FI17" i="1"/>
  <c r="FH16" i="1"/>
  <c r="FI16" i="1"/>
  <c r="FH15" i="1"/>
  <c r="FI15" i="1"/>
  <c r="FH13" i="1"/>
  <c r="FI13" i="1"/>
  <c r="FH7" i="1"/>
  <c r="FI7" i="1" s="1"/>
  <c r="FH6" i="1"/>
  <c r="FI6" i="1" s="1"/>
  <c r="BN5" i="1"/>
  <c r="FH5" i="1"/>
  <c r="FI5" i="1" s="1"/>
  <c r="BN38" i="1"/>
  <c r="FH38" i="1"/>
  <c r="FI38" i="1"/>
  <c r="BN37" i="1"/>
  <c r="FH37" i="1"/>
  <c r="FI37" i="1"/>
  <c r="BN34" i="1"/>
  <c r="FH34" i="1"/>
  <c r="FI34" i="1"/>
  <c r="BN19" i="1"/>
  <c r="KM19" i="1" s="1"/>
  <c r="BN52" i="1"/>
  <c r="BN50" i="1"/>
  <c r="FH50" i="1"/>
  <c r="FI50" i="1"/>
  <c r="BN22" i="1"/>
  <c r="BN49" i="1"/>
  <c r="BN18" i="1"/>
  <c r="KM18" i="1" s="1"/>
  <c r="BN39" i="1"/>
  <c r="FH39" i="1"/>
  <c r="FI39" i="1"/>
  <c r="BM5" i="1"/>
  <c r="BL5" i="1"/>
  <c r="BM38" i="1"/>
  <c r="BM37" i="1"/>
  <c r="BN46" i="1"/>
  <c r="FH46" i="1"/>
  <c r="FI46" i="1"/>
  <c r="BN40" i="1"/>
  <c r="KM40" i="1" s="1"/>
  <c r="BM22" i="1"/>
  <c r="BM52" i="1"/>
  <c r="BM50" i="1"/>
  <c r="BM39" i="1"/>
  <c r="BM46" i="1"/>
  <c r="BM34" i="1"/>
  <c r="BM19" i="1"/>
  <c r="KL19" i="1" s="1"/>
  <c r="BM18" i="1"/>
  <c r="KL18" i="1" s="1"/>
  <c r="BM49" i="1"/>
  <c r="BM40" i="1"/>
  <c r="BL34" i="1"/>
  <c r="BL37" i="1"/>
  <c r="BL38" i="1"/>
  <c r="O68" i="22"/>
  <c r="T68" i="22"/>
  <c r="U68" i="22"/>
  <c r="O67" i="22"/>
  <c r="T67" i="22"/>
  <c r="U67" i="22"/>
  <c r="O66" i="22"/>
  <c r="T66" i="22"/>
  <c r="U66" i="22"/>
  <c r="O65" i="22"/>
  <c r="T65" i="22"/>
  <c r="U65" i="22"/>
  <c r="O64" i="22"/>
  <c r="T64" i="22"/>
  <c r="U64" i="22"/>
  <c r="O63" i="22"/>
  <c r="T63" i="22"/>
  <c r="U63" i="22"/>
  <c r="T49" i="22"/>
  <c r="U49" i="22"/>
  <c r="T42" i="22"/>
  <c r="T41" i="22"/>
  <c r="T40" i="22"/>
  <c r="T39" i="22"/>
  <c r="T34" i="22"/>
  <c r="T33" i="22"/>
  <c r="T32" i="22"/>
  <c r="T31" i="22"/>
  <c r="T30" i="22"/>
  <c r="T29" i="22"/>
  <c r="T28" i="22"/>
  <c r="T20" i="22"/>
  <c r="T19" i="22"/>
  <c r="T18" i="22"/>
  <c r="T16" i="22"/>
  <c r="T15" i="22"/>
  <c r="T14" i="22"/>
  <c r="T13" i="22"/>
  <c r="T11" i="22"/>
  <c r="T9" i="22"/>
  <c r="T8" i="22"/>
  <c r="BL11" i="1"/>
  <c r="E23" i="23"/>
  <c r="E24" i="23" s="1"/>
  <c r="E25" i="23" s="1"/>
  <c r="F23" i="23"/>
  <c r="F24" i="23" s="1"/>
  <c r="F25" i="23" s="1"/>
  <c r="G23" i="23"/>
  <c r="G24" i="23" s="1"/>
  <c r="G25" i="23" s="1"/>
  <c r="H23" i="23"/>
  <c r="H24" i="23" s="1"/>
  <c r="H25" i="23" s="1"/>
  <c r="I23" i="23"/>
  <c r="I24" i="23" s="1"/>
  <c r="I25" i="23" s="1"/>
  <c r="J23" i="23"/>
  <c r="J24" i="23" s="1"/>
  <c r="J25" i="23" s="1"/>
  <c r="K23" i="23"/>
  <c r="K24" i="23" s="1"/>
  <c r="K25" i="23" s="1"/>
  <c r="L23" i="23"/>
  <c r="M23" i="23"/>
  <c r="M24" i="23" s="1"/>
  <c r="M25" i="23" s="1"/>
  <c r="N23" i="23"/>
  <c r="N24" i="23" s="1"/>
  <c r="N25" i="23" s="1"/>
  <c r="D23" i="23"/>
  <c r="C23" i="23"/>
  <c r="C24" i="23" s="1"/>
  <c r="C25" i="23" s="1"/>
  <c r="U13" i="22"/>
  <c r="U18" i="22"/>
  <c r="U29" i="22"/>
  <c r="U33" i="22"/>
  <c r="U41" i="22"/>
  <c r="U8" i="22"/>
  <c r="U14" i="22"/>
  <c r="U19" i="22"/>
  <c r="U30" i="22"/>
  <c r="U34" i="22"/>
  <c r="U42" i="22"/>
  <c r="U9" i="22"/>
  <c r="U15" i="22"/>
  <c r="U20" i="22"/>
  <c r="U31" i="22"/>
  <c r="U39" i="22"/>
  <c r="U11" i="22"/>
  <c r="U16" i="22"/>
  <c r="U28" i="22"/>
  <c r="U32" i="22"/>
  <c r="U40" i="22"/>
  <c r="C22" i="23"/>
  <c r="BI5" i="1"/>
  <c r="BI38" i="1"/>
  <c r="BI37" i="1"/>
  <c r="BG44" i="1"/>
  <c r="AG49" i="1"/>
  <c r="AF49" i="1"/>
  <c r="AE49" i="1"/>
  <c r="AD49" i="1"/>
  <c r="AC49" i="1"/>
  <c r="AB49" i="1"/>
  <c r="AA49" i="1"/>
  <c r="Z49" i="1"/>
  <c r="AU34" i="1"/>
  <c r="AT34" i="1"/>
  <c r="AS34" i="1"/>
  <c r="AR34" i="1"/>
  <c r="AQ34" i="1"/>
  <c r="AP34" i="1"/>
  <c r="AO34" i="1"/>
  <c r="AN34" i="1"/>
  <c r="AM34" i="1"/>
  <c r="AL34" i="1"/>
  <c r="AK34" i="1"/>
  <c r="AJ34" i="1"/>
  <c r="AW31" i="1"/>
  <c r="BI204" i="1"/>
  <c r="BI52" i="1"/>
  <c r="BI50" i="1"/>
  <c r="BI39" i="1"/>
  <c r="BI34" i="1"/>
  <c r="BI22" i="1"/>
  <c r="BI49" i="1"/>
  <c r="BI19" i="1"/>
  <c r="KJ19" i="1" s="1"/>
  <c r="BI18" i="1"/>
  <c r="BI46" i="1"/>
  <c r="BI40" i="1"/>
  <c r="KJ40" i="1" s="1"/>
  <c r="BE34" i="1"/>
  <c r="BD34" i="1"/>
  <c r="BC34" i="1"/>
  <c r="BB34" i="1"/>
  <c r="BA34" i="1"/>
  <c r="AZ34" i="1"/>
  <c r="AY34" i="1"/>
  <c r="AX34" i="1"/>
  <c r="BF34" i="1"/>
  <c r="BH5" i="1"/>
  <c r="BH38" i="1"/>
  <c r="BH37" i="1"/>
  <c r="A61" i="22"/>
  <c r="A62" i="22"/>
  <c r="A56" i="22"/>
  <c r="A57" i="22"/>
  <c r="A58" i="22"/>
  <c r="A59" i="22"/>
  <c r="A60" i="22"/>
  <c r="A52" i="22"/>
  <c r="A55"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EZ33" i="1"/>
  <c r="FA33" i="1"/>
  <c r="FB33" i="1"/>
  <c r="FC33" i="1"/>
  <c r="FD33" i="1"/>
  <c r="FE33" i="1"/>
  <c r="FF33" i="1"/>
  <c r="FG33" i="1"/>
  <c r="FJ33" i="1"/>
  <c r="FK33" i="1"/>
  <c r="FL33" i="1"/>
  <c r="FM33" i="1"/>
  <c r="FN33" i="1"/>
  <c r="FO33" i="1"/>
  <c r="FP33" i="1"/>
  <c r="FQ33" i="1"/>
  <c r="FR33" i="1"/>
  <c r="FS33" i="1"/>
  <c r="FT33" i="1"/>
  <c r="FU33" i="1"/>
  <c r="FV33" i="1"/>
  <c r="FW33" i="1"/>
  <c r="FX33" i="1"/>
  <c r="FY33" i="1"/>
  <c r="EX33" i="1"/>
  <c r="EY33" i="1"/>
  <c r="JX33" i="1"/>
  <c r="JY33" i="1"/>
  <c r="JZ33" i="1"/>
  <c r="KA33" i="1"/>
  <c r="KB33" i="1"/>
  <c r="KC33" i="1"/>
  <c r="KD33" i="1"/>
  <c r="KE33" i="1"/>
  <c r="KF33" i="1"/>
  <c r="KG33" i="1"/>
  <c r="KH33" i="1"/>
  <c r="KI33" i="1"/>
  <c r="KJ33" i="1"/>
  <c r="KK33" i="1"/>
  <c r="KL33" i="1"/>
  <c r="KM33" i="1"/>
  <c r="KN33" i="1"/>
  <c r="KO33" i="1"/>
  <c r="KP33" i="1"/>
  <c r="KQ33" i="1"/>
  <c r="KR33" i="1"/>
  <c r="KS33" i="1"/>
  <c r="KT33" i="1"/>
  <c r="KU33" i="1"/>
  <c r="KV33" i="1"/>
  <c r="BG34" i="1"/>
  <c r="BH34" i="1"/>
  <c r="AH49" i="1"/>
  <c r="BH204" i="1"/>
  <c r="BH52" i="1"/>
  <c r="BH50" i="1"/>
  <c r="BH39" i="1"/>
  <c r="BH22" i="1"/>
  <c r="BH49" i="1"/>
  <c r="BH19" i="1"/>
  <c r="BH18" i="1"/>
  <c r="KI18" i="1" s="1"/>
  <c r="BG5" i="1"/>
  <c r="BG38" i="1"/>
  <c r="BG37" i="1"/>
  <c r="BG204" i="1"/>
  <c r="BG52" i="1"/>
  <c r="BG50" i="1"/>
  <c r="BG22" i="1"/>
  <c r="BG19" i="1"/>
  <c r="KH19" i="1" s="1"/>
  <c r="BG18" i="1"/>
  <c r="BU11" i="1"/>
  <c r="BV11" i="1"/>
  <c r="BW11" i="1"/>
  <c r="BU22" i="1"/>
  <c r="KU22" i="1"/>
  <c r="FZ22" i="1"/>
  <c r="GA22" i="1"/>
  <c r="KV34" i="1"/>
  <c r="BU39" i="1"/>
  <c r="KU39" i="1"/>
  <c r="FZ39" i="1"/>
  <c r="GA39" i="1"/>
  <c r="KU46" i="1"/>
  <c r="KV50" i="1"/>
  <c r="BU52" i="1"/>
  <c r="KU52" i="1"/>
  <c r="FZ52" i="1"/>
  <c r="GA52" i="1"/>
  <c r="BU204" i="1"/>
  <c r="BV204" i="1"/>
  <c r="BW204" i="1"/>
  <c r="KV70" i="1"/>
  <c r="KV69" i="1"/>
  <c r="KV68" i="1"/>
  <c r="KV67" i="1"/>
  <c r="KV66" i="1"/>
  <c r="KV64" i="1"/>
  <c r="KV63" i="1"/>
  <c r="KV62" i="1"/>
  <c r="KV61" i="1"/>
  <c r="KV60" i="1"/>
  <c r="KV59" i="1"/>
  <c r="KV58" i="1"/>
  <c r="KV57" i="1"/>
  <c r="KV54" i="1"/>
  <c r="KV53" i="1"/>
  <c r="KV49" i="1"/>
  <c r="KV48" i="1"/>
  <c r="KV45" i="1"/>
  <c r="KV42" i="1"/>
  <c r="KV38" i="1"/>
  <c r="KV37" i="1"/>
  <c r="KV32" i="1"/>
  <c r="KV30" i="1"/>
  <c r="KV29" i="1"/>
  <c r="KV28" i="1"/>
  <c r="KV27" i="1"/>
  <c r="KV26" i="1"/>
  <c r="KV25" i="1"/>
  <c r="KV24" i="1"/>
  <c r="KV23" i="1"/>
  <c r="KV17" i="1"/>
  <c r="KV16" i="1"/>
  <c r="KV15" i="1"/>
  <c r="KV13" i="1"/>
  <c r="KV10" i="1"/>
  <c r="KU70" i="1"/>
  <c r="KT70" i="1"/>
  <c r="KS70" i="1"/>
  <c r="KR70" i="1"/>
  <c r="KQ70" i="1"/>
  <c r="KP70" i="1"/>
  <c r="KO70" i="1"/>
  <c r="KN70" i="1"/>
  <c r="KM70" i="1"/>
  <c r="KL70" i="1"/>
  <c r="KU69" i="1"/>
  <c r="KT69" i="1"/>
  <c r="KS69" i="1"/>
  <c r="KR69" i="1"/>
  <c r="KQ69" i="1"/>
  <c r="KP69" i="1"/>
  <c r="KO69" i="1"/>
  <c r="KN69" i="1"/>
  <c r="KM69" i="1"/>
  <c r="KL69" i="1"/>
  <c r="KU68" i="1"/>
  <c r="KT68" i="1"/>
  <c r="KS68" i="1"/>
  <c r="KR68" i="1"/>
  <c r="KQ68" i="1"/>
  <c r="KP68" i="1"/>
  <c r="KO68" i="1"/>
  <c r="KN68" i="1"/>
  <c r="KM68" i="1"/>
  <c r="KL68" i="1"/>
  <c r="KU67" i="1"/>
  <c r="KT67" i="1"/>
  <c r="KS67" i="1"/>
  <c r="KR67" i="1"/>
  <c r="KQ67" i="1"/>
  <c r="KP67" i="1"/>
  <c r="KO67" i="1"/>
  <c r="KN67" i="1"/>
  <c r="KM67" i="1"/>
  <c r="KL67" i="1"/>
  <c r="KU66" i="1"/>
  <c r="KT66" i="1"/>
  <c r="KS66" i="1"/>
  <c r="KR66" i="1"/>
  <c r="KQ66" i="1"/>
  <c r="KP66" i="1"/>
  <c r="KO66" i="1"/>
  <c r="KN66" i="1"/>
  <c r="KM66" i="1"/>
  <c r="KL66" i="1"/>
  <c r="KU64" i="1"/>
  <c r="KT64" i="1"/>
  <c r="KS64" i="1"/>
  <c r="KR64" i="1"/>
  <c r="KQ64" i="1"/>
  <c r="KP64" i="1"/>
  <c r="KO64" i="1"/>
  <c r="KN64" i="1"/>
  <c r="KM64" i="1"/>
  <c r="KL64" i="1"/>
  <c r="KU63" i="1"/>
  <c r="KT63" i="1"/>
  <c r="KS63" i="1"/>
  <c r="KR63" i="1"/>
  <c r="KQ63" i="1"/>
  <c r="KP63" i="1"/>
  <c r="KO63" i="1"/>
  <c r="KN63" i="1"/>
  <c r="KM63" i="1"/>
  <c r="KL63" i="1"/>
  <c r="KU62" i="1"/>
  <c r="KT62" i="1"/>
  <c r="KS62" i="1"/>
  <c r="KR62" i="1"/>
  <c r="KQ62" i="1"/>
  <c r="KP62" i="1"/>
  <c r="KO62" i="1"/>
  <c r="KN62" i="1"/>
  <c r="KM62" i="1"/>
  <c r="KL62" i="1"/>
  <c r="KU61" i="1"/>
  <c r="KT61" i="1"/>
  <c r="KS61" i="1"/>
  <c r="KR61" i="1"/>
  <c r="KQ61" i="1"/>
  <c r="KP61" i="1"/>
  <c r="KO61" i="1"/>
  <c r="KN61" i="1"/>
  <c r="KM61" i="1"/>
  <c r="KL61" i="1"/>
  <c r="KU60" i="1"/>
  <c r="KT60" i="1"/>
  <c r="KS60" i="1"/>
  <c r="KR60" i="1"/>
  <c r="KQ60" i="1"/>
  <c r="KP60" i="1"/>
  <c r="KO60" i="1"/>
  <c r="KN60" i="1"/>
  <c r="KM60" i="1"/>
  <c r="KL60" i="1"/>
  <c r="KU59" i="1"/>
  <c r="KT59" i="1"/>
  <c r="KS59" i="1"/>
  <c r="KR59" i="1"/>
  <c r="KQ59" i="1"/>
  <c r="KP59" i="1"/>
  <c r="KO59" i="1"/>
  <c r="KN59" i="1"/>
  <c r="KM59" i="1"/>
  <c r="KL59" i="1"/>
  <c r="KU58" i="1"/>
  <c r="KT58" i="1"/>
  <c r="KS58" i="1"/>
  <c r="KR58" i="1"/>
  <c r="KQ58" i="1"/>
  <c r="KP58" i="1"/>
  <c r="KO58" i="1"/>
  <c r="KN58" i="1"/>
  <c r="KM58" i="1"/>
  <c r="KL58" i="1"/>
  <c r="KU57" i="1"/>
  <c r="KT57" i="1"/>
  <c r="KS57" i="1"/>
  <c r="KR57" i="1"/>
  <c r="KQ57" i="1"/>
  <c r="KP57" i="1"/>
  <c r="KO57" i="1"/>
  <c r="KN57" i="1"/>
  <c r="KM57" i="1"/>
  <c r="KL57" i="1"/>
  <c r="KU54" i="1"/>
  <c r="KT54" i="1"/>
  <c r="KS54" i="1"/>
  <c r="KR54" i="1"/>
  <c r="KQ54" i="1"/>
  <c r="KP54" i="1"/>
  <c r="KO54" i="1"/>
  <c r="KN54" i="1"/>
  <c r="KM54" i="1"/>
  <c r="KL54" i="1"/>
  <c r="KU53" i="1"/>
  <c r="KT53" i="1"/>
  <c r="KS53" i="1"/>
  <c r="KR53" i="1"/>
  <c r="KQ53" i="1"/>
  <c r="KP53" i="1"/>
  <c r="KO53" i="1"/>
  <c r="KN53" i="1"/>
  <c r="KM53" i="1"/>
  <c r="KL53" i="1"/>
  <c r="KU50" i="1"/>
  <c r="KT50" i="1"/>
  <c r="KU49" i="1"/>
  <c r="KU48" i="1"/>
  <c r="KT48" i="1"/>
  <c r="KS48" i="1"/>
  <c r="KR48" i="1"/>
  <c r="KQ48" i="1"/>
  <c r="KP48" i="1"/>
  <c r="KO48" i="1"/>
  <c r="KN48" i="1"/>
  <c r="KM48" i="1"/>
  <c r="KL48" i="1"/>
  <c r="KU45" i="1"/>
  <c r="KT45" i="1"/>
  <c r="KS45" i="1"/>
  <c r="KR45" i="1"/>
  <c r="KQ45" i="1"/>
  <c r="KP45" i="1"/>
  <c r="KO45" i="1"/>
  <c r="KN45" i="1"/>
  <c r="KM45" i="1"/>
  <c r="KL45" i="1"/>
  <c r="KU42" i="1"/>
  <c r="KT42" i="1"/>
  <c r="KS42" i="1"/>
  <c r="KR42" i="1"/>
  <c r="KQ42" i="1"/>
  <c r="KP42" i="1"/>
  <c r="KO42" i="1"/>
  <c r="KN42" i="1"/>
  <c r="KM42" i="1"/>
  <c r="KL42" i="1"/>
  <c r="KU38" i="1"/>
  <c r="KT38" i="1"/>
  <c r="KS38" i="1"/>
  <c r="KR38" i="1"/>
  <c r="KQ38" i="1"/>
  <c r="KP38" i="1"/>
  <c r="KO38" i="1"/>
  <c r="KN38" i="1"/>
  <c r="KM38" i="1"/>
  <c r="KL38" i="1"/>
  <c r="KU37" i="1"/>
  <c r="KT37" i="1"/>
  <c r="KS37" i="1"/>
  <c r="KR37" i="1"/>
  <c r="KQ37" i="1"/>
  <c r="KP37" i="1"/>
  <c r="KO37" i="1"/>
  <c r="KN37" i="1"/>
  <c r="KM37" i="1"/>
  <c r="KL37" i="1"/>
  <c r="KU34" i="1"/>
  <c r="KT34" i="1"/>
  <c r="KU32" i="1"/>
  <c r="KT32" i="1"/>
  <c r="KS32" i="1"/>
  <c r="KR32" i="1"/>
  <c r="KQ32" i="1"/>
  <c r="KP32" i="1"/>
  <c r="KO32" i="1"/>
  <c r="KN32" i="1"/>
  <c r="KM32" i="1"/>
  <c r="KL32" i="1"/>
  <c r="KU30" i="1"/>
  <c r="KT30" i="1"/>
  <c r="KS30" i="1"/>
  <c r="KR30" i="1"/>
  <c r="KQ30" i="1"/>
  <c r="KP30" i="1"/>
  <c r="KO30" i="1"/>
  <c r="KN30" i="1"/>
  <c r="KM30" i="1"/>
  <c r="KL30" i="1"/>
  <c r="KU29" i="1"/>
  <c r="KT29" i="1"/>
  <c r="KS29" i="1"/>
  <c r="KR29" i="1"/>
  <c r="KQ29" i="1"/>
  <c r="KP29" i="1"/>
  <c r="KO29" i="1"/>
  <c r="KN29" i="1"/>
  <c r="KM29" i="1"/>
  <c r="KL29" i="1"/>
  <c r="KU28" i="1"/>
  <c r="KT28" i="1"/>
  <c r="KS28" i="1"/>
  <c r="KR28" i="1"/>
  <c r="KQ28" i="1"/>
  <c r="KP28" i="1"/>
  <c r="KO28" i="1"/>
  <c r="KN28" i="1"/>
  <c r="KM28" i="1"/>
  <c r="KL28" i="1"/>
  <c r="KU27" i="1"/>
  <c r="KT27" i="1"/>
  <c r="KS27" i="1"/>
  <c r="KR27" i="1"/>
  <c r="KQ27" i="1"/>
  <c r="KP27" i="1"/>
  <c r="KO27" i="1"/>
  <c r="KN27" i="1"/>
  <c r="KM27" i="1"/>
  <c r="KL27" i="1"/>
  <c r="KU26" i="1"/>
  <c r="KT26" i="1"/>
  <c r="KS26" i="1"/>
  <c r="KR26" i="1"/>
  <c r="KQ26" i="1"/>
  <c r="KP26" i="1"/>
  <c r="KO26" i="1"/>
  <c r="KN26" i="1"/>
  <c r="KM26" i="1"/>
  <c r="KL26" i="1"/>
  <c r="KU25" i="1"/>
  <c r="KT25" i="1"/>
  <c r="KS25" i="1"/>
  <c r="KR25" i="1"/>
  <c r="KQ25" i="1"/>
  <c r="KP25" i="1"/>
  <c r="KO25" i="1"/>
  <c r="KN25" i="1"/>
  <c r="KM25" i="1"/>
  <c r="KL25" i="1"/>
  <c r="KU24" i="1"/>
  <c r="KT24" i="1"/>
  <c r="KS24" i="1"/>
  <c r="KR24" i="1"/>
  <c r="KQ24" i="1"/>
  <c r="KP24" i="1"/>
  <c r="KO24" i="1"/>
  <c r="KN24" i="1"/>
  <c r="KM24" i="1"/>
  <c r="KL24" i="1"/>
  <c r="KU23" i="1"/>
  <c r="KT23" i="1"/>
  <c r="KS23" i="1"/>
  <c r="KR23" i="1"/>
  <c r="KQ23" i="1"/>
  <c r="KP23" i="1"/>
  <c r="KO23" i="1"/>
  <c r="KN23" i="1"/>
  <c r="KM23" i="1"/>
  <c r="KL23" i="1"/>
  <c r="KU17" i="1"/>
  <c r="KT17" i="1"/>
  <c r="KS17" i="1"/>
  <c r="KR17" i="1"/>
  <c r="KQ17" i="1"/>
  <c r="KP17" i="1"/>
  <c r="KO17" i="1"/>
  <c r="KN17" i="1"/>
  <c r="KM17" i="1"/>
  <c r="KL17" i="1"/>
  <c r="KU16" i="1"/>
  <c r="KT16" i="1"/>
  <c r="KS16" i="1"/>
  <c r="KR16" i="1"/>
  <c r="KQ16" i="1"/>
  <c r="KP16" i="1"/>
  <c r="KO16" i="1"/>
  <c r="KN16" i="1"/>
  <c r="KM16" i="1"/>
  <c r="KL16" i="1"/>
  <c r="KU15" i="1"/>
  <c r="KT15" i="1"/>
  <c r="KS15" i="1"/>
  <c r="KR15" i="1"/>
  <c r="KQ15" i="1"/>
  <c r="KP15" i="1"/>
  <c r="KO15" i="1"/>
  <c r="KN15" i="1"/>
  <c r="KM15" i="1"/>
  <c r="KL15" i="1"/>
  <c r="KU13" i="1"/>
  <c r="KT13" i="1"/>
  <c r="KS13" i="1"/>
  <c r="KR13" i="1"/>
  <c r="KQ13" i="1"/>
  <c r="KP13" i="1"/>
  <c r="KO13" i="1"/>
  <c r="KN13" i="1"/>
  <c r="KM13" i="1"/>
  <c r="KL13" i="1"/>
  <c r="KU10" i="1"/>
  <c r="KT10" i="1"/>
  <c r="KS10" i="1"/>
  <c r="KR10" i="1"/>
  <c r="KQ10" i="1"/>
  <c r="KP10" i="1"/>
  <c r="KO10" i="1"/>
  <c r="KN10" i="1"/>
  <c r="KM10" i="1"/>
  <c r="KL10" i="1"/>
  <c r="KK70" i="1"/>
  <c r="KK69" i="1"/>
  <c r="KK68" i="1"/>
  <c r="KK67" i="1"/>
  <c r="KK66" i="1"/>
  <c r="KK64" i="1"/>
  <c r="KK63" i="1"/>
  <c r="KK62" i="1"/>
  <c r="KK61" i="1"/>
  <c r="KK60" i="1"/>
  <c r="KK59" i="1"/>
  <c r="KK58" i="1"/>
  <c r="KK57" i="1"/>
  <c r="KK54" i="1"/>
  <c r="KK53" i="1"/>
  <c r="KK48" i="1"/>
  <c r="KK45" i="1"/>
  <c r="KK42" i="1"/>
  <c r="KK38" i="1"/>
  <c r="KK37" i="1"/>
  <c r="KK32" i="1"/>
  <c r="KK30" i="1"/>
  <c r="KK29" i="1"/>
  <c r="KK28" i="1"/>
  <c r="KK27" i="1"/>
  <c r="KK26" i="1"/>
  <c r="KK25" i="1"/>
  <c r="KK24" i="1"/>
  <c r="KK23" i="1"/>
  <c r="KK17" i="1"/>
  <c r="KK16" i="1"/>
  <c r="KK15" i="1"/>
  <c r="KK13" i="1"/>
  <c r="KK10" i="1"/>
  <c r="FX70" i="1"/>
  <c r="FY70" i="1"/>
  <c r="FX69" i="1"/>
  <c r="FX68" i="1"/>
  <c r="FY68" i="1"/>
  <c r="FX67" i="1"/>
  <c r="FX66" i="1"/>
  <c r="FY66" i="1"/>
  <c r="FX64" i="1"/>
  <c r="FY64" i="1"/>
  <c r="FX63" i="1"/>
  <c r="FY63" i="1"/>
  <c r="FX62" i="1"/>
  <c r="FY62" i="1"/>
  <c r="FX61" i="1"/>
  <c r="FX60" i="1"/>
  <c r="FY60" i="1"/>
  <c r="FX59" i="1"/>
  <c r="FX58" i="1"/>
  <c r="FY58" i="1"/>
  <c r="FX57" i="1"/>
  <c r="FY57" i="1"/>
  <c r="FX54" i="1"/>
  <c r="FY54" i="1"/>
  <c r="FX53" i="1"/>
  <c r="FY53" i="1"/>
  <c r="FX50" i="1"/>
  <c r="FY50" i="1"/>
  <c r="FX49" i="1"/>
  <c r="FY49" i="1"/>
  <c r="FX48" i="1"/>
  <c r="FY48" i="1"/>
  <c r="FX45" i="1"/>
  <c r="FY45" i="1"/>
  <c r="FX42" i="1"/>
  <c r="FY42" i="1"/>
  <c r="FX38" i="1"/>
  <c r="FY38" i="1"/>
  <c r="FX37" i="1"/>
  <c r="FY37" i="1"/>
  <c r="FX34" i="1"/>
  <c r="FY34" i="1"/>
  <c r="FX32" i="1"/>
  <c r="FY32" i="1"/>
  <c r="FX30" i="1"/>
  <c r="FY30" i="1"/>
  <c r="FX29" i="1"/>
  <c r="FY29" i="1"/>
  <c r="FX28" i="1"/>
  <c r="FY28" i="1"/>
  <c r="FX27" i="1"/>
  <c r="FY27" i="1"/>
  <c r="FX26" i="1"/>
  <c r="FY26" i="1"/>
  <c r="FX25" i="1"/>
  <c r="FY25" i="1"/>
  <c r="FX24" i="1"/>
  <c r="FY24" i="1"/>
  <c r="FX23" i="1"/>
  <c r="FY23" i="1"/>
  <c r="FX17" i="1"/>
  <c r="FY17" i="1"/>
  <c r="FX16" i="1"/>
  <c r="FY16" i="1"/>
  <c r="FX15" i="1"/>
  <c r="FY15" i="1"/>
  <c r="FX13" i="1"/>
  <c r="FY13" i="1"/>
  <c r="FX7" i="1"/>
  <c r="FY7" i="1" s="1"/>
  <c r="FX6" i="1"/>
  <c r="FY6" i="1" s="1"/>
  <c r="FX5" i="1"/>
  <c r="FY5" i="1" s="1"/>
  <c r="FV70" i="1"/>
  <c r="FW70" i="1"/>
  <c r="FV69" i="1"/>
  <c r="FW69" i="1"/>
  <c r="FV68" i="1"/>
  <c r="FW68" i="1"/>
  <c r="FV67" i="1"/>
  <c r="FW67" i="1"/>
  <c r="FV66" i="1"/>
  <c r="FW66" i="1"/>
  <c r="FV64" i="1"/>
  <c r="FW64" i="1"/>
  <c r="FV63" i="1"/>
  <c r="FW63" i="1"/>
  <c r="FV62" i="1"/>
  <c r="FW62" i="1"/>
  <c r="FV61" i="1"/>
  <c r="FV60" i="1"/>
  <c r="FW60" i="1"/>
  <c r="FV59" i="1"/>
  <c r="FV58" i="1"/>
  <c r="FW58" i="1"/>
  <c r="FV57" i="1"/>
  <c r="FW57" i="1"/>
  <c r="FV54" i="1"/>
  <c r="FW54" i="1"/>
  <c r="FV53" i="1"/>
  <c r="FW53" i="1"/>
  <c r="FV50" i="1"/>
  <c r="FW50" i="1"/>
  <c r="FV48" i="1"/>
  <c r="FW48" i="1"/>
  <c r="FV45" i="1"/>
  <c r="FW45" i="1"/>
  <c r="FV42" i="1"/>
  <c r="FW42" i="1"/>
  <c r="FV38" i="1"/>
  <c r="FW38" i="1"/>
  <c r="FV37" i="1"/>
  <c r="FW37" i="1"/>
  <c r="FV34" i="1"/>
  <c r="FW34" i="1"/>
  <c r="FV32" i="1"/>
  <c r="FW32" i="1"/>
  <c r="FV30" i="1"/>
  <c r="FW30" i="1"/>
  <c r="FV29" i="1"/>
  <c r="FW29" i="1"/>
  <c r="FV28" i="1"/>
  <c r="FW28" i="1"/>
  <c r="FV27" i="1"/>
  <c r="FW27" i="1"/>
  <c r="FV26" i="1"/>
  <c r="FW26" i="1"/>
  <c r="FV25" i="1"/>
  <c r="FW25" i="1"/>
  <c r="FV24" i="1"/>
  <c r="FW24" i="1"/>
  <c r="FV23" i="1"/>
  <c r="FW23" i="1"/>
  <c r="FV17" i="1"/>
  <c r="FW17" i="1"/>
  <c r="FV16" i="1"/>
  <c r="FW16" i="1"/>
  <c r="FV15" i="1"/>
  <c r="FW15" i="1"/>
  <c r="FV13" i="1"/>
  <c r="FW13" i="1"/>
  <c r="FV7" i="1"/>
  <c r="FW7" i="1" s="1"/>
  <c r="FV6" i="1"/>
  <c r="FW6" i="1" s="1"/>
  <c r="FV5" i="1"/>
  <c r="FW5" i="1" s="1"/>
  <c r="FT70" i="1"/>
  <c r="FU70" i="1"/>
  <c r="FT69" i="1"/>
  <c r="FT68" i="1"/>
  <c r="FU68" i="1"/>
  <c r="FT67" i="1"/>
  <c r="FT66" i="1"/>
  <c r="FU66" i="1"/>
  <c r="FT64" i="1"/>
  <c r="FU64" i="1"/>
  <c r="FT63" i="1"/>
  <c r="FU63" i="1"/>
  <c r="FT62" i="1"/>
  <c r="FU62" i="1"/>
  <c r="FT61" i="1"/>
  <c r="FU61" i="1"/>
  <c r="FT60" i="1"/>
  <c r="FU60" i="1"/>
  <c r="FT59" i="1"/>
  <c r="FU59" i="1"/>
  <c r="FT58" i="1"/>
  <c r="FU58" i="1"/>
  <c r="FT57" i="1"/>
  <c r="FU57" i="1"/>
  <c r="FT54" i="1"/>
  <c r="FU54" i="1"/>
  <c r="FT53" i="1"/>
  <c r="FU53" i="1"/>
  <c r="FT48" i="1"/>
  <c r="FU48" i="1"/>
  <c r="FT45" i="1"/>
  <c r="FU45" i="1"/>
  <c r="FT42" i="1"/>
  <c r="FU42" i="1"/>
  <c r="FT38" i="1"/>
  <c r="FU38" i="1"/>
  <c r="FT37" i="1"/>
  <c r="FU37" i="1"/>
  <c r="FT32" i="1"/>
  <c r="FU32" i="1"/>
  <c r="FT30" i="1"/>
  <c r="FU30" i="1"/>
  <c r="FT29" i="1"/>
  <c r="FU29" i="1"/>
  <c r="FT28" i="1"/>
  <c r="FU28" i="1"/>
  <c r="FT27" i="1"/>
  <c r="FU27" i="1"/>
  <c r="FT26" i="1"/>
  <c r="FU26" i="1"/>
  <c r="FT25" i="1"/>
  <c r="FU25" i="1"/>
  <c r="FT24" i="1"/>
  <c r="FU24" i="1"/>
  <c r="FT23" i="1"/>
  <c r="FU23" i="1"/>
  <c r="FT17" i="1"/>
  <c r="FU17" i="1"/>
  <c r="FT16" i="1"/>
  <c r="FU16" i="1"/>
  <c r="FT15" i="1"/>
  <c r="FU15" i="1"/>
  <c r="FT13" i="1"/>
  <c r="FU13" i="1"/>
  <c r="FT7" i="1"/>
  <c r="FU7" i="1" s="1"/>
  <c r="FT6" i="1"/>
  <c r="FU6" i="1" s="1"/>
  <c r="FT5" i="1"/>
  <c r="FU5" i="1" s="1"/>
  <c r="FR70" i="1"/>
  <c r="FS70" i="1"/>
  <c r="FR69" i="1"/>
  <c r="FR68" i="1"/>
  <c r="FS68" i="1"/>
  <c r="FR67" i="1"/>
  <c r="FR66" i="1"/>
  <c r="FS66" i="1"/>
  <c r="FR64" i="1"/>
  <c r="FS64" i="1"/>
  <c r="FR63" i="1"/>
  <c r="FS63" i="1"/>
  <c r="FR62" i="1"/>
  <c r="FS62" i="1"/>
  <c r="FR61" i="1"/>
  <c r="FS61" i="1"/>
  <c r="FR60" i="1"/>
  <c r="FS60" i="1"/>
  <c r="FR59" i="1"/>
  <c r="FS59" i="1"/>
  <c r="FR58" i="1"/>
  <c r="FS58" i="1"/>
  <c r="FR57" i="1"/>
  <c r="FS57" i="1"/>
  <c r="FR54" i="1"/>
  <c r="FS54" i="1"/>
  <c r="FR53" i="1"/>
  <c r="FR48" i="1"/>
  <c r="FS48" i="1"/>
  <c r="FR45" i="1"/>
  <c r="FS45" i="1"/>
  <c r="FR42" i="1"/>
  <c r="FS42" i="1"/>
  <c r="FR38" i="1"/>
  <c r="FS38" i="1"/>
  <c r="FR37" i="1"/>
  <c r="FS37" i="1"/>
  <c r="FR32" i="1"/>
  <c r="FS32" i="1"/>
  <c r="FR30" i="1"/>
  <c r="FS30" i="1"/>
  <c r="FR29" i="1"/>
  <c r="FS29" i="1"/>
  <c r="FR28" i="1"/>
  <c r="FS28" i="1"/>
  <c r="FR27" i="1"/>
  <c r="FS27" i="1"/>
  <c r="FR26" i="1"/>
  <c r="FS26" i="1"/>
  <c r="FR25" i="1"/>
  <c r="FS25" i="1"/>
  <c r="FR24" i="1"/>
  <c r="FS24" i="1"/>
  <c r="FR23" i="1"/>
  <c r="FS23" i="1"/>
  <c r="FR17" i="1"/>
  <c r="FS17" i="1"/>
  <c r="FR16" i="1"/>
  <c r="FS16" i="1"/>
  <c r="FR15" i="1"/>
  <c r="FS15" i="1"/>
  <c r="FR13" i="1"/>
  <c r="FS13" i="1"/>
  <c r="FR7" i="1"/>
  <c r="FS7" i="1" s="1"/>
  <c r="FR6" i="1"/>
  <c r="FS6" i="1" s="1"/>
  <c r="FR5" i="1"/>
  <c r="FS5" i="1" s="1"/>
  <c r="FP70" i="1"/>
  <c r="FQ70" i="1"/>
  <c r="FP69" i="1"/>
  <c r="FP68" i="1"/>
  <c r="FQ68" i="1"/>
  <c r="FP67" i="1"/>
  <c r="FP66" i="1"/>
  <c r="FQ66" i="1"/>
  <c r="FP64" i="1"/>
  <c r="FQ64" i="1"/>
  <c r="FP63" i="1"/>
  <c r="FQ63" i="1"/>
  <c r="FP62" i="1"/>
  <c r="FQ62" i="1"/>
  <c r="FP61" i="1"/>
  <c r="FP60" i="1"/>
  <c r="FQ60" i="1"/>
  <c r="FP59" i="1"/>
  <c r="FP58" i="1"/>
  <c r="FQ58" i="1"/>
  <c r="FP57" i="1"/>
  <c r="FQ57" i="1"/>
  <c r="FP54" i="1"/>
  <c r="FQ54" i="1"/>
  <c r="FP53" i="1"/>
  <c r="FQ53" i="1"/>
  <c r="FP48" i="1"/>
  <c r="FQ48" i="1"/>
  <c r="FP45" i="1"/>
  <c r="FQ45" i="1"/>
  <c r="FP42" i="1"/>
  <c r="FQ42" i="1"/>
  <c r="FP38" i="1"/>
  <c r="FQ38" i="1"/>
  <c r="FP37" i="1"/>
  <c r="FQ37" i="1"/>
  <c r="FP32" i="1"/>
  <c r="FQ32" i="1"/>
  <c r="FP30" i="1"/>
  <c r="FQ30" i="1"/>
  <c r="FP29" i="1"/>
  <c r="FQ29" i="1"/>
  <c r="FP28" i="1"/>
  <c r="FQ28" i="1"/>
  <c r="FP27" i="1"/>
  <c r="FQ27" i="1"/>
  <c r="FP26" i="1"/>
  <c r="FQ26" i="1"/>
  <c r="FP25" i="1"/>
  <c r="FQ25" i="1"/>
  <c r="FP24" i="1"/>
  <c r="FQ24" i="1"/>
  <c r="FP23" i="1"/>
  <c r="FQ23" i="1"/>
  <c r="FP17" i="1"/>
  <c r="FQ17" i="1"/>
  <c r="FP16" i="1"/>
  <c r="FQ16" i="1"/>
  <c r="FP15" i="1"/>
  <c r="FQ15" i="1"/>
  <c r="FP13" i="1"/>
  <c r="FQ13" i="1"/>
  <c r="FP7" i="1"/>
  <c r="FQ7" i="1" s="1"/>
  <c r="FP6" i="1"/>
  <c r="FQ6" i="1" s="1"/>
  <c r="FP5" i="1"/>
  <c r="FQ5" i="1" s="1"/>
  <c r="FN70" i="1"/>
  <c r="FO70" i="1"/>
  <c r="FN69" i="1"/>
  <c r="FN68" i="1"/>
  <c r="FO68" i="1"/>
  <c r="FN67" i="1"/>
  <c r="FN66" i="1"/>
  <c r="FO66" i="1"/>
  <c r="FN64" i="1"/>
  <c r="FO64" i="1"/>
  <c r="FN63" i="1"/>
  <c r="FO63" i="1"/>
  <c r="FN62" i="1"/>
  <c r="FO62" i="1"/>
  <c r="FN61" i="1"/>
  <c r="FN60" i="1"/>
  <c r="FO60" i="1"/>
  <c r="FN59" i="1"/>
  <c r="FO59" i="1"/>
  <c r="FN58" i="1"/>
  <c r="FO58" i="1"/>
  <c r="FN57" i="1"/>
  <c r="FO57" i="1"/>
  <c r="FN54" i="1"/>
  <c r="FO54" i="1"/>
  <c r="FN53" i="1"/>
  <c r="FO53" i="1"/>
  <c r="FN48" i="1"/>
  <c r="FO48" i="1"/>
  <c r="FN45" i="1"/>
  <c r="FO45" i="1"/>
  <c r="FN42" i="1"/>
  <c r="FO42" i="1"/>
  <c r="FN38" i="1"/>
  <c r="FO38" i="1"/>
  <c r="FN37" i="1"/>
  <c r="FO37" i="1"/>
  <c r="FN32" i="1"/>
  <c r="FO32" i="1"/>
  <c r="FN30" i="1"/>
  <c r="FO30" i="1"/>
  <c r="FN29" i="1"/>
  <c r="FO29" i="1"/>
  <c r="FN28" i="1"/>
  <c r="FO28" i="1"/>
  <c r="FN27" i="1"/>
  <c r="FO27" i="1"/>
  <c r="FN26" i="1"/>
  <c r="FO26" i="1"/>
  <c r="FN25" i="1"/>
  <c r="FO25" i="1"/>
  <c r="FN24" i="1"/>
  <c r="FO24" i="1"/>
  <c r="FN23" i="1"/>
  <c r="FO23" i="1"/>
  <c r="FN17" i="1"/>
  <c r="FO17" i="1"/>
  <c r="FN16" i="1"/>
  <c r="FO16" i="1"/>
  <c r="FN15" i="1"/>
  <c r="FO15" i="1"/>
  <c r="FN13" i="1"/>
  <c r="FO13" i="1"/>
  <c r="FN7" i="1"/>
  <c r="FO7" i="1" s="1"/>
  <c r="FN6" i="1"/>
  <c r="FO6" i="1" s="1"/>
  <c r="FN5" i="1"/>
  <c r="FO5" i="1" s="1"/>
  <c r="KT22" i="1"/>
  <c r="FZ11" i="1"/>
  <c r="GA11" i="1"/>
  <c r="BW20" i="1"/>
  <c r="BW35" i="1"/>
  <c r="BW43" i="1"/>
  <c r="M22" i="23"/>
  <c r="BV43" i="1"/>
  <c r="BV20" i="1"/>
  <c r="BV35" i="1"/>
  <c r="KV39" i="1"/>
  <c r="KV22" i="1"/>
  <c r="KV52" i="1"/>
  <c r="N22" i="23"/>
  <c r="BG39" i="1"/>
  <c r="FV39" i="1"/>
  <c r="FW39" i="1"/>
  <c r="KT52" i="1"/>
  <c r="L22" i="23"/>
  <c r="L24" i="23"/>
  <c r="L25" i="23" s="1"/>
  <c r="BU20" i="1"/>
  <c r="BU35" i="1"/>
  <c r="BU43" i="1"/>
  <c r="KT39" i="1"/>
  <c r="BU46" i="1"/>
  <c r="BU40" i="1"/>
  <c r="KT40" i="1" s="1"/>
  <c r="BU49" i="1"/>
  <c r="BG49" i="1"/>
  <c r="FX39" i="1"/>
  <c r="FY39" i="1"/>
  <c r="FV22" i="1"/>
  <c r="FW22" i="1"/>
  <c r="FV52" i="1"/>
  <c r="FW52" i="1"/>
  <c r="FX22" i="1"/>
  <c r="FY22" i="1"/>
  <c r="FX52" i="1"/>
  <c r="FY52" i="1"/>
  <c r="BH46" i="1"/>
  <c r="BH40" i="1"/>
  <c r="KI40" i="1" s="1"/>
  <c r="FL70" i="1"/>
  <c r="FM70" i="1"/>
  <c r="FL69" i="1"/>
  <c r="FL68" i="1"/>
  <c r="FM68" i="1"/>
  <c r="FL67" i="1"/>
  <c r="FL66" i="1"/>
  <c r="FM66" i="1"/>
  <c r="FL64" i="1"/>
  <c r="FM64" i="1"/>
  <c r="FL63" i="1"/>
  <c r="FM63" i="1"/>
  <c r="FL62" i="1"/>
  <c r="FM62" i="1"/>
  <c r="FL61" i="1"/>
  <c r="FM61" i="1"/>
  <c r="FL60" i="1"/>
  <c r="FM60" i="1"/>
  <c r="FL59" i="1"/>
  <c r="FM59" i="1"/>
  <c r="FL58" i="1"/>
  <c r="FM58" i="1"/>
  <c r="FL57" i="1"/>
  <c r="FM57" i="1"/>
  <c r="FL54" i="1"/>
  <c r="FM54" i="1"/>
  <c r="FL53" i="1"/>
  <c r="FM53" i="1"/>
  <c r="FL48" i="1"/>
  <c r="FM48" i="1"/>
  <c r="FL45" i="1"/>
  <c r="FM45" i="1"/>
  <c r="FL42" i="1"/>
  <c r="FM42" i="1"/>
  <c r="FL38" i="1"/>
  <c r="FM38" i="1"/>
  <c r="FL37" i="1"/>
  <c r="FM37" i="1"/>
  <c r="FL32" i="1"/>
  <c r="FM32" i="1"/>
  <c r="FL30" i="1"/>
  <c r="FM30" i="1"/>
  <c r="FL29" i="1"/>
  <c r="FM29" i="1"/>
  <c r="FL28" i="1"/>
  <c r="FM28" i="1"/>
  <c r="FL27" i="1"/>
  <c r="FM27" i="1"/>
  <c r="FL26" i="1"/>
  <c r="FM26" i="1"/>
  <c r="FL25" i="1"/>
  <c r="FM25" i="1"/>
  <c r="FL24" i="1"/>
  <c r="FM24" i="1"/>
  <c r="FL23" i="1"/>
  <c r="FM23" i="1"/>
  <c r="FL17" i="1"/>
  <c r="FM17" i="1"/>
  <c r="FL16" i="1"/>
  <c r="FM16" i="1"/>
  <c r="FL15" i="1"/>
  <c r="FM15" i="1"/>
  <c r="FL13" i="1"/>
  <c r="FM13" i="1"/>
  <c r="FL7" i="1"/>
  <c r="FM7" i="1" s="1"/>
  <c r="FL6" i="1"/>
  <c r="FM6" i="1" s="1"/>
  <c r="FL5" i="1"/>
  <c r="FM5" i="1" s="1"/>
  <c r="FJ70" i="1"/>
  <c r="FK70" i="1"/>
  <c r="FJ69" i="1"/>
  <c r="FJ68" i="1"/>
  <c r="FK68" i="1"/>
  <c r="FJ67" i="1"/>
  <c r="FJ66" i="1"/>
  <c r="FK66" i="1"/>
  <c r="FJ64" i="1"/>
  <c r="FK64" i="1"/>
  <c r="FJ63" i="1"/>
  <c r="FK63" i="1"/>
  <c r="FJ62" i="1"/>
  <c r="FK62" i="1"/>
  <c r="FJ61" i="1"/>
  <c r="FK61" i="1"/>
  <c r="FJ60" i="1"/>
  <c r="FK60" i="1"/>
  <c r="FJ59" i="1"/>
  <c r="FK59" i="1"/>
  <c r="FJ58" i="1"/>
  <c r="FK58" i="1"/>
  <c r="FJ57" i="1"/>
  <c r="FK57" i="1"/>
  <c r="FJ54" i="1"/>
  <c r="FK54" i="1"/>
  <c r="FJ53" i="1"/>
  <c r="FK53" i="1"/>
  <c r="FJ48" i="1"/>
  <c r="FK48" i="1"/>
  <c r="FJ45" i="1"/>
  <c r="FK45" i="1"/>
  <c r="FJ42" i="1"/>
  <c r="FK42" i="1"/>
  <c r="FJ38" i="1"/>
  <c r="FK38" i="1"/>
  <c r="FJ37" i="1"/>
  <c r="FK37" i="1"/>
  <c r="FJ32" i="1"/>
  <c r="FK32" i="1"/>
  <c r="FJ30" i="1"/>
  <c r="FK30" i="1"/>
  <c r="FJ29" i="1"/>
  <c r="FK29" i="1"/>
  <c r="FJ28" i="1"/>
  <c r="FK28" i="1"/>
  <c r="FJ27" i="1"/>
  <c r="FK27" i="1"/>
  <c r="FJ26" i="1"/>
  <c r="FK26" i="1"/>
  <c r="FJ25" i="1"/>
  <c r="FK25" i="1"/>
  <c r="FJ24" i="1"/>
  <c r="FK24" i="1"/>
  <c r="FJ23" i="1"/>
  <c r="FK23" i="1"/>
  <c r="FJ17" i="1"/>
  <c r="FK17" i="1"/>
  <c r="FJ16" i="1"/>
  <c r="FK16" i="1"/>
  <c r="FJ15" i="1"/>
  <c r="FK15" i="1"/>
  <c r="FJ13" i="1"/>
  <c r="FK13" i="1"/>
  <c r="FJ7" i="1"/>
  <c r="FK7" i="1" s="1"/>
  <c r="FJ6" i="1"/>
  <c r="FK6" i="1" s="1"/>
  <c r="FJ5" i="1"/>
  <c r="FK5" i="1" s="1"/>
  <c r="FF70" i="1"/>
  <c r="FG70" i="1"/>
  <c r="FF69" i="1"/>
  <c r="FF68" i="1"/>
  <c r="FG68" i="1"/>
  <c r="FF67" i="1"/>
  <c r="FF66" i="1"/>
  <c r="FG66" i="1"/>
  <c r="FF64" i="1"/>
  <c r="FG64" i="1"/>
  <c r="FF63" i="1"/>
  <c r="FG63" i="1"/>
  <c r="FF62" i="1"/>
  <c r="FG62" i="1"/>
  <c r="FF61" i="1"/>
  <c r="FG61" i="1"/>
  <c r="FF60" i="1"/>
  <c r="FG60" i="1"/>
  <c r="FF59" i="1"/>
  <c r="FG59" i="1"/>
  <c r="FF58" i="1"/>
  <c r="FG58" i="1"/>
  <c r="FF57" i="1"/>
  <c r="FG57" i="1"/>
  <c r="FF54" i="1"/>
  <c r="FG54" i="1"/>
  <c r="FF53" i="1"/>
  <c r="FG53" i="1"/>
  <c r="FF48" i="1"/>
  <c r="FG48" i="1"/>
  <c r="FF45" i="1"/>
  <c r="FG45" i="1"/>
  <c r="FF42" i="1"/>
  <c r="FG42" i="1"/>
  <c r="FF38" i="1"/>
  <c r="FG38" i="1"/>
  <c r="FF37" i="1"/>
  <c r="FG37" i="1"/>
  <c r="FF32" i="1"/>
  <c r="FG32" i="1"/>
  <c r="FF30" i="1"/>
  <c r="FG30" i="1"/>
  <c r="FF29" i="1"/>
  <c r="FG29" i="1"/>
  <c r="FF28" i="1"/>
  <c r="FG28" i="1"/>
  <c r="FF27" i="1"/>
  <c r="FG27" i="1"/>
  <c r="FF26" i="1"/>
  <c r="FG26" i="1"/>
  <c r="FF25" i="1"/>
  <c r="FG25" i="1"/>
  <c r="FF24" i="1"/>
  <c r="FG24" i="1"/>
  <c r="FF23" i="1"/>
  <c r="FG23" i="1"/>
  <c r="FF17" i="1"/>
  <c r="FG17" i="1"/>
  <c r="FF16" i="1"/>
  <c r="FG16" i="1"/>
  <c r="FF15" i="1"/>
  <c r="FG15" i="1"/>
  <c r="FF13" i="1"/>
  <c r="FG13" i="1"/>
  <c r="FF7" i="1"/>
  <c r="FG7" i="1" s="1"/>
  <c r="FF6" i="1"/>
  <c r="FG6" i="1" s="1"/>
  <c r="FF5" i="1"/>
  <c r="FG5" i="1" s="1"/>
  <c r="FD70" i="1"/>
  <c r="FE70" i="1"/>
  <c r="FD69" i="1"/>
  <c r="FD68" i="1"/>
  <c r="FE68" i="1"/>
  <c r="FD67" i="1"/>
  <c r="FD66" i="1"/>
  <c r="FE66" i="1"/>
  <c r="FD64" i="1"/>
  <c r="FE64" i="1"/>
  <c r="FD63" i="1"/>
  <c r="FE63" i="1"/>
  <c r="FD62" i="1"/>
  <c r="FE62" i="1"/>
  <c r="FD61" i="1"/>
  <c r="FE61" i="1"/>
  <c r="FD60" i="1"/>
  <c r="FE60" i="1"/>
  <c r="FD59" i="1"/>
  <c r="FE59" i="1"/>
  <c r="FD58" i="1"/>
  <c r="FE58" i="1"/>
  <c r="FD57" i="1"/>
  <c r="FE57" i="1"/>
  <c r="FD54" i="1"/>
  <c r="FE54" i="1"/>
  <c r="FD53" i="1"/>
  <c r="FE53" i="1"/>
  <c r="FD48" i="1"/>
  <c r="FE48" i="1"/>
  <c r="FD45" i="1"/>
  <c r="FE45" i="1"/>
  <c r="FD42" i="1"/>
  <c r="FE42" i="1"/>
  <c r="FD38" i="1"/>
  <c r="FE38" i="1"/>
  <c r="FD37" i="1"/>
  <c r="FE37" i="1"/>
  <c r="FD32" i="1"/>
  <c r="FE32" i="1"/>
  <c r="FD30" i="1"/>
  <c r="FE30" i="1"/>
  <c r="FD29" i="1"/>
  <c r="FE29" i="1"/>
  <c r="FD28" i="1"/>
  <c r="FE28" i="1"/>
  <c r="FD27" i="1"/>
  <c r="FE27" i="1"/>
  <c r="FD26" i="1"/>
  <c r="FE26" i="1"/>
  <c r="FD25" i="1"/>
  <c r="FE25" i="1"/>
  <c r="FD24" i="1"/>
  <c r="FE24" i="1"/>
  <c r="FD23" i="1"/>
  <c r="FE23" i="1"/>
  <c r="FD17" i="1"/>
  <c r="FE17" i="1"/>
  <c r="FD16" i="1"/>
  <c r="FE16" i="1"/>
  <c r="FD15" i="1"/>
  <c r="FE15" i="1"/>
  <c r="FD13" i="1"/>
  <c r="FE13" i="1"/>
  <c r="FD7" i="1"/>
  <c r="FE7" i="1" s="1"/>
  <c r="FD6" i="1"/>
  <c r="FE6" i="1" s="1"/>
  <c r="FD5" i="1"/>
  <c r="FE5" i="1" s="1"/>
  <c r="FB70" i="1"/>
  <c r="FC70" i="1"/>
  <c r="FB69" i="1"/>
  <c r="FB68" i="1"/>
  <c r="FC68" i="1"/>
  <c r="FB67" i="1"/>
  <c r="FB66" i="1"/>
  <c r="FC66" i="1"/>
  <c r="FB64" i="1"/>
  <c r="FC64" i="1"/>
  <c r="FB63" i="1"/>
  <c r="FC63" i="1"/>
  <c r="FB62" i="1"/>
  <c r="FC62" i="1"/>
  <c r="FB61" i="1"/>
  <c r="FC61" i="1"/>
  <c r="FB60" i="1"/>
  <c r="FC60" i="1"/>
  <c r="FB59" i="1"/>
  <c r="FC59" i="1"/>
  <c r="FB58" i="1"/>
  <c r="FC58" i="1"/>
  <c r="FB57" i="1"/>
  <c r="FC57" i="1"/>
  <c r="FB54" i="1"/>
  <c r="FC54" i="1"/>
  <c r="FB53" i="1"/>
  <c r="FC53" i="1"/>
  <c r="FB48" i="1"/>
  <c r="FC48" i="1"/>
  <c r="FB45" i="1"/>
  <c r="FC45" i="1"/>
  <c r="FB42" i="1"/>
  <c r="FC42" i="1"/>
  <c r="FB38" i="1"/>
  <c r="FC38" i="1"/>
  <c r="FB37" i="1"/>
  <c r="FC37" i="1"/>
  <c r="FB32" i="1"/>
  <c r="FC32" i="1"/>
  <c r="FB30" i="1"/>
  <c r="FC30" i="1"/>
  <c r="FB29" i="1"/>
  <c r="FC29" i="1"/>
  <c r="FB28" i="1"/>
  <c r="FC28" i="1"/>
  <c r="FB27" i="1"/>
  <c r="FC27" i="1"/>
  <c r="FB26" i="1"/>
  <c r="FC26" i="1"/>
  <c r="FB25" i="1"/>
  <c r="FC25" i="1"/>
  <c r="FB24" i="1"/>
  <c r="FC24" i="1"/>
  <c r="FB23" i="1"/>
  <c r="FC23" i="1"/>
  <c r="FB17" i="1"/>
  <c r="FC17" i="1"/>
  <c r="FB16" i="1"/>
  <c r="FC16" i="1"/>
  <c r="FB15" i="1"/>
  <c r="FC15" i="1"/>
  <c r="FB13" i="1"/>
  <c r="FC13" i="1"/>
  <c r="FB7" i="1"/>
  <c r="FC7" i="1" s="1"/>
  <c r="FB6" i="1"/>
  <c r="FC6" i="1" s="1"/>
  <c r="FB5" i="1"/>
  <c r="FC5" i="1" s="1"/>
  <c r="BT204" i="1"/>
  <c r="BS204" i="1"/>
  <c r="BR204" i="1"/>
  <c r="BQ204" i="1"/>
  <c r="BP204" i="1"/>
  <c r="BO204" i="1"/>
  <c r="BN204" i="1"/>
  <c r="BM204" i="1"/>
  <c r="BL204" i="1"/>
  <c r="BX64" i="1"/>
  <c r="T62" i="22"/>
  <c r="U62" i="22"/>
  <c r="BX63" i="1"/>
  <c r="T61" i="22"/>
  <c r="U61" i="22"/>
  <c r="BX62" i="1"/>
  <c r="T60" i="22"/>
  <c r="U60" i="22"/>
  <c r="BX61" i="1"/>
  <c r="T59" i="22"/>
  <c r="U59" i="22"/>
  <c r="BX60" i="1"/>
  <c r="T58" i="22"/>
  <c r="U58" i="22"/>
  <c r="BX59" i="1"/>
  <c r="T57" i="22"/>
  <c r="U57" i="22"/>
  <c r="BX58" i="1"/>
  <c r="T56" i="22"/>
  <c r="U56" i="22"/>
  <c r="BX57" i="1"/>
  <c r="T55" i="22"/>
  <c r="U55" i="22"/>
  <c r="BX54" i="1"/>
  <c r="T52" i="22"/>
  <c r="U52" i="22"/>
  <c r="BX53" i="1"/>
  <c r="T51" i="22"/>
  <c r="U51" i="22"/>
  <c r="KS52" i="1"/>
  <c r="KR52" i="1"/>
  <c r="KQ52" i="1"/>
  <c r="KP52" i="1"/>
  <c r="BP52" i="1"/>
  <c r="BO52" i="1"/>
  <c r="KL52" i="1"/>
  <c r="BL52" i="1"/>
  <c r="KS50" i="1"/>
  <c r="KR50" i="1"/>
  <c r="KQ50" i="1"/>
  <c r="KP50" i="1"/>
  <c r="KO50" i="1"/>
  <c r="KN50" i="1"/>
  <c r="KM50" i="1"/>
  <c r="KL50" i="1"/>
  <c r="BL50" i="1"/>
  <c r="KS49" i="1"/>
  <c r="KR49" i="1"/>
  <c r="KQ49" i="1"/>
  <c r="KM49" i="1"/>
  <c r="KL49" i="1"/>
  <c r="BX48" i="1"/>
  <c r="BX45" i="1"/>
  <c r="T43" i="22"/>
  <c r="BX38" i="1"/>
  <c r="T36" i="22"/>
  <c r="U36" i="22"/>
  <c r="KS39" i="1"/>
  <c r="KR39" i="1"/>
  <c r="KQ39" i="1"/>
  <c r="KN39" i="1"/>
  <c r="BL39" i="1"/>
  <c r="KS34" i="1"/>
  <c r="KR34" i="1"/>
  <c r="KQ34" i="1"/>
  <c r="KP34" i="1"/>
  <c r="KO34" i="1"/>
  <c r="KN34" i="1"/>
  <c r="KM34" i="1"/>
  <c r="KL34" i="1"/>
  <c r="BX28" i="1"/>
  <c r="T27" i="22"/>
  <c r="U27" i="22"/>
  <c r="BX27" i="1"/>
  <c r="T26" i="22"/>
  <c r="U26" i="22"/>
  <c r="BX26" i="1"/>
  <c r="T25" i="22"/>
  <c r="U25" i="22"/>
  <c r="BX25" i="1"/>
  <c r="T24" i="22"/>
  <c r="U24" i="22"/>
  <c r="BX24" i="1"/>
  <c r="T23" i="22"/>
  <c r="U23" i="22"/>
  <c r="BX23" i="1"/>
  <c r="T22" i="22"/>
  <c r="U22" i="22"/>
  <c r="KS22" i="1"/>
  <c r="KR22" i="1"/>
  <c r="KQ22" i="1"/>
  <c r="BP22" i="1"/>
  <c r="BP49" i="1"/>
  <c r="KO49" i="1"/>
  <c r="BO22" i="1"/>
  <c r="BO49" i="1"/>
  <c r="FH49" i="1"/>
  <c r="FI49" i="1"/>
  <c r="KL22" i="1"/>
  <c r="BL22" i="1"/>
  <c r="BL49" i="1"/>
  <c r="KP19" i="1"/>
  <c r="BL19" i="1"/>
  <c r="BL18" i="1"/>
  <c r="KK18" i="1" s="1"/>
  <c r="BX13" i="1"/>
  <c r="T12" i="22"/>
  <c r="U12" i="22"/>
  <c r="KT11" i="1"/>
  <c r="BT11" i="1"/>
  <c r="BS11" i="1"/>
  <c r="BR11" i="1"/>
  <c r="BQ11" i="1"/>
  <c r="BP11" i="1"/>
  <c r="BP43" i="1"/>
  <c r="BO11" i="1"/>
  <c r="BN11" i="1"/>
  <c r="BM11" i="1"/>
  <c r="BX7" i="1"/>
  <c r="BX6" i="1"/>
  <c r="BF5" i="1"/>
  <c r="K28" i="23"/>
  <c r="K29" i="23" s="1"/>
  <c r="K30" i="23" s="1"/>
  <c r="BF38" i="1"/>
  <c r="EV38" i="1"/>
  <c r="EW38" i="1"/>
  <c r="BF37" i="1"/>
  <c r="KG37" i="1"/>
  <c r="BF204" i="1"/>
  <c r="BF52" i="1"/>
  <c r="BF50" i="1"/>
  <c r="EV50" i="1"/>
  <c r="EW50" i="1"/>
  <c r="BF22" i="1"/>
  <c r="BF49" i="1"/>
  <c r="BF19" i="1"/>
  <c r="KG19" i="1" s="1"/>
  <c r="BF18" i="1"/>
  <c r="BE5" i="1"/>
  <c r="BE38" i="1"/>
  <c r="KF38" i="1"/>
  <c r="BE37" i="1"/>
  <c r="KF37" i="1"/>
  <c r="BE204" i="1"/>
  <c r="BE52" i="1"/>
  <c r="KF52" i="1"/>
  <c r="BE50" i="1"/>
  <c r="KF50" i="1"/>
  <c r="ET34" i="1"/>
  <c r="EU34" i="1"/>
  <c r="BE22" i="1"/>
  <c r="BE49" i="1"/>
  <c r="KF49" i="1"/>
  <c r="BE19" i="1"/>
  <c r="BE18" i="1"/>
  <c r="KF18" i="1" s="1"/>
  <c r="BJ25" i="1"/>
  <c r="BJ26" i="1"/>
  <c r="B71" i="23"/>
  <c r="B70" i="23"/>
  <c r="B69" i="23"/>
  <c r="B68" i="23"/>
  <c r="B67" i="23"/>
  <c r="B66" i="23"/>
  <c r="B65" i="23"/>
  <c r="B64" i="23"/>
  <c r="B63" i="23"/>
  <c r="B62" i="23"/>
  <c r="B61" i="23"/>
  <c r="B60" i="23"/>
  <c r="B59" i="23"/>
  <c r="B58" i="23"/>
  <c r="B57" i="23"/>
  <c r="B56" i="23"/>
  <c r="B55" i="23"/>
  <c r="B54" i="23"/>
  <c r="BD5" i="1"/>
  <c r="I28" i="23"/>
  <c r="I29" i="23" s="1"/>
  <c r="BD204" i="1"/>
  <c r="BC204" i="1"/>
  <c r="BD38" i="1"/>
  <c r="BD37" i="1"/>
  <c r="EP66" i="1"/>
  <c r="EQ66" i="1"/>
  <c r="BD52" i="1"/>
  <c r="BD50" i="1"/>
  <c r="BD22" i="1"/>
  <c r="KE22" i="1"/>
  <c r="BD19" i="1"/>
  <c r="KE19" i="1" s="1"/>
  <c r="BD18" i="1"/>
  <c r="BC5" i="1"/>
  <c r="H28" i="23"/>
  <c r="H29" i="23" s="1"/>
  <c r="BC38" i="1"/>
  <c r="KD38" i="1"/>
  <c r="BC37" i="1"/>
  <c r="KD31" i="1"/>
  <c r="BC22" i="1"/>
  <c r="BC49" i="1"/>
  <c r="KD49" i="1"/>
  <c r="BC52" i="1"/>
  <c r="BC50" i="1"/>
  <c r="KD50" i="1"/>
  <c r="BC19" i="1"/>
  <c r="BC18" i="1"/>
  <c r="KD18" i="1" s="1"/>
  <c r="BB5" i="1"/>
  <c r="G28" i="23"/>
  <c r="G29" i="23" s="1"/>
  <c r="C64" i="23" s="1"/>
  <c r="BB37" i="1"/>
  <c r="BB38" i="1"/>
  <c r="KC38" i="1"/>
  <c r="BB204" i="1"/>
  <c r="BB52" i="1"/>
  <c r="KC52" i="1"/>
  <c r="BB50" i="1"/>
  <c r="KC50" i="1"/>
  <c r="BB22" i="1"/>
  <c r="BB49" i="1"/>
  <c r="KC49" i="1"/>
  <c r="BB19" i="1"/>
  <c r="BB18" i="1"/>
  <c r="KC18" i="1" s="1"/>
  <c r="EJ15" i="1"/>
  <c r="EK15" i="1"/>
  <c r="IR15" i="1"/>
  <c r="IS15" i="1"/>
  <c r="BA38" i="1"/>
  <c r="KB38" i="1"/>
  <c r="BA37" i="1"/>
  <c r="KB37" i="1"/>
  <c r="BA204" i="1"/>
  <c r="BA52" i="1"/>
  <c r="KB52" i="1"/>
  <c r="BA50" i="1"/>
  <c r="KB50" i="1"/>
  <c r="BA22" i="1"/>
  <c r="BA49" i="1"/>
  <c r="KB49" i="1"/>
  <c r="BA19" i="1"/>
  <c r="KB19" i="1" s="1"/>
  <c r="BA18" i="1"/>
  <c r="KB18" i="1" s="1"/>
  <c r="AZ37" i="1"/>
  <c r="KA37" i="1"/>
  <c r="AZ38" i="1"/>
  <c r="AZ204" i="1"/>
  <c r="AZ52" i="1"/>
  <c r="KA52" i="1"/>
  <c r="AZ50" i="1"/>
  <c r="AZ22" i="1"/>
  <c r="AZ49" i="1"/>
  <c r="KA49" i="1"/>
  <c r="AZ19" i="1"/>
  <c r="KA19" i="1" s="1"/>
  <c r="AZ18" i="1"/>
  <c r="KA18" i="1" s="1"/>
  <c r="AY37" i="1"/>
  <c r="JZ37" i="1"/>
  <c r="AY5" i="1"/>
  <c r="D28" i="23"/>
  <c r="D29" i="23" s="1"/>
  <c r="C61" i="23" s="1"/>
  <c r="AY38" i="1"/>
  <c r="JZ38" i="1"/>
  <c r="AY204" i="1"/>
  <c r="AY52" i="1"/>
  <c r="JZ52" i="1"/>
  <c r="AY50" i="1"/>
  <c r="JZ50" i="1"/>
  <c r="AY22" i="1"/>
  <c r="AY49" i="1"/>
  <c r="AY19" i="1"/>
  <c r="JZ19" i="1" s="1"/>
  <c r="AY18" i="1"/>
  <c r="JZ18" i="1" s="1"/>
  <c r="AX38" i="1"/>
  <c r="AX37" i="1"/>
  <c r="JY37" i="1"/>
  <c r="AX204" i="1"/>
  <c r="BJ13" i="1"/>
  <c r="BJ53" i="1"/>
  <c r="L68" i="22"/>
  <c r="P68" i="22"/>
  <c r="Q68" i="22"/>
  <c r="L67" i="22"/>
  <c r="P67" i="22"/>
  <c r="Q67" i="22"/>
  <c r="L66" i="22"/>
  <c r="P66" i="22"/>
  <c r="Q66" i="22"/>
  <c r="L65" i="22"/>
  <c r="L64" i="22"/>
  <c r="P64" i="22"/>
  <c r="Q64" i="22"/>
  <c r="L63" i="22"/>
  <c r="P63" i="22"/>
  <c r="Q63" i="22"/>
  <c r="P42" i="22"/>
  <c r="P41" i="22"/>
  <c r="P40" i="22"/>
  <c r="P39" i="22"/>
  <c r="P33" i="22"/>
  <c r="P32" i="22"/>
  <c r="P31" i="22"/>
  <c r="P29" i="22"/>
  <c r="P28" i="22"/>
  <c r="P18" i="22"/>
  <c r="P16" i="22"/>
  <c r="P13" i="22"/>
  <c r="P11" i="22"/>
  <c r="P9" i="22"/>
  <c r="BI11" i="1"/>
  <c r="BH11" i="1"/>
  <c r="M27" i="23"/>
  <c r="BG11" i="1"/>
  <c r="N28" i="23"/>
  <c r="N29" i="23" s="1"/>
  <c r="N30" i="23" s="1"/>
  <c r="M28" i="23"/>
  <c r="M29" i="23" s="1"/>
  <c r="L28" i="23"/>
  <c r="L29" i="23" s="1"/>
  <c r="F28" i="23"/>
  <c r="F29" i="23" s="1"/>
  <c r="C63" i="23" s="1"/>
  <c r="E28" i="23"/>
  <c r="E29" i="23" s="1"/>
  <c r="C28" i="23"/>
  <c r="C29" i="23" s="1"/>
  <c r="C30" i="23" s="1"/>
  <c r="AX52" i="1"/>
  <c r="JY52" i="1"/>
  <c r="AX50" i="1"/>
  <c r="ED34" i="1"/>
  <c r="AX22" i="1"/>
  <c r="AX49" i="1"/>
  <c r="JY49" i="1"/>
  <c r="AX19" i="1"/>
  <c r="JY19" i="1" s="1"/>
  <c r="AX18" i="1"/>
  <c r="AU37" i="1"/>
  <c r="AU38" i="1"/>
  <c r="AU5" i="1"/>
  <c r="ED5" i="1"/>
  <c r="EE5" i="1" s="1"/>
  <c r="AU204" i="1"/>
  <c r="AU50" i="1"/>
  <c r="JX50" i="1"/>
  <c r="AU19" i="1"/>
  <c r="JX19" i="1" s="1"/>
  <c r="AU18" i="1"/>
  <c r="JX18" i="1" s="1"/>
  <c r="AT5" i="1"/>
  <c r="AT38" i="1"/>
  <c r="JW38" i="1"/>
  <c r="AT37" i="1"/>
  <c r="AT204" i="1"/>
  <c r="AT19" i="1"/>
  <c r="JW19" i="1" s="1"/>
  <c r="AT18" i="1"/>
  <c r="JW18" i="1" s="1"/>
  <c r="AT50" i="1"/>
  <c r="JW50" i="1"/>
  <c r="AS37" i="1"/>
  <c r="AS38" i="1"/>
  <c r="JV38" i="1"/>
  <c r="AS19" i="1"/>
  <c r="JV19" i="1" s="1"/>
  <c r="AS18" i="1"/>
  <c r="JV18" i="1" s="1"/>
  <c r="AS50" i="1"/>
  <c r="JV50" i="1"/>
  <c r="AS204" i="1"/>
  <c r="AR45" i="1"/>
  <c r="JU45" i="1"/>
  <c r="AR38" i="1"/>
  <c r="AR37" i="1"/>
  <c r="JU37" i="1"/>
  <c r="AR19" i="1"/>
  <c r="JU19" i="1" s="1"/>
  <c r="AR18" i="1"/>
  <c r="JU18" i="1" s="1"/>
  <c r="AR48" i="1"/>
  <c r="AR204" i="1"/>
  <c r="EZ70" i="1"/>
  <c r="FA70" i="1"/>
  <c r="EX70" i="1"/>
  <c r="EY70" i="1"/>
  <c r="EV70" i="1"/>
  <c r="EW70" i="1"/>
  <c r="ET70" i="1"/>
  <c r="EU70" i="1"/>
  <c r="ER70" i="1"/>
  <c r="ES70" i="1"/>
  <c r="EP70" i="1"/>
  <c r="EQ70" i="1"/>
  <c r="EN70" i="1"/>
  <c r="EO70" i="1"/>
  <c r="EL70" i="1"/>
  <c r="EM70" i="1"/>
  <c r="EJ70" i="1"/>
  <c r="EK70" i="1"/>
  <c r="IR70" i="1"/>
  <c r="IS70" i="1"/>
  <c r="EH70" i="1"/>
  <c r="EF70" i="1"/>
  <c r="ED70" i="1"/>
  <c r="EZ69" i="1"/>
  <c r="EX69" i="1"/>
  <c r="EV69" i="1"/>
  <c r="ET69" i="1"/>
  <c r="ER69" i="1"/>
  <c r="EP69" i="1"/>
  <c r="EN69" i="1"/>
  <c r="EL69" i="1"/>
  <c r="EJ69" i="1"/>
  <c r="IR69" i="1"/>
  <c r="IS69" i="1"/>
  <c r="EH69" i="1"/>
  <c r="EF69" i="1"/>
  <c r="ED69" i="1"/>
  <c r="EZ68" i="1"/>
  <c r="FA68" i="1"/>
  <c r="EX68" i="1"/>
  <c r="EY68" i="1"/>
  <c r="EV68" i="1"/>
  <c r="EW68" i="1"/>
  <c r="ET68" i="1"/>
  <c r="EU68" i="1"/>
  <c r="ER68" i="1"/>
  <c r="ES68" i="1"/>
  <c r="EP68" i="1"/>
  <c r="EQ68" i="1"/>
  <c r="EN68" i="1"/>
  <c r="EO68" i="1"/>
  <c r="EL68" i="1"/>
  <c r="EM68" i="1"/>
  <c r="EJ68" i="1"/>
  <c r="EK68" i="1"/>
  <c r="IR68" i="1"/>
  <c r="IS68" i="1"/>
  <c r="EH68" i="1"/>
  <c r="EF68" i="1"/>
  <c r="ED68" i="1"/>
  <c r="EZ67" i="1"/>
  <c r="EX67" i="1"/>
  <c r="EV67" i="1"/>
  <c r="ET67" i="1"/>
  <c r="ER67" i="1"/>
  <c r="EP67" i="1"/>
  <c r="EN67" i="1"/>
  <c r="EL67" i="1"/>
  <c r="EJ67" i="1"/>
  <c r="IR67" i="1"/>
  <c r="IS67" i="1"/>
  <c r="EH67" i="1"/>
  <c r="EF67" i="1"/>
  <c r="ED67" i="1"/>
  <c r="EZ66" i="1"/>
  <c r="FA66" i="1"/>
  <c r="EX66" i="1"/>
  <c r="EY66" i="1"/>
  <c r="EV66" i="1"/>
  <c r="EW66" i="1"/>
  <c r="ET66" i="1"/>
  <c r="EU66" i="1"/>
  <c r="ER66" i="1"/>
  <c r="ES66" i="1"/>
  <c r="EN66" i="1"/>
  <c r="EO66" i="1"/>
  <c r="EL66" i="1"/>
  <c r="EM66" i="1"/>
  <c r="EJ66" i="1"/>
  <c r="EK66" i="1"/>
  <c r="IR66" i="1"/>
  <c r="IS66" i="1"/>
  <c r="EH66" i="1"/>
  <c r="EF66" i="1"/>
  <c r="ED66" i="1"/>
  <c r="EZ64" i="1"/>
  <c r="FA64" i="1"/>
  <c r="EX64" i="1"/>
  <c r="EY64" i="1"/>
  <c r="EV64" i="1"/>
  <c r="EW64" i="1"/>
  <c r="ET64" i="1"/>
  <c r="EU64" i="1"/>
  <c r="ER64" i="1"/>
  <c r="ES64" i="1"/>
  <c r="EP64" i="1"/>
  <c r="EQ64" i="1"/>
  <c r="EN64" i="1"/>
  <c r="EO64" i="1"/>
  <c r="EL64" i="1"/>
  <c r="EM64" i="1"/>
  <c r="EJ64" i="1"/>
  <c r="EK64" i="1"/>
  <c r="IR64" i="1"/>
  <c r="IS64" i="1"/>
  <c r="EH64" i="1"/>
  <c r="EF64" i="1"/>
  <c r="ED64" i="1"/>
  <c r="EZ63" i="1"/>
  <c r="FA63" i="1"/>
  <c r="EX63" i="1"/>
  <c r="EY63" i="1"/>
  <c r="EV63" i="1"/>
  <c r="EW63" i="1"/>
  <c r="ET63" i="1"/>
  <c r="EU63" i="1"/>
  <c r="ER63" i="1"/>
  <c r="ES63" i="1"/>
  <c r="EP63" i="1"/>
  <c r="EQ63" i="1"/>
  <c r="EN63" i="1"/>
  <c r="EO63" i="1"/>
  <c r="EL63" i="1"/>
  <c r="EM63" i="1"/>
  <c r="EJ63" i="1"/>
  <c r="EK63" i="1"/>
  <c r="IR63" i="1"/>
  <c r="IS63" i="1"/>
  <c r="EH63" i="1"/>
  <c r="EF63" i="1"/>
  <c r="ED63" i="1"/>
  <c r="EZ62" i="1"/>
  <c r="FA62" i="1"/>
  <c r="EX62" i="1"/>
  <c r="EY62" i="1"/>
  <c r="EV62" i="1"/>
  <c r="EW62" i="1"/>
  <c r="ET62" i="1"/>
  <c r="EU62" i="1"/>
  <c r="ER62" i="1"/>
  <c r="ES62" i="1"/>
  <c r="EP62" i="1"/>
  <c r="EQ62" i="1"/>
  <c r="EN62" i="1"/>
  <c r="EO62" i="1"/>
  <c r="EL62" i="1"/>
  <c r="EM62" i="1"/>
  <c r="EJ62" i="1"/>
  <c r="EK62" i="1"/>
  <c r="IR62" i="1"/>
  <c r="IS62" i="1"/>
  <c r="EH62" i="1"/>
  <c r="EF62" i="1"/>
  <c r="ED62" i="1"/>
  <c r="EZ61" i="1"/>
  <c r="FA61" i="1"/>
  <c r="EX61" i="1"/>
  <c r="EY61" i="1"/>
  <c r="EV61" i="1"/>
  <c r="EW61" i="1"/>
  <c r="ET61" i="1"/>
  <c r="EU61" i="1"/>
  <c r="ER61" i="1"/>
  <c r="EP61" i="1"/>
  <c r="EN61" i="1"/>
  <c r="EO61" i="1"/>
  <c r="EL61" i="1"/>
  <c r="EM61" i="1"/>
  <c r="EJ61" i="1"/>
  <c r="EK61" i="1"/>
  <c r="IR61" i="1"/>
  <c r="IS61" i="1"/>
  <c r="EH61" i="1"/>
  <c r="EF61" i="1"/>
  <c r="ED61" i="1"/>
  <c r="EZ60" i="1"/>
  <c r="FA60" i="1"/>
  <c r="EX60" i="1"/>
  <c r="EY60" i="1"/>
  <c r="EV60" i="1"/>
  <c r="EW60" i="1"/>
  <c r="ET60" i="1"/>
  <c r="EU60" i="1"/>
  <c r="ER60" i="1"/>
  <c r="EP60" i="1"/>
  <c r="EQ60" i="1"/>
  <c r="EN60" i="1"/>
  <c r="EO60" i="1"/>
  <c r="EL60" i="1"/>
  <c r="EM60" i="1"/>
  <c r="EJ60" i="1"/>
  <c r="EK60" i="1"/>
  <c r="IR60" i="1"/>
  <c r="IS60" i="1"/>
  <c r="EH60" i="1"/>
  <c r="EF60" i="1"/>
  <c r="ED60" i="1"/>
  <c r="EZ59" i="1"/>
  <c r="EX59" i="1"/>
  <c r="EY59" i="1"/>
  <c r="EV59" i="1"/>
  <c r="EW59" i="1"/>
  <c r="ET59" i="1"/>
  <c r="EU59" i="1"/>
  <c r="ER59" i="1"/>
  <c r="ES59" i="1"/>
  <c r="EP59" i="1"/>
  <c r="EN59" i="1"/>
  <c r="EO59" i="1"/>
  <c r="EL59" i="1"/>
  <c r="EJ59" i="1"/>
  <c r="EK59" i="1"/>
  <c r="IR59" i="1"/>
  <c r="IS59" i="1"/>
  <c r="EH59" i="1"/>
  <c r="EF59" i="1"/>
  <c r="ED59" i="1"/>
  <c r="EZ58" i="1"/>
  <c r="FA58" i="1"/>
  <c r="EX58" i="1"/>
  <c r="EY58" i="1"/>
  <c r="EV58" i="1"/>
  <c r="EW58" i="1"/>
  <c r="ET58" i="1"/>
  <c r="EU58" i="1"/>
  <c r="ER58" i="1"/>
  <c r="EP58" i="1"/>
  <c r="EQ58" i="1"/>
  <c r="EN58" i="1"/>
  <c r="EO58" i="1"/>
  <c r="EL58" i="1"/>
  <c r="EM58" i="1"/>
  <c r="EJ58" i="1"/>
  <c r="EK58" i="1"/>
  <c r="IR58" i="1"/>
  <c r="IS58" i="1"/>
  <c r="EH58" i="1"/>
  <c r="EF58" i="1"/>
  <c r="ED58" i="1"/>
  <c r="EZ57" i="1"/>
  <c r="FA57" i="1"/>
  <c r="EX57" i="1"/>
  <c r="EY57" i="1"/>
  <c r="EV57" i="1"/>
  <c r="EW57" i="1"/>
  <c r="ET57" i="1"/>
  <c r="EU57" i="1"/>
  <c r="ER57" i="1"/>
  <c r="ES57" i="1"/>
  <c r="EP57" i="1"/>
  <c r="EQ57" i="1"/>
  <c r="EN57" i="1"/>
  <c r="EL57" i="1"/>
  <c r="EM57" i="1"/>
  <c r="EJ57" i="1"/>
  <c r="EK57" i="1"/>
  <c r="IR57" i="1"/>
  <c r="IS57" i="1"/>
  <c r="EH57" i="1"/>
  <c r="EF57" i="1"/>
  <c r="ED57" i="1"/>
  <c r="EZ54" i="1"/>
  <c r="EX54" i="1"/>
  <c r="EY54" i="1"/>
  <c r="EV54" i="1"/>
  <c r="EW54" i="1"/>
  <c r="ET54" i="1"/>
  <c r="EU54" i="1"/>
  <c r="ER54" i="1"/>
  <c r="ES54" i="1"/>
  <c r="EP54" i="1"/>
  <c r="EQ54" i="1"/>
  <c r="EN54" i="1"/>
  <c r="EL54" i="1"/>
  <c r="EM54" i="1"/>
  <c r="EJ54" i="1"/>
  <c r="EK54" i="1"/>
  <c r="IR54" i="1"/>
  <c r="IS54" i="1"/>
  <c r="EH54" i="1"/>
  <c r="EF54" i="1"/>
  <c r="ED54" i="1"/>
  <c r="EZ53" i="1"/>
  <c r="EX53" i="1"/>
  <c r="EY53" i="1"/>
  <c r="EV53" i="1"/>
  <c r="EW53" i="1"/>
  <c r="ET53" i="1"/>
  <c r="EU53" i="1"/>
  <c r="ER53" i="1"/>
  <c r="EP53" i="1"/>
  <c r="EN53" i="1"/>
  <c r="EL53" i="1"/>
  <c r="EM53" i="1"/>
  <c r="EJ53" i="1"/>
  <c r="IR53" i="1"/>
  <c r="IS53" i="1"/>
  <c r="EH53" i="1"/>
  <c r="EF53" i="1"/>
  <c r="ED53" i="1"/>
  <c r="EZ52" i="1"/>
  <c r="FA52" i="1"/>
  <c r="EX52" i="1"/>
  <c r="EY52" i="1"/>
  <c r="EZ50" i="1"/>
  <c r="FA50" i="1"/>
  <c r="EX50" i="1"/>
  <c r="EY50" i="1"/>
  <c r="EZ49" i="1"/>
  <c r="FA49" i="1"/>
  <c r="EZ48" i="1"/>
  <c r="FA48" i="1"/>
  <c r="EX48" i="1"/>
  <c r="EY48" i="1"/>
  <c r="EV48" i="1"/>
  <c r="EW48" i="1"/>
  <c r="ET48" i="1"/>
  <c r="EU48" i="1"/>
  <c r="ER48" i="1"/>
  <c r="ES48" i="1"/>
  <c r="EP48" i="1"/>
  <c r="EQ48" i="1"/>
  <c r="EN48" i="1"/>
  <c r="EO48" i="1"/>
  <c r="EL48" i="1"/>
  <c r="EM48" i="1"/>
  <c r="EJ48" i="1"/>
  <c r="EK48" i="1"/>
  <c r="IR48" i="1"/>
  <c r="IS48" i="1"/>
  <c r="EH48" i="1"/>
  <c r="EF48" i="1"/>
  <c r="ED48" i="1"/>
  <c r="EZ45" i="1"/>
  <c r="FA45" i="1"/>
  <c r="EX45" i="1"/>
  <c r="EY45" i="1"/>
  <c r="EV45" i="1"/>
  <c r="EW45" i="1"/>
  <c r="ET45" i="1"/>
  <c r="EU45" i="1"/>
  <c r="ER45" i="1"/>
  <c r="ES45" i="1"/>
  <c r="EP45" i="1"/>
  <c r="EQ45" i="1"/>
  <c r="EN45" i="1"/>
  <c r="EO45" i="1"/>
  <c r="EL45" i="1"/>
  <c r="EM45" i="1"/>
  <c r="EJ45" i="1"/>
  <c r="EK45" i="1"/>
  <c r="IR45" i="1"/>
  <c r="IS45" i="1"/>
  <c r="ED45" i="1"/>
  <c r="EZ42" i="1"/>
  <c r="FA42" i="1"/>
  <c r="EX42" i="1"/>
  <c r="EY42" i="1"/>
  <c r="EV42" i="1"/>
  <c r="EW42" i="1"/>
  <c r="ET42" i="1"/>
  <c r="EU42" i="1"/>
  <c r="ER42" i="1"/>
  <c r="ES42" i="1"/>
  <c r="EP42" i="1"/>
  <c r="EQ42" i="1"/>
  <c r="EN42" i="1"/>
  <c r="EO42" i="1"/>
  <c r="EL42" i="1"/>
  <c r="EM42" i="1"/>
  <c r="EJ42" i="1"/>
  <c r="EK42" i="1"/>
  <c r="IR42" i="1"/>
  <c r="IS42" i="1"/>
  <c r="EH42" i="1"/>
  <c r="EF42" i="1"/>
  <c r="ED42" i="1"/>
  <c r="EZ39" i="1"/>
  <c r="FA39" i="1"/>
  <c r="EZ38" i="1"/>
  <c r="FA38" i="1"/>
  <c r="EX38" i="1"/>
  <c r="EY38" i="1"/>
  <c r="EZ37" i="1"/>
  <c r="FA37" i="1"/>
  <c r="EX37" i="1"/>
  <c r="EY37" i="1"/>
  <c r="EZ34" i="1"/>
  <c r="FA34" i="1"/>
  <c r="EX34" i="1"/>
  <c r="EY34" i="1"/>
  <c r="EV34" i="1"/>
  <c r="EW34" i="1"/>
  <c r="EP34" i="1"/>
  <c r="EQ34" i="1"/>
  <c r="EL34" i="1"/>
  <c r="EM34" i="1"/>
  <c r="EH34" i="1"/>
  <c r="EZ32" i="1"/>
  <c r="FA32" i="1"/>
  <c r="EX32" i="1"/>
  <c r="EY32" i="1"/>
  <c r="EV32" i="1"/>
  <c r="EW32" i="1"/>
  <c r="ET32" i="1"/>
  <c r="EU32" i="1"/>
  <c r="ER32" i="1"/>
  <c r="ES32" i="1"/>
  <c r="EP32" i="1"/>
  <c r="EQ32" i="1"/>
  <c r="EN32" i="1"/>
  <c r="EO32" i="1"/>
  <c r="EL32" i="1"/>
  <c r="EM32" i="1"/>
  <c r="EJ32" i="1"/>
  <c r="EK32" i="1"/>
  <c r="IR32" i="1"/>
  <c r="IS32" i="1"/>
  <c r="EH32" i="1"/>
  <c r="EF32" i="1"/>
  <c r="ED32" i="1"/>
  <c r="EZ30" i="1"/>
  <c r="FA30" i="1"/>
  <c r="EX30" i="1"/>
  <c r="EY30" i="1"/>
  <c r="EV30" i="1"/>
  <c r="EW30" i="1"/>
  <c r="ET30" i="1"/>
  <c r="EU30" i="1"/>
  <c r="ER30" i="1"/>
  <c r="ES30" i="1"/>
  <c r="EP30" i="1"/>
  <c r="EQ30" i="1"/>
  <c r="EN30" i="1"/>
  <c r="EO30" i="1"/>
  <c r="EL30" i="1"/>
  <c r="EM30" i="1"/>
  <c r="EJ30" i="1"/>
  <c r="EK30" i="1"/>
  <c r="IR30" i="1"/>
  <c r="IS30" i="1"/>
  <c r="EH30" i="1"/>
  <c r="EF30" i="1"/>
  <c r="ED30" i="1"/>
  <c r="EZ29" i="1"/>
  <c r="FA29" i="1"/>
  <c r="EX29" i="1"/>
  <c r="EY29" i="1"/>
  <c r="EV29" i="1"/>
  <c r="EW29" i="1"/>
  <c r="ET29" i="1"/>
  <c r="EU29" i="1"/>
  <c r="ER29" i="1"/>
  <c r="ES29" i="1"/>
  <c r="EP29" i="1"/>
  <c r="EQ29" i="1"/>
  <c r="EN29" i="1"/>
  <c r="EO29" i="1"/>
  <c r="EL29" i="1"/>
  <c r="EM29" i="1"/>
  <c r="EJ29" i="1"/>
  <c r="EK29" i="1"/>
  <c r="IR29" i="1"/>
  <c r="IS29" i="1"/>
  <c r="EH29" i="1"/>
  <c r="EF29" i="1"/>
  <c r="ED29" i="1"/>
  <c r="EZ28" i="1"/>
  <c r="FA28" i="1"/>
  <c r="EX28" i="1"/>
  <c r="EY28" i="1"/>
  <c r="EV28" i="1"/>
  <c r="EW28" i="1"/>
  <c r="ET28" i="1"/>
  <c r="EU28" i="1"/>
  <c r="ER28" i="1"/>
  <c r="ES28" i="1"/>
  <c r="EP28" i="1"/>
  <c r="EQ28" i="1"/>
  <c r="EN28" i="1"/>
  <c r="EO28" i="1"/>
  <c r="EL28" i="1"/>
  <c r="EM28" i="1"/>
  <c r="EJ28" i="1"/>
  <c r="EK28" i="1"/>
  <c r="IR28" i="1"/>
  <c r="IS28" i="1"/>
  <c r="EH28" i="1"/>
  <c r="EF28" i="1"/>
  <c r="ED28" i="1"/>
  <c r="EZ27" i="1"/>
  <c r="FA27" i="1"/>
  <c r="EX27" i="1"/>
  <c r="EY27" i="1"/>
  <c r="EV27" i="1"/>
  <c r="EW27" i="1"/>
  <c r="ET27" i="1"/>
  <c r="EU27" i="1"/>
  <c r="ER27" i="1"/>
  <c r="ES27" i="1"/>
  <c r="EP27" i="1"/>
  <c r="EQ27" i="1"/>
  <c r="EN27" i="1"/>
  <c r="EO27" i="1"/>
  <c r="EL27" i="1"/>
  <c r="EM27" i="1"/>
  <c r="EJ27" i="1"/>
  <c r="EK27" i="1"/>
  <c r="IR27" i="1"/>
  <c r="IS27" i="1"/>
  <c r="EH27" i="1"/>
  <c r="EF27" i="1"/>
  <c r="ED27" i="1"/>
  <c r="EZ26" i="1"/>
  <c r="FA26" i="1"/>
  <c r="EX26" i="1"/>
  <c r="EY26" i="1"/>
  <c r="EV26" i="1"/>
  <c r="EW26" i="1"/>
  <c r="ET26" i="1"/>
  <c r="EU26" i="1"/>
  <c r="ER26" i="1"/>
  <c r="ES26" i="1"/>
  <c r="EP26" i="1"/>
  <c r="EQ26" i="1"/>
  <c r="EN26" i="1"/>
  <c r="EO26" i="1"/>
  <c r="EL26" i="1"/>
  <c r="EM26" i="1"/>
  <c r="EJ26" i="1"/>
  <c r="EK26" i="1"/>
  <c r="IR26" i="1"/>
  <c r="IS26" i="1"/>
  <c r="EH26" i="1"/>
  <c r="EF26" i="1"/>
  <c r="ED26" i="1"/>
  <c r="EZ25" i="1"/>
  <c r="FA25" i="1"/>
  <c r="EX25" i="1"/>
  <c r="EY25" i="1"/>
  <c r="EV25" i="1"/>
  <c r="EW25" i="1"/>
  <c r="ET25" i="1"/>
  <c r="EU25" i="1"/>
  <c r="ER25" i="1"/>
  <c r="ES25" i="1"/>
  <c r="EP25" i="1"/>
  <c r="EQ25" i="1"/>
  <c r="EN25" i="1"/>
  <c r="EO25" i="1"/>
  <c r="EL25" i="1"/>
  <c r="EM25" i="1"/>
  <c r="EJ25" i="1"/>
  <c r="EK25" i="1"/>
  <c r="IR25" i="1"/>
  <c r="IS25" i="1"/>
  <c r="EH25" i="1"/>
  <c r="EF25" i="1"/>
  <c r="ED25" i="1"/>
  <c r="EZ24" i="1"/>
  <c r="FA24" i="1"/>
  <c r="EX24" i="1"/>
  <c r="EY24" i="1"/>
  <c r="EV24" i="1"/>
  <c r="EW24" i="1"/>
  <c r="ET24" i="1"/>
  <c r="EU24" i="1"/>
  <c r="ER24" i="1"/>
  <c r="ES24" i="1"/>
  <c r="EP24" i="1"/>
  <c r="EQ24" i="1"/>
  <c r="EN24" i="1"/>
  <c r="EO24" i="1"/>
  <c r="EL24" i="1"/>
  <c r="EM24" i="1"/>
  <c r="EJ24" i="1"/>
  <c r="EK24" i="1"/>
  <c r="IR24" i="1"/>
  <c r="IS24" i="1"/>
  <c r="EH24" i="1"/>
  <c r="EF24" i="1"/>
  <c r="ED24" i="1"/>
  <c r="EZ23" i="1"/>
  <c r="FA23" i="1"/>
  <c r="EX23" i="1"/>
  <c r="EY23" i="1"/>
  <c r="EV23" i="1"/>
  <c r="EW23" i="1"/>
  <c r="ET23" i="1"/>
  <c r="EU23" i="1"/>
  <c r="ER23" i="1"/>
  <c r="ES23" i="1"/>
  <c r="EP23" i="1"/>
  <c r="EQ23" i="1"/>
  <c r="EN23" i="1"/>
  <c r="EO23" i="1"/>
  <c r="EL23" i="1"/>
  <c r="EM23" i="1"/>
  <c r="EJ23" i="1"/>
  <c r="EK23" i="1"/>
  <c r="IR23" i="1"/>
  <c r="IS23" i="1"/>
  <c r="EH23" i="1"/>
  <c r="EF23" i="1"/>
  <c r="ED23" i="1"/>
  <c r="EZ22" i="1"/>
  <c r="FA22" i="1"/>
  <c r="EX22" i="1"/>
  <c r="EY22" i="1"/>
  <c r="EZ17" i="1"/>
  <c r="FA17" i="1"/>
  <c r="EX17" i="1"/>
  <c r="EY17" i="1"/>
  <c r="EV17" i="1"/>
  <c r="EW17" i="1"/>
  <c r="ET17" i="1"/>
  <c r="EU17" i="1"/>
  <c r="ER17" i="1"/>
  <c r="ES17" i="1"/>
  <c r="EP17" i="1"/>
  <c r="EQ17" i="1"/>
  <c r="EN17" i="1"/>
  <c r="EO17" i="1"/>
  <c r="EL17" i="1"/>
  <c r="EM17" i="1"/>
  <c r="EJ17" i="1"/>
  <c r="EK17" i="1"/>
  <c r="IR17" i="1"/>
  <c r="IS17" i="1"/>
  <c r="EH17" i="1"/>
  <c r="EF17" i="1"/>
  <c r="ED17" i="1"/>
  <c r="EZ16" i="1"/>
  <c r="FA16" i="1"/>
  <c r="EX16" i="1"/>
  <c r="EY16" i="1"/>
  <c r="EV16" i="1"/>
  <c r="EW16" i="1"/>
  <c r="ET16" i="1"/>
  <c r="EU16" i="1"/>
  <c r="ER16" i="1"/>
  <c r="ES16" i="1"/>
  <c r="EP16" i="1"/>
  <c r="EQ16" i="1"/>
  <c r="EN16" i="1"/>
  <c r="EO16" i="1"/>
  <c r="EL16" i="1"/>
  <c r="EM16" i="1"/>
  <c r="EJ16" i="1"/>
  <c r="EK16" i="1"/>
  <c r="IR16" i="1"/>
  <c r="IS16" i="1"/>
  <c r="EH16" i="1"/>
  <c r="EF16" i="1"/>
  <c r="ED16" i="1"/>
  <c r="EZ15" i="1"/>
  <c r="FA15" i="1"/>
  <c r="EX15" i="1"/>
  <c r="EY15" i="1"/>
  <c r="EV15" i="1"/>
  <c r="EW15" i="1"/>
  <c r="ET15" i="1"/>
  <c r="EU15" i="1"/>
  <c r="ER15" i="1"/>
  <c r="ES15" i="1"/>
  <c r="EP15" i="1"/>
  <c r="EQ15" i="1"/>
  <c r="EN15" i="1"/>
  <c r="EO15" i="1"/>
  <c r="EL15" i="1"/>
  <c r="EM15" i="1"/>
  <c r="EH15" i="1"/>
  <c r="EF15" i="1"/>
  <c r="ED15" i="1"/>
  <c r="EZ13" i="1"/>
  <c r="FA13" i="1"/>
  <c r="EX13" i="1"/>
  <c r="EY13" i="1"/>
  <c r="EV13" i="1"/>
  <c r="EW13" i="1"/>
  <c r="ET13" i="1"/>
  <c r="EU13" i="1"/>
  <c r="ER13" i="1"/>
  <c r="ES13" i="1"/>
  <c r="EP13" i="1"/>
  <c r="EQ13" i="1"/>
  <c r="EN13" i="1"/>
  <c r="EO13" i="1"/>
  <c r="EL13" i="1"/>
  <c r="EM13" i="1"/>
  <c r="EJ13" i="1"/>
  <c r="EK13" i="1"/>
  <c r="IR13" i="1"/>
  <c r="IS13" i="1"/>
  <c r="EH13" i="1"/>
  <c r="EF13" i="1"/>
  <c r="ED13" i="1"/>
  <c r="EZ7" i="1"/>
  <c r="FA7" i="1" s="1"/>
  <c r="EX7" i="1"/>
  <c r="EY7" i="1" s="1"/>
  <c r="EV7" i="1"/>
  <c r="EW7" i="1" s="1"/>
  <c r="ET7" i="1"/>
  <c r="EU7" i="1" s="1"/>
  <c r="ER7" i="1"/>
  <c r="ES7" i="1" s="1"/>
  <c r="EP7" i="1"/>
  <c r="EQ7" i="1" s="1"/>
  <c r="EN7" i="1"/>
  <c r="EO7" i="1" s="1"/>
  <c r="EL7" i="1"/>
  <c r="EM7" i="1" s="1"/>
  <c r="EJ7" i="1"/>
  <c r="EK7" i="1" s="1"/>
  <c r="IR7" i="1" s="1"/>
  <c r="IS7" i="1" s="1"/>
  <c r="EH7" i="1"/>
  <c r="EI7" i="1" s="1"/>
  <c r="EF7" i="1"/>
  <c r="EG7" i="1" s="1"/>
  <c r="ED7" i="1"/>
  <c r="EE7" i="1" s="1"/>
  <c r="EZ6" i="1"/>
  <c r="FA6" i="1" s="1"/>
  <c r="EX6" i="1"/>
  <c r="EY6" i="1" s="1"/>
  <c r="EV6" i="1"/>
  <c r="EW6" i="1" s="1"/>
  <c r="ET6" i="1"/>
  <c r="EU6" i="1" s="1"/>
  <c r="ER6" i="1"/>
  <c r="ES6" i="1" s="1"/>
  <c r="EP6" i="1"/>
  <c r="EQ6" i="1" s="1"/>
  <c r="EN6" i="1"/>
  <c r="EO6" i="1" s="1"/>
  <c r="EL6" i="1"/>
  <c r="EM6" i="1" s="1"/>
  <c r="EJ6" i="1"/>
  <c r="EK6" i="1" s="1"/>
  <c r="IR6" i="1" s="1"/>
  <c r="IS6" i="1" s="1"/>
  <c r="EH6" i="1"/>
  <c r="EI6" i="1" s="1"/>
  <c r="EF6" i="1"/>
  <c r="EG6" i="1" s="1"/>
  <c r="ED6" i="1"/>
  <c r="EE6" i="1" s="1"/>
  <c r="EZ5" i="1"/>
  <c r="FA5" i="1" s="1"/>
  <c r="EX5" i="1"/>
  <c r="EY5" i="1" s="1"/>
  <c r="EJ5" i="1"/>
  <c r="EK5" i="1" s="1"/>
  <c r="KJ70" i="1"/>
  <c r="KI70" i="1"/>
  <c r="KJ69" i="1"/>
  <c r="KI69" i="1"/>
  <c r="KJ68" i="1"/>
  <c r="KI68" i="1"/>
  <c r="KJ67" i="1"/>
  <c r="KI67" i="1"/>
  <c r="KJ66" i="1"/>
  <c r="KI66" i="1"/>
  <c r="KJ64" i="1"/>
  <c r="KI64" i="1"/>
  <c r="KJ63" i="1"/>
  <c r="KI63" i="1"/>
  <c r="KJ62" i="1"/>
  <c r="KI62" i="1"/>
  <c r="KJ61" i="1"/>
  <c r="KI61" i="1"/>
  <c r="KJ60" i="1"/>
  <c r="KI60" i="1"/>
  <c r="KJ59" i="1"/>
  <c r="KI59" i="1"/>
  <c r="KJ58" i="1"/>
  <c r="KI58" i="1"/>
  <c r="KJ57" i="1"/>
  <c r="KI57" i="1"/>
  <c r="KJ54" i="1"/>
  <c r="KI54" i="1"/>
  <c r="KJ53" i="1"/>
  <c r="KI53" i="1"/>
  <c r="KJ52" i="1"/>
  <c r="KI52" i="1"/>
  <c r="KJ50" i="1"/>
  <c r="KI50" i="1"/>
  <c r="KJ49" i="1"/>
  <c r="KI49" i="1"/>
  <c r="KJ48" i="1"/>
  <c r="KI48" i="1"/>
  <c r="KJ46" i="1"/>
  <c r="KJ45" i="1"/>
  <c r="KI45" i="1"/>
  <c r="KJ42" i="1"/>
  <c r="KI42" i="1"/>
  <c r="KJ39" i="1"/>
  <c r="KI39" i="1"/>
  <c r="KJ38" i="1"/>
  <c r="KI38" i="1"/>
  <c r="KJ37" i="1"/>
  <c r="KI37" i="1"/>
  <c r="KJ34" i="1"/>
  <c r="KI34" i="1"/>
  <c r="KJ32" i="1"/>
  <c r="KI32" i="1"/>
  <c r="KJ30" i="1"/>
  <c r="KI30" i="1"/>
  <c r="KJ29" i="1"/>
  <c r="KI29" i="1"/>
  <c r="KJ28" i="1"/>
  <c r="KI28" i="1"/>
  <c r="KJ27" i="1"/>
  <c r="KI27" i="1"/>
  <c r="KJ26" i="1"/>
  <c r="KI26" i="1"/>
  <c r="KJ25" i="1"/>
  <c r="KI25" i="1"/>
  <c r="KJ24" i="1"/>
  <c r="KI24" i="1"/>
  <c r="KJ23" i="1"/>
  <c r="KI23" i="1"/>
  <c r="KJ22" i="1"/>
  <c r="KI22" i="1"/>
  <c r="KJ17" i="1"/>
  <c r="KI17" i="1"/>
  <c r="KJ16" i="1"/>
  <c r="KI16" i="1"/>
  <c r="KJ15" i="1"/>
  <c r="KI15" i="1"/>
  <c r="KJ13" i="1"/>
  <c r="KI13" i="1"/>
  <c r="KJ10" i="1"/>
  <c r="KI10" i="1"/>
  <c r="KH70" i="1"/>
  <c r="KG70" i="1"/>
  <c r="KF70" i="1"/>
  <c r="KE70" i="1"/>
  <c r="KD70" i="1"/>
  <c r="KC70" i="1"/>
  <c r="KB70" i="1"/>
  <c r="KH69" i="1"/>
  <c r="KG69" i="1"/>
  <c r="KF69" i="1"/>
  <c r="KE69" i="1"/>
  <c r="KD69" i="1"/>
  <c r="KC69" i="1"/>
  <c r="KB69" i="1"/>
  <c r="KH68" i="1"/>
  <c r="KG68" i="1"/>
  <c r="KF68" i="1"/>
  <c r="KE68" i="1"/>
  <c r="KD68" i="1"/>
  <c r="KC68" i="1"/>
  <c r="KB68" i="1"/>
  <c r="KH67" i="1"/>
  <c r="KG67" i="1"/>
  <c r="KF67" i="1"/>
  <c r="KE67" i="1"/>
  <c r="KD67" i="1"/>
  <c r="KC67" i="1"/>
  <c r="KB67" i="1"/>
  <c r="KH66" i="1"/>
  <c r="KG66" i="1"/>
  <c r="KF66" i="1"/>
  <c r="KE66" i="1"/>
  <c r="KD66" i="1"/>
  <c r="KC66" i="1"/>
  <c r="KB66" i="1"/>
  <c r="KH64" i="1"/>
  <c r="KG64" i="1"/>
  <c r="KF64" i="1"/>
  <c r="KE64" i="1"/>
  <c r="KD64" i="1"/>
  <c r="KC64" i="1"/>
  <c r="KB64" i="1"/>
  <c r="KH63" i="1"/>
  <c r="KG63" i="1"/>
  <c r="KF63" i="1"/>
  <c r="KE63" i="1"/>
  <c r="KD63" i="1"/>
  <c r="KC63" i="1"/>
  <c r="KB63" i="1"/>
  <c r="KH62" i="1"/>
  <c r="KG62" i="1"/>
  <c r="KF62" i="1"/>
  <c r="KE62" i="1"/>
  <c r="KD62" i="1"/>
  <c r="KC62" i="1"/>
  <c r="KB62" i="1"/>
  <c r="KH61" i="1"/>
  <c r="KG61" i="1"/>
  <c r="KF61" i="1"/>
  <c r="KE61" i="1"/>
  <c r="KD61" i="1"/>
  <c r="KC61" i="1"/>
  <c r="KB61" i="1"/>
  <c r="KH60" i="1"/>
  <c r="KG60" i="1"/>
  <c r="KF60" i="1"/>
  <c r="KE60" i="1"/>
  <c r="KD60" i="1"/>
  <c r="KC60" i="1"/>
  <c r="KB60" i="1"/>
  <c r="KH59" i="1"/>
  <c r="KG59" i="1"/>
  <c r="KF59" i="1"/>
  <c r="KE59" i="1"/>
  <c r="KD59" i="1"/>
  <c r="KC59" i="1"/>
  <c r="KB59" i="1"/>
  <c r="KH58" i="1"/>
  <c r="KG58" i="1"/>
  <c r="KF58" i="1"/>
  <c r="KE58" i="1"/>
  <c r="KD58" i="1"/>
  <c r="KC58" i="1"/>
  <c r="KB58" i="1"/>
  <c r="KH57" i="1"/>
  <c r="KG57" i="1"/>
  <c r="KF57" i="1"/>
  <c r="KE57" i="1"/>
  <c r="KD57" i="1"/>
  <c r="KC57" i="1"/>
  <c r="KB57" i="1"/>
  <c r="KH54" i="1"/>
  <c r="KG54" i="1"/>
  <c r="KF54" i="1"/>
  <c r="KE54" i="1"/>
  <c r="KD54" i="1"/>
  <c r="KC54" i="1"/>
  <c r="KB54" i="1"/>
  <c r="KH53" i="1"/>
  <c r="KG53" i="1"/>
  <c r="KF53" i="1"/>
  <c r="KE53" i="1"/>
  <c r="KD53" i="1"/>
  <c r="KC53" i="1"/>
  <c r="KB53" i="1"/>
  <c r="KH52" i="1"/>
  <c r="KH50" i="1"/>
  <c r="KH48" i="1"/>
  <c r="KG48" i="1"/>
  <c r="KF48" i="1"/>
  <c r="KE48" i="1"/>
  <c r="KD48" i="1"/>
  <c r="KC48" i="1"/>
  <c r="KB48" i="1"/>
  <c r="KH45" i="1"/>
  <c r="KG45" i="1"/>
  <c r="KF45" i="1"/>
  <c r="KE45" i="1"/>
  <c r="KD45" i="1"/>
  <c r="KC45" i="1"/>
  <c r="KB45" i="1"/>
  <c r="KH42" i="1"/>
  <c r="KG42" i="1"/>
  <c r="KF42" i="1"/>
  <c r="KE42" i="1"/>
  <c r="KD42" i="1"/>
  <c r="KC42" i="1"/>
  <c r="KB42" i="1"/>
  <c r="KH38" i="1"/>
  <c r="KH37" i="1"/>
  <c r="KH34" i="1"/>
  <c r="KG34" i="1"/>
  <c r="KE34" i="1"/>
  <c r="KD34" i="1"/>
  <c r="KC34" i="1"/>
  <c r="KB34" i="1"/>
  <c r="KH32" i="1"/>
  <c r="KG32" i="1"/>
  <c r="KF32" i="1"/>
  <c r="KE32" i="1"/>
  <c r="KD32" i="1"/>
  <c r="KC32" i="1"/>
  <c r="KB32" i="1"/>
  <c r="KH30" i="1"/>
  <c r="KG30" i="1"/>
  <c r="KF30" i="1"/>
  <c r="KE30" i="1"/>
  <c r="KD30" i="1"/>
  <c r="KC30" i="1"/>
  <c r="KB30" i="1"/>
  <c r="KH29" i="1"/>
  <c r="KG29" i="1"/>
  <c r="KF29" i="1"/>
  <c r="KE29" i="1"/>
  <c r="KD29" i="1"/>
  <c r="KC29" i="1"/>
  <c r="KB29" i="1"/>
  <c r="KH28" i="1"/>
  <c r="KG28" i="1"/>
  <c r="KF28" i="1"/>
  <c r="KE28" i="1"/>
  <c r="KD28" i="1"/>
  <c r="KC28" i="1"/>
  <c r="KB28" i="1"/>
  <c r="KH27" i="1"/>
  <c r="KG27" i="1"/>
  <c r="KF27" i="1"/>
  <c r="KE27" i="1"/>
  <c r="KD27" i="1"/>
  <c r="KC27" i="1"/>
  <c r="KB27" i="1"/>
  <c r="KH26" i="1"/>
  <c r="KG26" i="1"/>
  <c r="KF26" i="1"/>
  <c r="KE26" i="1"/>
  <c r="KD26" i="1"/>
  <c r="KC26" i="1"/>
  <c r="KB26" i="1"/>
  <c r="KH25" i="1"/>
  <c r="KG25" i="1"/>
  <c r="KF25" i="1"/>
  <c r="KE25" i="1"/>
  <c r="KD25" i="1"/>
  <c r="KC25" i="1"/>
  <c r="KB25" i="1"/>
  <c r="KH24" i="1"/>
  <c r="KG24" i="1"/>
  <c r="KF24" i="1"/>
  <c r="KE24" i="1"/>
  <c r="KD24" i="1"/>
  <c r="KC24" i="1"/>
  <c r="KB24" i="1"/>
  <c r="KH23" i="1"/>
  <c r="KG23" i="1"/>
  <c r="KF23" i="1"/>
  <c r="KE23" i="1"/>
  <c r="KD23" i="1"/>
  <c r="KC23" i="1"/>
  <c r="KB23" i="1"/>
  <c r="KH22" i="1"/>
  <c r="KH17" i="1"/>
  <c r="KG17" i="1"/>
  <c r="KF17" i="1"/>
  <c r="KE17" i="1"/>
  <c r="KD17" i="1"/>
  <c r="KC17" i="1"/>
  <c r="KB17" i="1"/>
  <c r="KH16" i="1"/>
  <c r="KG16" i="1"/>
  <c r="KF16" i="1"/>
  <c r="KE16" i="1"/>
  <c r="KD16" i="1"/>
  <c r="KC16" i="1"/>
  <c r="KB16" i="1"/>
  <c r="KH15" i="1"/>
  <c r="KG15" i="1"/>
  <c r="KF15" i="1"/>
  <c r="KE15" i="1"/>
  <c r="KD15" i="1"/>
  <c r="KC15" i="1"/>
  <c r="KB15" i="1"/>
  <c r="KH13" i="1"/>
  <c r="KG13" i="1"/>
  <c r="KF13" i="1"/>
  <c r="KE13" i="1"/>
  <c r="KD13" i="1"/>
  <c r="KC13" i="1"/>
  <c r="KB13" i="1"/>
  <c r="KH10" i="1"/>
  <c r="KG10" i="1"/>
  <c r="KF10" i="1"/>
  <c r="KE10" i="1"/>
  <c r="KD10" i="1"/>
  <c r="KC10" i="1"/>
  <c r="KB10" i="1"/>
  <c r="KA70" i="1"/>
  <c r="JZ70" i="1"/>
  <c r="JY70" i="1"/>
  <c r="KA69" i="1"/>
  <c r="JZ69" i="1"/>
  <c r="JY69" i="1"/>
  <c r="KA68" i="1"/>
  <c r="JZ68" i="1"/>
  <c r="JY68" i="1"/>
  <c r="KA67" i="1"/>
  <c r="JZ67" i="1"/>
  <c r="JY67" i="1"/>
  <c r="KA66" i="1"/>
  <c r="JZ66" i="1"/>
  <c r="JY66" i="1"/>
  <c r="KA64" i="1"/>
  <c r="JZ64" i="1"/>
  <c r="JY64" i="1"/>
  <c r="KA63" i="1"/>
  <c r="JZ63" i="1"/>
  <c r="JY63" i="1"/>
  <c r="KA62" i="1"/>
  <c r="JZ62" i="1"/>
  <c r="JY62" i="1"/>
  <c r="KA61" i="1"/>
  <c r="JZ61" i="1"/>
  <c r="JY61" i="1"/>
  <c r="KA60" i="1"/>
  <c r="JZ60" i="1"/>
  <c r="JY60" i="1"/>
  <c r="KA59" i="1"/>
  <c r="JZ59" i="1"/>
  <c r="JY59" i="1"/>
  <c r="KA58" i="1"/>
  <c r="JZ58" i="1"/>
  <c r="JY58" i="1"/>
  <c r="KA57" i="1"/>
  <c r="JZ57" i="1"/>
  <c r="JY57" i="1"/>
  <c r="KA54" i="1"/>
  <c r="JZ54" i="1"/>
  <c r="JY54" i="1"/>
  <c r="KA53" i="1"/>
  <c r="JZ53" i="1"/>
  <c r="JY53" i="1"/>
  <c r="KA48" i="1"/>
  <c r="JZ48" i="1"/>
  <c r="JY48" i="1"/>
  <c r="KA45" i="1"/>
  <c r="JY45" i="1"/>
  <c r="KA42" i="1"/>
  <c r="JZ42" i="1"/>
  <c r="JY42" i="1"/>
  <c r="KA34" i="1"/>
  <c r="JZ34" i="1"/>
  <c r="KA32" i="1"/>
  <c r="JZ32" i="1"/>
  <c r="JY32" i="1"/>
  <c r="KA30" i="1"/>
  <c r="JZ30" i="1"/>
  <c r="JY30" i="1"/>
  <c r="KA29" i="1"/>
  <c r="JZ29" i="1"/>
  <c r="JY29" i="1"/>
  <c r="KA28" i="1"/>
  <c r="JZ28" i="1"/>
  <c r="JY28" i="1"/>
  <c r="KA27" i="1"/>
  <c r="JZ27" i="1"/>
  <c r="JY27" i="1"/>
  <c r="KA26" i="1"/>
  <c r="JZ26" i="1"/>
  <c r="JY26" i="1"/>
  <c r="KA25" i="1"/>
  <c r="JZ25" i="1"/>
  <c r="JY25" i="1"/>
  <c r="KA24" i="1"/>
  <c r="JZ24" i="1"/>
  <c r="JY24" i="1"/>
  <c r="KA23" i="1"/>
  <c r="JZ23" i="1"/>
  <c r="JY23" i="1"/>
  <c r="KA17" i="1"/>
  <c r="JZ17" i="1"/>
  <c r="JY17" i="1"/>
  <c r="KA16" i="1"/>
  <c r="JZ16" i="1"/>
  <c r="JY16" i="1"/>
  <c r="KA15" i="1"/>
  <c r="JZ15" i="1"/>
  <c r="JY15" i="1"/>
  <c r="KA13" i="1"/>
  <c r="JZ13" i="1"/>
  <c r="JY13" i="1"/>
  <c r="KA10" i="1"/>
  <c r="JZ10" i="1"/>
  <c r="JY10" i="1"/>
  <c r="BJ64" i="1"/>
  <c r="BJ63" i="1"/>
  <c r="BJ62" i="1"/>
  <c r="BJ60" i="1"/>
  <c r="BJ59" i="1"/>
  <c r="BJ58" i="1"/>
  <c r="BJ54" i="1"/>
  <c r="BJ28" i="1"/>
  <c r="BJ27" i="1"/>
  <c r="BJ24" i="1"/>
  <c r="BJ23" i="1"/>
  <c r="BJ7" i="1"/>
  <c r="BJ6" i="1"/>
  <c r="AQ38" i="1"/>
  <c r="JT38" i="1"/>
  <c r="AQ37" i="1"/>
  <c r="JT37" i="1"/>
  <c r="AQ48" i="1"/>
  <c r="AQ204" i="1"/>
  <c r="AQ45" i="1"/>
  <c r="JT45" i="1"/>
  <c r="AQ19" i="1"/>
  <c r="JT19" i="1" s="1"/>
  <c r="AQ18" i="1"/>
  <c r="JT18" i="1" s="1"/>
  <c r="AP48" i="1"/>
  <c r="JS48" i="1"/>
  <c r="AP45" i="1"/>
  <c r="AP18" i="1"/>
  <c r="JS18" i="1" s="1"/>
  <c r="JS34" i="1"/>
  <c r="AP19" i="1"/>
  <c r="JS19" i="1" s="1"/>
  <c r="AP38" i="1"/>
  <c r="JS38" i="1"/>
  <c r="AP37" i="1"/>
  <c r="JS37" i="1"/>
  <c r="AO38" i="1"/>
  <c r="JR38" i="1"/>
  <c r="AO37" i="1"/>
  <c r="AO48" i="1"/>
  <c r="AO204" i="1"/>
  <c r="AO45" i="1"/>
  <c r="AO19" i="1"/>
  <c r="JR19" i="1" s="1"/>
  <c r="AO18" i="1"/>
  <c r="JR18" i="1" s="1"/>
  <c r="AN37" i="1"/>
  <c r="AN38" i="1"/>
  <c r="AN19" i="1"/>
  <c r="JQ19" i="1" s="1"/>
  <c r="AN18" i="1"/>
  <c r="JQ18" i="1" s="1"/>
  <c r="AN204" i="1"/>
  <c r="AN50" i="1"/>
  <c r="JQ50" i="1"/>
  <c r="AM38" i="1"/>
  <c r="JP38" i="1"/>
  <c r="AM37" i="1"/>
  <c r="JP37" i="1"/>
  <c r="AM204" i="1"/>
  <c r="AM50" i="1"/>
  <c r="JP50" i="1"/>
  <c r="AM19" i="1"/>
  <c r="JP19" i="1" s="1"/>
  <c r="AM18" i="1"/>
  <c r="JP18" i="1" s="1"/>
  <c r="AL204" i="1"/>
  <c r="AL37" i="1"/>
  <c r="AL38" i="1"/>
  <c r="AL19" i="1"/>
  <c r="JO19" i="1" s="1"/>
  <c r="AL18" i="1"/>
  <c r="JO18" i="1" s="1"/>
  <c r="AL50" i="1"/>
  <c r="JO50" i="1"/>
  <c r="JO13" i="1"/>
  <c r="AK38" i="1"/>
  <c r="JN38" i="1"/>
  <c r="AK37" i="1"/>
  <c r="JN37" i="1"/>
  <c r="AK204" i="1"/>
  <c r="AK50" i="1"/>
  <c r="JN50" i="1"/>
  <c r="AK19" i="1"/>
  <c r="AK18" i="1"/>
  <c r="JN18" i="1" s="1"/>
  <c r="AJ38" i="1"/>
  <c r="JM38" i="1"/>
  <c r="AJ37" i="1"/>
  <c r="JM37" i="1"/>
  <c r="JM54" i="1"/>
  <c r="I68" i="22"/>
  <c r="I67" i="22"/>
  <c r="I66" i="22"/>
  <c r="I65" i="22"/>
  <c r="I64" i="22"/>
  <c r="I63" i="22"/>
  <c r="F63" i="22"/>
  <c r="F64" i="22"/>
  <c r="F65" i="22"/>
  <c r="F66" i="22"/>
  <c r="F67" i="22"/>
  <c r="F68" i="22"/>
  <c r="G68" i="22"/>
  <c r="H68" i="22"/>
  <c r="JX70" i="1"/>
  <c r="JX69" i="1"/>
  <c r="JX68" i="1"/>
  <c r="JX67" i="1"/>
  <c r="JX66" i="1"/>
  <c r="JX64" i="1"/>
  <c r="JX63" i="1"/>
  <c r="JX62" i="1"/>
  <c r="JX61" i="1"/>
  <c r="JX60" i="1"/>
  <c r="JX59" i="1"/>
  <c r="JX58" i="1"/>
  <c r="JX57" i="1"/>
  <c r="JX54" i="1"/>
  <c r="JX53" i="1"/>
  <c r="JX48" i="1"/>
  <c r="JX45" i="1"/>
  <c r="JX42" i="1"/>
  <c r="JX34" i="1"/>
  <c r="JX32" i="1"/>
  <c r="JX30" i="1"/>
  <c r="JX29" i="1"/>
  <c r="JX28" i="1"/>
  <c r="JX27" i="1"/>
  <c r="JX26" i="1"/>
  <c r="JX25" i="1"/>
  <c r="JX24" i="1"/>
  <c r="JX23" i="1"/>
  <c r="JX17" i="1"/>
  <c r="JX16" i="1"/>
  <c r="JX15" i="1"/>
  <c r="JX13" i="1"/>
  <c r="JX10" i="1"/>
  <c r="JW70" i="1"/>
  <c r="JV70" i="1"/>
  <c r="JU70" i="1"/>
  <c r="JT70" i="1"/>
  <c r="JS70" i="1"/>
  <c r="JR70" i="1"/>
  <c r="JQ70" i="1"/>
  <c r="JP70" i="1"/>
  <c r="JO70" i="1"/>
  <c r="JN70" i="1"/>
  <c r="JW69" i="1"/>
  <c r="JV69" i="1"/>
  <c r="JU69" i="1"/>
  <c r="JT69" i="1"/>
  <c r="JS69" i="1"/>
  <c r="JR69" i="1"/>
  <c r="JQ69" i="1"/>
  <c r="JP69" i="1"/>
  <c r="JO69" i="1"/>
  <c r="JN69" i="1"/>
  <c r="JW68" i="1"/>
  <c r="JV68" i="1"/>
  <c r="JU68" i="1"/>
  <c r="JT68" i="1"/>
  <c r="JS68" i="1"/>
  <c r="JR68" i="1"/>
  <c r="JQ68" i="1"/>
  <c r="JP68" i="1"/>
  <c r="JO68" i="1"/>
  <c r="JN68" i="1"/>
  <c r="JW67" i="1"/>
  <c r="JV67" i="1"/>
  <c r="JU67" i="1"/>
  <c r="JT67" i="1"/>
  <c r="JS67" i="1"/>
  <c r="JR67" i="1"/>
  <c r="JQ67" i="1"/>
  <c r="JP67" i="1"/>
  <c r="JO67" i="1"/>
  <c r="JN67" i="1"/>
  <c r="JW66" i="1"/>
  <c r="JV66" i="1"/>
  <c r="JU66" i="1"/>
  <c r="JT66" i="1"/>
  <c r="JS66" i="1"/>
  <c r="JR66" i="1"/>
  <c r="JQ66" i="1"/>
  <c r="JP66" i="1"/>
  <c r="JO66" i="1"/>
  <c r="JN66" i="1"/>
  <c r="JW64" i="1"/>
  <c r="JV64" i="1"/>
  <c r="JU64" i="1"/>
  <c r="JT64" i="1"/>
  <c r="JS64" i="1"/>
  <c r="JR64" i="1"/>
  <c r="JQ64" i="1"/>
  <c r="JP64" i="1"/>
  <c r="JO64" i="1"/>
  <c r="JN64" i="1"/>
  <c r="JW63" i="1"/>
  <c r="JV63" i="1"/>
  <c r="JU63" i="1"/>
  <c r="JT63" i="1"/>
  <c r="JS63" i="1"/>
  <c r="JR63" i="1"/>
  <c r="JQ63" i="1"/>
  <c r="JP63" i="1"/>
  <c r="JO63" i="1"/>
  <c r="JN63" i="1"/>
  <c r="JW62" i="1"/>
  <c r="JV62" i="1"/>
  <c r="JU62" i="1"/>
  <c r="JT62" i="1"/>
  <c r="JS62" i="1"/>
  <c r="JR62" i="1"/>
  <c r="JQ62" i="1"/>
  <c r="JP62" i="1"/>
  <c r="JO62" i="1"/>
  <c r="JN62" i="1"/>
  <c r="JW61" i="1"/>
  <c r="JV61" i="1"/>
  <c r="JU61" i="1"/>
  <c r="JT61" i="1"/>
  <c r="JS61" i="1"/>
  <c r="JR61" i="1"/>
  <c r="JQ61" i="1"/>
  <c r="JP61" i="1"/>
  <c r="JN61" i="1"/>
  <c r="JW60" i="1"/>
  <c r="JV60" i="1"/>
  <c r="JU60" i="1"/>
  <c r="JT60" i="1"/>
  <c r="JS60" i="1"/>
  <c r="JR60" i="1"/>
  <c r="JQ60" i="1"/>
  <c r="JP60" i="1"/>
  <c r="JO60" i="1"/>
  <c r="JN60" i="1"/>
  <c r="JW59" i="1"/>
  <c r="JV59" i="1"/>
  <c r="JU59" i="1"/>
  <c r="JT59" i="1"/>
  <c r="JS59" i="1"/>
  <c r="JR59" i="1"/>
  <c r="JQ59" i="1"/>
  <c r="JP59" i="1"/>
  <c r="JN59" i="1"/>
  <c r="JW58" i="1"/>
  <c r="JV58" i="1"/>
  <c r="JU58" i="1"/>
  <c r="JT58" i="1"/>
  <c r="JS58" i="1"/>
  <c r="JR58" i="1"/>
  <c r="JQ58" i="1"/>
  <c r="JP58" i="1"/>
  <c r="JO58" i="1"/>
  <c r="JN58" i="1"/>
  <c r="JW57" i="1"/>
  <c r="JV57" i="1"/>
  <c r="JU57" i="1"/>
  <c r="JT57" i="1"/>
  <c r="JS57" i="1"/>
  <c r="JR57" i="1"/>
  <c r="JQ57" i="1"/>
  <c r="JP57" i="1"/>
  <c r="JN57" i="1"/>
  <c r="JW54" i="1"/>
  <c r="JV54" i="1"/>
  <c r="JU54" i="1"/>
  <c r="JT54" i="1"/>
  <c r="JS54" i="1"/>
  <c r="JR54" i="1"/>
  <c r="JQ54" i="1"/>
  <c r="JP54" i="1"/>
  <c r="JO54" i="1"/>
  <c r="JN54" i="1"/>
  <c r="JW53" i="1"/>
  <c r="JV53" i="1"/>
  <c r="JU53" i="1"/>
  <c r="JT53" i="1"/>
  <c r="JS53" i="1"/>
  <c r="JR53" i="1"/>
  <c r="JQ53" i="1"/>
  <c r="JP53" i="1"/>
  <c r="JN53" i="1"/>
  <c r="JW48" i="1"/>
  <c r="JV48" i="1"/>
  <c r="JR48" i="1"/>
  <c r="JQ48" i="1"/>
  <c r="JP48" i="1"/>
  <c r="JO48" i="1"/>
  <c r="JN48" i="1"/>
  <c r="JW45" i="1"/>
  <c r="JV45" i="1"/>
  <c r="JQ45" i="1"/>
  <c r="JP45" i="1"/>
  <c r="JO45" i="1"/>
  <c r="JN45" i="1"/>
  <c r="JW42" i="1"/>
  <c r="JV42" i="1"/>
  <c r="JU42" i="1"/>
  <c r="JT42" i="1"/>
  <c r="JS42" i="1"/>
  <c r="JR42" i="1"/>
  <c r="JQ42" i="1"/>
  <c r="JP42" i="1"/>
  <c r="JO42" i="1"/>
  <c r="JN42" i="1"/>
  <c r="JW32" i="1"/>
  <c r="JV32" i="1"/>
  <c r="JU32" i="1"/>
  <c r="JT32" i="1"/>
  <c r="JS32" i="1"/>
  <c r="JR32" i="1"/>
  <c r="JQ32" i="1"/>
  <c r="JP32" i="1"/>
  <c r="JO32" i="1"/>
  <c r="JN32" i="1"/>
  <c r="JW30" i="1"/>
  <c r="JV30" i="1"/>
  <c r="JU30" i="1"/>
  <c r="JT30" i="1"/>
  <c r="JS30" i="1"/>
  <c r="JR30" i="1"/>
  <c r="JQ30" i="1"/>
  <c r="JP30" i="1"/>
  <c r="JO30" i="1"/>
  <c r="JN30" i="1"/>
  <c r="JW29" i="1"/>
  <c r="JV29" i="1"/>
  <c r="JU29" i="1"/>
  <c r="JT29" i="1"/>
  <c r="JS29" i="1"/>
  <c r="JR29" i="1"/>
  <c r="JQ29" i="1"/>
  <c r="JP29" i="1"/>
  <c r="JO29" i="1"/>
  <c r="JN29" i="1"/>
  <c r="JW28" i="1"/>
  <c r="JV28" i="1"/>
  <c r="JU28" i="1"/>
  <c r="JT28" i="1"/>
  <c r="JS28" i="1"/>
  <c r="JR28" i="1"/>
  <c r="JQ28" i="1"/>
  <c r="JP28" i="1"/>
  <c r="JO28" i="1"/>
  <c r="JN28" i="1"/>
  <c r="JW27" i="1"/>
  <c r="JV27" i="1"/>
  <c r="JU27" i="1"/>
  <c r="JT27" i="1"/>
  <c r="JS27" i="1"/>
  <c r="JR27" i="1"/>
  <c r="JQ27" i="1"/>
  <c r="JP27" i="1"/>
  <c r="JO27" i="1"/>
  <c r="JN27" i="1"/>
  <c r="JW26" i="1"/>
  <c r="JV26" i="1"/>
  <c r="JU26" i="1"/>
  <c r="JT26" i="1"/>
  <c r="JS26" i="1"/>
  <c r="JR26" i="1"/>
  <c r="JQ26" i="1"/>
  <c r="JP26" i="1"/>
  <c r="JO26" i="1"/>
  <c r="JN26" i="1"/>
  <c r="JW25" i="1"/>
  <c r="JV25" i="1"/>
  <c r="JU25" i="1"/>
  <c r="JT25" i="1"/>
  <c r="JS25" i="1"/>
  <c r="JR25" i="1"/>
  <c r="JQ25" i="1"/>
  <c r="JP25" i="1"/>
  <c r="JO25" i="1"/>
  <c r="JN25" i="1"/>
  <c r="JW24" i="1"/>
  <c r="JV24" i="1"/>
  <c r="JU24" i="1"/>
  <c r="JT24" i="1"/>
  <c r="JS24" i="1"/>
  <c r="JR24" i="1"/>
  <c r="JQ24" i="1"/>
  <c r="JP24" i="1"/>
  <c r="JO24" i="1"/>
  <c r="JN24" i="1"/>
  <c r="JW23" i="1"/>
  <c r="JV23" i="1"/>
  <c r="JU23" i="1"/>
  <c r="JT23" i="1"/>
  <c r="JS23" i="1"/>
  <c r="JR23" i="1"/>
  <c r="JQ23" i="1"/>
  <c r="JP23" i="1"/>
  <c r="JO23" i="1"/>
  <c r="JN23" i="1"/>
  <c r="JW17" i="1"/>
  <c r="JV17" i="1"/>
  <c r="JU17" i="1"/>
  <c r="JT17" i="1"/>
  <c r="JS17" i="1"/>
  <c r="JR17" i="1"/>
  <c r="JQ17" i="1"/>
  <c r="JP17" i="1"/>
  <c r="JO17" i="1"/>
  <c r="JN17" i="1"/>
  <c r="JW16" i="1"/>
  <c r="JV16" i="1"/>
  <c r="JU16" i="1"/>
  <c r="JT16" i="1"/>
  <c r="JS16" i="1"/>
  <c r="JR16" i="1"/>
  <c r="JQ16" i="1"/>
  <c r="JP16" i="1"/>
  <c r="JO16" i="1"/>
  <c r="JN16" i="1"/>
  <c r="JW15" i="1"/>
  <c r="JV15" i="1"/>
  <c r="JU15" i="1"/>
  <c r="JT15" i="1"/>
  <c r="JS15" i="1"/>
  <c r="JR15" i="1"/>
  <c r="JQ15" i="1"/>
  <c r="JP15" i="1"/>
  <c r="JO15" i="1"/>
  <c r="JN15" i="1"/>
  <c r="JW13" i="1"/>
  <c r="JV13" i="1"/>
  <c r="JU13" i="1"/>
  <c r="JT13" i="1"/>
  <c r="JS13" i="1"/>
  <c r="JR13" i="1"/>
  <c r="JQ13" i="1"/>
  <c r="JP13" i="1"/>
  <c r="JN13" i="1"/>
  <c r="JW10" i="1"/>
  <c r="JV10" i="1"/>
  <c r="JU10" i="1"/>
  <c r="JT10" i="1"/>
  <c r="JS10" i="1"/>
  <c r="JR10" i="1"/>
  <c r="JQ10" i="1"/>
  <c r="JP10" i="1"/>
  <c r="JO10" i="1"/>
  <c r="JN10" i="1"/>
  <c r="JM70" i="1"/>
  <c r="JM69" i="1"/>
  <c r="JM68" i="1"/>
  <c r="JM67" i="1"/>
  <c r="JM66" i="1"/>
  <c r="JM64" i="1"/>
  <c r="JM63" i="1"/>
  <c r="JM62" i="1"/>
  <c r="JM61" i="1"/>
  <c r="JM60" i="1"/>
  <c r="JM59" i="1"/>
  <c r="JM58" i="1"/>
  <c r="JM57" i="1"/>
  <c r="JM53" i="1"/>
  <c r="JM48" i="1"/>
  <c r="JM45" i="1"/>
  <c r="JM42" i="1"/>
  <c r="JM32" i="1"/>
  <c r="JM30" i="1"/>
  <c r="JM29" i="1"/>
  <c r="JM28" i="1"/>
  <c r="JM27" i="1"/>
  <c r="JM26" i="1"/>
  <c r="JM25" i="1"/>
  <c r="JM24" i="1"/>
  <c r="JM23" i="1"/>
  <c r="JM17" i="1"/>
  <c r="JM16" i="1"/>
  <c r="JM15" i="1"/>
  <c r="JM13" i="1"/>
  <c r="JM10" i="1"/>
  <c r="AV64" i="1"/>
  <c r="AV63" i="1"/>
  <c r="AV62" i="1"/>
  <c r="AV60" i="1"/>
  <c r="AV58" i="1"/>
  <c r="AV54" i="1"/>
  <c r="AU52" i="1"/>
  <c r="JX52" i="1"/>
  <c r="AT52" i="1"/>
  <c r="AS52" i="1"/>
  <c r="AR52" i="1"/>
  <c r="JU52" i="1"/>
  <c r="AQ52" i="1"/>
  <c r="JT52" i="1"/>
  <c r="AP52" i="1"/>
  <c r="AO52" i="1"/>
  <c r="AN52" i="1"/>
  <c r="JQ52" i="1"/>
  <c r="AM52" i="1"/>
  <c r="JP52" i="1"/>
  <c r="AK52" i="1"/>
  <c r="JN52" i="1"/>
  <c r="AJ204" i="1"/>
  <c r="JR34" i="1"/>
  <c r="JQ34" i="1"/>
  <c r="JP34" i="1"/>
  <c r="JO34" i="1"/>
  <c r="JN34" i="1"/>
  <c r="AV28" i="1"/>
  <c r="AV27" i="1"/>
  <c r="AV26" i="1"/>
  <c r="AV25" i="1"/>
  <c r="AV24" i="1"/>
  <c r="AV23" i="1"/>
  <c r="AU22" i="1"/>
  <c r="AU49" i="1"/>
  <c r="AT22" i="1"/>
  <c r="JW22" i="1"/>
  <c r="AS22" i="1"/>
  <c r="AS49" i="1"/>
  <c r="JV49" i="1"/>
  <c r="AR22" i="1"/>
  <c r="JU22" i="1"/>
  <c r="AQ22" i="1"/>
  <c r="JT22" i="1"/>
  <c r="AP22" i="1"/>
  <c r="JS22" i="1"/>
  <c r="AO22" i="1"/>
  <c r="JR22" i="1"/>
  <c r="AN22" i="1"/>
  <c r="AM22" i="1"/>
  <c r="AM49" i="1"/>
  <c r="JP49" i="1"/>
  <c r="AL22" i="1"/>
  <c r="AK22" i="1"/>
  <c r="AK49" i="1"/>
  <c r="JN49" i="1"/>
  <c r="AJ22" i="1"/>
  <c r="AJ49" i="1"/>
  <c r="AJ19" i="1"/>
  <c r="JM19" i="1" s="1"/>
  <c r="AJ18" i="1"/>
  <c r="JM18" i="1" s="1"/>
  <c r="AV7" i="1"/>
  <c r="AV6" i="1"/>
  <c r="Y5" i="1"/>
  <c r="Y37" i="1"/>
  <c r="Y38" i="1"/>
  <c r="Y34" i="1"/>
  <c r="Y48" i="1"/>
  <c r="Y45" i="1"/>
  <c r="Y19" i="1"/>
  <c r="Y18" i="1"/>
  <c r="X48" i="1"/>
  <c r="X204" i="1"/>
  <c r="X45" i="1"/>
  <c r="X38" i="1"/>
  <c r="X37" i="1"/>
  <c r="X34" i="1"/>
  <c r="X19" i="1"/>
  <c r="X18" i="1"/>
  <c r="W34" i="1"/>
  <c r="W48" i="1"/>
  <c r="W45" i="1"/>
  <c r="W5" i="1"/>
  <c r="W38" i="1"/>
  <c r="W37" i="1"/>
  <c r="W19" i="1"/>
  <c r="W18" i="1"/>
  <c r="V38" i="1"/>
  <c r="V37" i="1"/>
  <c r="V48" i="1"/>
  <c r="V45" i="1"/>
  <c r="J58" i="22"/>
  <c r="K58" i="22"/>
  <c r="Y52" i="1"/>
  <c r="X52" i="1"/>
  <c r="W52" i="1"/>
  <c r="V52" i="1"/>
  <c r="V34" i="1"/>
  <c r="Y22" i="1"/>
  <c r="X22" i="1"/>
  <c r="W22" i="1"/>
  <c r="V22" i="1"/>
  <c r="V19" i="1"/>
  <c r="V18" i="1"/>
  <c r="L39" i="23"/>
  <c r="L40" i="23"/>
  <c r="J39" i="23"/>
  <c r="J40" i="23"/>
  <c r="I39" i="23"/>
  <c r="I40" i="23"/>
  <c r="D68" i="22"/>
  <c r="E68" i="22"/>
  <c r="G13" i="22"/>
  <c r="H13" i="22"/>
  <c r="G18" i="22"/>
  <c r="H18" i="22"/>
  <c r="G20" i="22"/>
  <c r="H20" i="22"/>
  <c r="G29" i="22"/>
  <c r="H29" i="22"/>
  <c r="G31" i="22"/>
  <c r="H31" i="22"/>
  <c r="G33" i="22"/>
  <c r="H33" i="22"/>
  <c r="G41" i="22"/>
  <c r="H41" i="22"/>
  <c r="C63" i="22"/>
  <c r="C64" i="22"/>
  <c r="C65" i="22"/>
  <c r="C66" i="22"/>
  <c r="C67" i="22"/>
  <c r="B63" i="22"/>
  <c r="B64" i="22"/>
  <c r="B65" i="22"/>
  <c r="B66" i="22"/>
  <c r="B67" i="22"/>
  <c r="JJ34" i="1"/>
  <c r="JJ19" i="1"/>
  <c r="JL18" i="1"/>
  <c r="JK18" i="1"/>
  <c r="JJ18" i="1"/>
  <c r="JI18" i="1"/>
  <c r="JH18" i="1"/>
  <c r="JG18" i="1"/>
  <c r="JF18" i="1"/>
  <c r="JE18" i="1"/>
  <c r="JD18" i="1"/>
  <c r="JC18" i="1"/>
  <c r="JB18" i="1"/>
  <c r="G58" i="22"/>
  <c r="H58" i="22"/>
  <c r="JL37" i="1"/>
  <c r="JL22" i="1"/>
  <c r="JK45" i="1"/>
  <c r="JK34" i="1"/>
  <c r="JK22" i="1"/>
  <c r="JK19" i="1"/>
  <c r="JJ45" i="1"/>
  <c r="JK52" i="1"/>
  <c r="JI52" i="1"/>
  <c r="JL62" i="1"/>
  <c r="JK62" i="1"/>
  <c r="JJ62" i="1"/>
  <c r="JI62" i="1"/>
  <c r="JH62" i="1"/>
  <c r="JG62" i="1"/>
  <c r="JF62" i="1"/>
  <c r="JE62" i="1"/>
  <c r="JD62" i="1"/>
  <c r="JB62" i="1"/>
  <c r="JJ22" i="1"/>
  <c r="JI49" i="1"/>
  <c r="JI34" i="1"/>
  <c r="JI22" i="1"/>
  <c r="JI19" i="1"/>
  <c r="JH58" i="1"/>
  <c r="JH48" i="1"/>
  <c r="JH45" i="1"/>
  <c r="JH34" i="1"/>
  <c r="JH22" i="1"/>
  <c r="JH19" i="1"/>
  <c r="JG54" i="1"/>
  <c r="JG57" i="1"/>
  <c r="JG58" i="1"/>
  <c r="JG45" i="1"/>
  <c r="JG34" i="1"/>
  <c r="JG22" i="1"/>
  <c r="JG19" i="1"/>
  <c r="JF34" i="1"/>
  <c r="JF37" i="1"/>
  <c r="JF22" i="1"/>
  <c r="JE45" i="1"/>
  <c r="JE54" i="1"/>
  <c r="JE57" i="1"/>
  <c r="JE58" i="1"/>
  <c r="JE22" i="1"/>
  <c r="JE19" i="1"/>
  <c r="JD49" i="1"/>
  <c r="JD45" i="1"/>
  <c r="JD54" i="1"/>
  <c r="JD53" i="1"/>
  <c r="JD61" i="1"/>
  <c r="JD60" i="1"/>
  <c r="JD58" i="1"/>
  <c r="JD22" i="1"/>
  <c r="JD19" i="1"/>
  <c r="JB45" i="1"/>
  <c r="JE13" i="1"/>
  <c r="JF13" i="1"/>
  <c r="JG13" i="1"/>
  <c r="JH13" i="1"/>
  <c r="JI13" i="1"/>
  <c r="JJ13" i="1"/>
  <c r="JK13" i="1"/>
  <c r="JL13" i="1"/>
  <c r="JE15" i="1"/>
  <c r="JF15" i="1"/>
  <c r="JG15" i="1"/>
  <c r="JH15" i="1"/>
  <c r="JI15" i="1"/>
  <c r="JJ15" i="1"/>
  <c r="JK15" i="1"/>
  <c r="JL15" i="1"/>
  <c r="JE16" i="1"/>
  <c r="JF16" i="1"/>
  <c r="JG16" i="1"/>
  <c r="JH16" i="1"/>
  <c r="JI16" i="1"/>
  <c r="JJ16" i="1"/>
  <c r="JK16" i="1"/>
  <c r="JL16" i="1"/>
  <c r="JE17" i="1"/>
  <c r="JF17" i="1"/>
  <c r="JG17" i="1"/>
  <c r="JH17" i="1"/>
  <c r="JI17" i="1"/>
  <c r="JJ17" i="1"/>
  <c r="JK17" i="1"/>
  <c r="JL17" i="1"/>
  <c r="JE23" i="1"/>
  <c r="JF23" i="1"/>
  <c r="JG23" i="1"/>
  <c r="JH23" i="1"/>
  <c r="JI23" i="1"/>
  <c r="JJ23" i="1"/>
  <c r="JK23" i="1"/>
  <c r="JL23" i="1"/>
  <c r="JE24" i="1"/>
  <c r="JF24" i="1"/>
  <c r="JG24" i="1"/>
  <c r="JH24" i="1"/>
  <c r="JI24" i="1"/>
  <c r="JJ24" i="1"/>
  <c r="JK24" i="1"/>
  <c r="JL24" i="1"/>
  <c r="JE25" i="1"/>
  <c r="JF25" i="1"/>
  <c r="JG25" i="1"/>
  <c r="JH25" i="1"/>
  <c r="JI25" i="1"/>
  <c r="JJ25" i="1"/>
  <c r="JK25" i="1"/>
  <c r="JL25" i="1"/>
  <c r="JE26" i="1"/>
  <c r="JF26" i="1"/>
  <c r="JG26" i="1"/>
  <c r="JH26" i="1"/>
  <c r="JI26" i="1"/>
  <c r="JJ26" i="1"/>
  <c r="JK26" i="1"/>
  <c r="JL26" i="1"/>
  <c r="JE27" i="1"/>
  <c r="JF27" i="1"/>
  <c r="JG27" i="1"/>
  <c r="JH27" i="1"/>
  <c r="JI27" i="1"/>
  <c r="JJ27" i="1"/>
  <c r="JK27" i="1"/>
  <c r="JL27" i="1"/>
  <c r="JE28" i="1"/>
  <c r="JF28" i="1"/>
  <c r="JG28" i="1"/>
  <c r="JH28" i="1"/>
  <c r="JI28" i="1"/>
  <c r="JJ28" i="1"/>
  <c r="JK28" i="1"/>
  <c r="JL28" i="1"/>
  <c r="JE29" i="1"/>
  <c r="JF29" i="1"/>
  <c r="JG29" i="1"/>
  <c r="JH29" i="1"/>
  <c r="JI29" i="1"/>
  <c r="JJ29" i="1"/>
  <c r="JK29" i="1"/>
  <c r="JL29" i="1"/>
  <c r="JE30" i="1"/>
  <c r="JF30" i="1"/>
  <c r="JG30" i="1"/>
  <c r="JH30" i="1"/>
  <c r="JI30" i="1"/>
  <c r="JJ30" i="1"/>
  <c r="JK30" i="1"/>
  <c r="JL30" i="1"/>
  <c r="JE32" i="1"/>
  <c r="JF32" i="1"/>
  <c r="JG32" i="1"/>
  <c r="JH32" i="1"/>
  <c r="JI32" i="1"/>
  <c r="JJ32" i="1"/>
  <c r="JK32" i="1"/>
  <c r="JL32" i="1"/>
  <c r="JE34" i="1"/>
  <c r="JK37" i="1"/>
  <c r="JE38" i="1"/>
  <c r="JF38" i="1"/>
  <c r="JG38" i="1"/>
  <c r="JH38" i="1"/>
  <c r="JI38" i="1"/>
  <c r="JJ38" i="1"/>
  <c r="JK38" i="1"/>
  <c r="JL38" i="1"/>
  <c r="JE42" i="1"/>
  <c r="JF42" i="1"/>
  <c r="JG42" i="1"/>
  <c r="JH42" i="1"/>
  <c r="JI42" i="1"/>
  <c r="JJ42" i="1"/>
  <c r="JK42" i="1"/>
  <c r="JL42" i="1"/>
  <c r="JF45" i="1"/>
  <c r="JI45" i="1"/>
  <c r="JL45" i="1"/>
  <c r="JF48" i="1"/>
  <c r="JK48" i="1"/>
  <c r="JJ52" i="1"/>
  <c r="JL52" i="1"/>
  <c r="JE53" i="1"/>
  <c r="JF53" i="1"/>
  <c r="JG53" i="1"/>
  <c r="JH53" i="1"/>
  <c r="JI53" i="1"/>
  <c r="JJ53" i="1"/>
  <c r="JK53" i="1"/>
  <c r="JL53" i="1"/>
  <c r="JF54" i="1"/>
  <c r="JI54" i="1"/>
  <c r="JJ54" i="1"/>
  <c r="JK54" i="1"/>
  <c r="JL54" i="1"/>
  <c r="JF57" i="1"/>
  <c r="JH57" i="1"/>
  <c r="JI57" i="1"/>
  <c r="JJ57" i="1"/>
  <c r="JK57" i="1"/>
  <c r="JL57" i="1"/>
  <c r="JF58" i="1"/>
  <c r="JI58" i="1"/>
  <c r="JJ58" i="1"/>
  <c r="JK58" i="1"/>
  <c r="JL58" i="1"/>
  <c r="JE59" i="1"/>
  <c r="JF59" i="1"/>
  <c r="JG59" i="1"/>
  <c r="JH59" i="1"/>
  <c r="JI59" i="1"/>
  <c r="JJ59" i="1"/>
  <c r="JK59" i="1"/>
  <c r="JL59" i="1"/>
  <c r="JE60" i="1"/>
  <c r="JF60" i="1"/>
  <c r="JG60" i="1"/>
  <c r="JH60" i="1"/>
  <c r="JI60" i="1"/>
  <c r="JJ60" i="1"/>
  <c r="JK60" i="1"/>
  <c r="JL60" i="1"/>
  <c r="JE61" i="1"/>
  <c r="JF61" i="1"/>
  <c r="JG61" i="1"/>
  <c r="JH61" i="1"/>
  <c r="JI61" i="1"/>
  <c r="JJ61" i="1"/>
  <c r="JK61" i="1"/>
  <c r="JL61" i="1"/>
  <c r="JE63" i="1"/>
  <c r="JF63" i="1"/>
  <c r="JG63" i="1"/>
  <c r="JH63" i="1"/>
  <c r="JI63" i="1"/>
  <c r="JJ63" i="1"/>
  <c r="JK63" i="1"/>
  <c r="JL63" i="1"/>
  <c r="JE64" i="1"/>
  <c r="JF64" i="1"/>
  <c r="JG64" i="1"/>
  <c r="JH64" i="1"/>
  <c r="JI64" i="1"/>
  <c r="JK64" i="1"/>
  <c r="JL64" i="1"/>
  <c r="JE66" i="1"/>
  <c r="JF66" i="1"/>
  <c r="JG66" i="1"/>
  <c r="JH66" i="1"/>
  <c r="JI66" i="1"/>
  <c r="JJ66" i="1"/>
  <c r="JK66" i="1"/>
  <c r="JL66" i="1"/>
  <c r="JE67" i="1"/>
  <c r="JF67" i="1"/>
  <c r="JG67" i="1"/>
  <c r="JH67" i="1"/>
  <c r="JI67" i="1"/>
  <c r="JJ67" i="1"/>
  <c r="JK67" i="1"/>
  <c r="JL67" i="1"/>
  <c r="JE68" i="1"/>
  <c r="JF68" i="1"/>
  <c r="JG68" i="1"/>
  <c r="JH68" i="1"/>
  <c r="JI68" i="1"/>
  <c r="JJ68" i="1"/>
  <c r="JK68" i="1"/>
  <c r="JL68" i="1"/>
  <c r="JE69" i="1"/>
  <c r="JF69" i="1"/>
  <c r="JG69" i="1"/>
  <c r="JH69" i="1"/>
  <c r="JI69" i="1"/>
  <c r="JJ69" i="1"/>
  <c r="JK69" i="1"/>
  <c r="JL69" i="1"/>
  <c r="JE70" i="1"/>
  <c r="JF70" i="1"/>
  <c r="JG70" i="1"/>
  <c r="JH70" i="1"/>
  <c r="JI70" i="1"/>
  <c r="JJ70" i="1"/>
  <c r="JK70" i="1"/>
  <c r="JL70" i="1"/>
  <c r="JD13" i="1"/>
  <c r="JD15" i="1"/>
  <c r="JD16" i="1"/>
  <c r="JD17" i="1"/>
  <c r="JD23" i="1"/>
  <c r="JD24" i="1"/>
  <c r="JD25" i="1"/>
  <c r="JD26" i="1"/>
  <c r="JD27" i="1"/>
  <c r="JD28" i="1"/>
  <c r="JD29" i="1"/>
  <c r="JD30" i="1"/>
  <c r="JD32" i="1"/>
  <c r="JD34" i="1"/>
  <c r="JD37" i="1"/>
  <c r="JD38" i="1"/>
  <c r="JD42" i="1"/>
  <c r="JD57" i="1"/>
  <c r="JD59" i="1"/>
  <c r="JD63" i="1"/>
  <c r="JD64" i="1"/>
  <c r="JD66" i="1"/>
  <c r="JD67" i="1"/>
  <c r="JD68" i="1"/>
  <c r="JD69" i="1"/>
  <c r="JD70" i="1"/>
  <c r="JC19" i="1"/>
  <c r="JC22" i="1"/>
  <c r="JC34" i="1"/>
  <c r="JC46" i="1"/>
  <c r="JC50" i="1"/>
  <c r="JC49" i="1"/>
  <c r="JC54" i="1"/>
  <c r="JC59" i="1"/>
  <c r="JC60" i="1"/>
  <c r="JC57" i="1"/>
  <c r="JC58" i="1"/>
  <c r="JC13" i="1"/>
  <c r="JC15" i="1"/>
  <c r="JC16" i="1"/>
  <c r="JC17" i="1"/>
  <c r="JC23" i="1"/>
  <c r="JC24" i="1"/>
  <c r="JC25" i="1"/>
  <c r="JC26" i="1"/>
  <c r="JC27" i="1"/>
  <c r="JC28" i="1"/>
  <c r="JC29" i="1"/>
  <c r="JC30" i="1"/>
  <c r="JC32" i="1"/>
  <c r="JC37" i="1"/>
  <c r="JC38" i="1"/>
  <c r="JC42" i="1"/>
  <c r="JC45" i="1"/>
  <c r="JC48" i="1"/>
  <c r="JC63" i="1"/>
  <c r="JC64" i="1"/>
  <c r="JC66" i="1"/>
  <c r="JC67" i="1"/>
  <c r="JC68" i="1"/>
  <c r="JC69" i="1"/>
  <c r="JC70" i="1"/>
  <c r="JB70" i="1"/>
  <c r="JB69" i="1"/>
  <c r="JB68" i="1"/>
  <c r="JB67" i="1"/>
  <c r="JB66" i="1"/>
  <c r="JB64" i="1"/>
  <c r="JB63" i="1"/>
  <c r="JB61" i="1"/>
  <c r="JB60" i="1"/>
  <c r="JB59" i="1"/>
  <c r="JB58" i="1"/>
  <c r="JB57" i="1"/>
  <c r="JB54" i="1"/>
  <c r="JB53" i="1"/>
  <c r="JB48" i="1"/>
  <c r="JB42" i="1"/>
  <c r="JB38" i="1"/>
  <c r="JB32" i="1"/>
  <c r="JB30" i="1"/>
  <c r="JB29" i="1"/>
  <c r="JB28" i="1"/>
  <c r="JB27" i="1"/>
  <c r="JB26" i="1"/>
  <c r="JB25" i="1"/>
  <c r="JB24" i="1"/>
  <c r="JB23" i="1"/>
  <c r="JB17" i="1"/>
  <c r="JB16" i="1"/>
  <c r="JB15" i="1"/>
  <c r="JB13" i="1"/>
  <c r="JB37" i="1"/>
  <c r="JB52" i="1"/>
  <c r="JB49" i="1"/>
  <c r="JB22" i="1"/>
  <c r="JB19" i="1"/>
  <c r="JB34" i="1"/>
  <c r="G2" i="1"/>
  <c r="G3" i="1" s="1"/>
  <c r="JF49" i="1"/>
  <c r="JF50" i="1"/>
  <c r="JH49" i="1"/>
  <c r="JC62" i="1"/>
  <c r="JL34" i="1"/>
  <c r="JD46" i="1"/>
  <c r="JI50" i="1"/>
  <c r="JK49" i="1"/>
  <c r="JE52" i="1"/>
  <c r="JC61" i="1"/>
  <c r="JD52" i="1"/>
  <c r="JF52" i="1"/>
  <c r="JH52" i="1"/>
  <c r="JJ40" i="1"/>
  <c r="JE49" i="1"/>
  <c r="JJ49" i="1"/>
  <c r="JJ50" i="1"/>
  <c r="JG39" i="1"/>
  <c r="JG52" i="1"/>
  <c r="JG49" i="1"/>
  <c r="JL48" i="1"/>
  <c r="JG48" i="1"/>
  <c r="JE48" i="1"/>
  <c r="JJ37" i="1"/>
  <c r="JG37" i="1"/>
  <c r="JB50" i="1"/>
  <c r="JH54" i="1"/>
  <c r="D36" i="22"/>
  <c r="E36" i="22"/>
  <c r="JT34" i="1"/>
  <c r="JV34" i="1"/>
  <c r="JW34" i="1"/>
  <c r="JJ48" i="1"/>
  <c r="JE37" i="1"/>
  <c r="JL50" i="1"/>
  <c r="JH11" i="1"/>
  <c r="JH37" i="1"/>
  <c r="JL11" i="1"/>
  <c r="JL39" i="1"/>
  <c r="JF11" i="1"/>
  <c r="JF46" i="1"/>
  <c r="JC40" i="1"/>
  <c r="AJ50" i="1"/>
  <c r="JM50" i="1"/>
  <c r="JH40" i="1"/>
  <c r="JH39" i="1"/>
  <c r="JH46" i="1"/>
  <c r="JG46" i="1"/>
  <c r="JG40" i="1"/>
  <c r="JJ39" i="1"/>
  <c r="JJ46" i="1"/>
  <c r="JM34" i="1"/>
  <c r="AJ52" i="1"/>
  <c r="JM52" i="1"/>
  <c r="AV13" i="1"/>
  <c r="F34" i="23"/>
  <c r="F35" i="23"/>
  <c r="H34" i="23"/>
  <c r="H35" i="23"/>
  <c r="JC47" i="1"/>
  <c r="J34" i="23"/>
  <c r="I44" i="23"/>
  <c r="I45" i="23"/>
  <c r="JF40" i="1"/>
  <c r="JD50" i="1"/>
  <c r="JG50" i="1"/>
  <c r="JE50" i="1"/>
  <c r="JL49" i="1"/>
  <c r="JB47" i="1"/>
  <c r="JD48" i="1"/>
  <c r="JJ64" i="1"/>
  <c r="JF39" i="1"/>
  <c r="D21" i="22"/>
  <c r="E21" i="22"/>
  <c r="JL40" i="1"/>
  <c r="JL46" i="1"/>
  <c r="JE11" i="1"/>
  <c r="I49" i="23"/>
  <c r="I50" i="23"/>
  <c r="JD39" i="1"/>
  <c r="JC53" i="1"/>
  <c r="JD40" i="1"/>
  <c r="JK50" i="1"/>
  <c r="JH50" i="1"/>
  <c r="JC39" i="1"/>
  <c r="JI48" i="1"/>
  <c r="JI37" i="1"/>
  <c r="JK11" i="1"/>
  <c r="E34" i="23"/>
  <c r="E35" i="23"/>
  <c r="K34" i="23"/>
  <c r="M34" i="23"/>
  <c r="BJ48" i="1"/>
  <c r="BJ57" i="1"/>
  <c r="BJ61" i="1"/>
  <c r="JK39" i="1"/>
  <c r="JK46" i="1"/>
  <c r="JK40" i="1"/>
  <c r="JC52" i="1"/>
  <c r="JB11" i="1"/>
  <c r="C49" i="23"/>
  <c r="JI39" i="1"/>
  <c r="JI46" i="1"/>
  <c r="JI40" i="1"/>
  <c r="JB39" i="1"/>
  <c r="JB46" i="1"/>
  <c r="JB40" i="1"/>
  <c r="N49" i="23"/>
  <c r="N50" i="23"/>
  <c r="L34" i="23"/>
  <c r="G11" i="22"/>
  <c r="H11" i="22"/>
  <c r="J41" i="22"/>
  <c r="K41" i="22"/>
  <c r="G16" i="22"/>
  <c r="H16" i="22"/>
  <c r="J28" i="22"/>
  <c r="K28" i="22"/>
  <c r="J30" i="22"/>
  <c r="K30" i="22"/>
  <c r="J32" i="22"/>
  <c r="K32" i="22"/>
  <c r="J34" i="22"/>
  <c r="K34" i="22"/>
  <c r="J20" i="22"/>
  <c r="K20" i="22"/>
  <c r="J13" i="22"/>
  <c r="K13" i="22"/>
  <c r="G49" i="22"/>
  <c r="H49" i="22"/>
  <c r="G9" i="22"/>
  <c r="H9" i="22"/>
  <c r="D41" i="22"/>
  <c r="E41" i="22"/>
  <c r="H39" i="23"/>
  <c r="H40" i="23"/>
  <c r="D18" i="22"/>
  <c r="E18" i="22"/>
  <c r="D9" i="22"/>
  <c r="E9" i="22"/>
  <c r="EH45" i="1"/>
  <c r="EF45" i="1"/>
  <c r="BJ45" i="1"/>
  <c r="JZ45" i="1"/>
  <c r="D20" i="22"/>
  <c r="E20" i="22"/>
  <c r="J19" i="22"/>
  <c r="K19" i="22"/>
  <c r="J14" i="22"/>
  <c r="K14" i="22"/>
  <c r="J49" i="22"/>
  <c r="K49" i="22"/>
  <c r="G49" i="23"/>
  <c r="G50" i="23"/>
  <c r="J8" i="22"/>
  <c r="K8" i="22"/>
  <c r="JL19" i="1"/>
  <c r="JO53" i="1"/>
  <c r="AV53" i="1"/>
  <c r="G32" i="22"/>
  <c r="H32" i="22"/>
  <c r="D32" i="22"/>
  <c r="E32" i="22"/>
  <c r="G30" i="22"/>
  <c r="H30" i="22"/>
  <c r="D30" i="22"/>
  <c r="E30" i="22"/>
  <c r="G28" i="22"/>
  <c r="H28" i="22"/>
  <c r="D28" i="22"/>
  <c r="E28" i="22"/>
  <c r="G19" i="22"/>
  <c r="H19" i="22"/>
  <c r="D19" i="22"/>
  <c r="E19" i="22"/>
  <c r="J33" i="22"/>
  <c r="K33" i="22"/>
  <c r="J42" i="22"/>
  <c r="K42" i="22"/>
  <c r="D11" i="22"/>
  <c r="E11" i="22"/>
  <c r="J39" i="22"/>
  <c r="K39" i="22"/>
  <c r="JB14" i="1"/>
  <c r="J11" i="22"/>
  <c r="K11" i="22"/>
  <c r="G42" i="22"/>
  <c r="H42" i="22"/>
  <c r="D40" i="22"/>
  <c r="E40" i="22"/>
  <c r="G40" i="22"/>
  <c r="H40" i="22"/>
  <c r="G34" i="22"/>
  <c r="H34" i="22"/>
  <c r="J18" i="22"/>
  <c r="K18" i="22"/>
  <c r="G14" i="22"/>
  <c r="H14" i="22"/>
  <c r="J15" i="22"/>
  <c r="K15" i="22"/>
  <c r="G15" i="22"/>
  <c r="H15" i="22"/>
  <c r="F49" i="23"/>
  <c r="F50" i="23"/>
  <c r="JF19" i="1"/>
  <c r="C34" i="23"/>
  <c r="C35" i="23"/>
  <c r="JC11" i="1"/>
  <c r="D49" i="23"/>
  <c r="D50" i="23"/>
  <c r="JE40" i="1"/>
  <c r="JE46" i="1"/>
  <c r="JE39" i="1"/>
  <c r="K49" i="23"/>
  <c r="K50" i="23"/>
  <c r="JJ11" i="1"/>
  <c r="E49" i="23"/>
  <c r="E50" i="23"/>
  <c r="JD11" i="1"/>
  <c r="JG11" i="1"/>
  <c r="J49" i="23"/>
  <c r="J50" i="23"/>
  <c r="JI11" i="1"/>
  <c r="D22" i="22"/>
  <c r="E22" i="22"/>
  <c r="D12" i="22"/>
  <c r="E12" i="22"/>
  <c r="G39" i="22"/>
  <c r="H39" i="22"/>
  <c r="D31" i="22"/>
  <c r="E31" i="22"/>
  <c r="J16" i="22"/>
  <c r="K16" i="22"/>
  <c r="EE16" i="1"/>
  <c r="EE17" i="1"/>
  <c r="EI27" i="1"/>
  <c r="EI29" i="1"/>
  <c r="IQ29" i="1"/>
  <c r="EE61" i="1"/>
  <c r="EE63" i="1"/>
  <c r="EG70" i="1"/>
  <c r="EE13" i="1"/>
  <c r="EE15" i="1"/>
  <c r="EG16" i="1"/>
  <c r="EG17" i="1"/>
  <c r="EE42" i="1"/>
  <c r="EE45" i="1"/>
  <c r="EI48" i="1"/>
  <c r="EG54" i="1"/>
  <c r="EG57" i="1"/>
  <c r="EG58" i="1"/>
  <c r="EG59" i="1"/>
  <c r="EG60" i="1"/>
  <c r="EG61" i="1"/>
  <c r="EG63" i="1"/>
  <c r="EG64" i="1"/>
  <c r="EG66" i="1"/>
  <c r="EI67" i="1"/>
  <c r="IQ67" i="1"/>
  <c r="EI68" i="1"/>
  <c r="IQ68" i="1"/>
  <c r="EI69" i="1"/>
  <c r="IQ69" i="1"/>
  <c r="EI70" i="1"/>
  <c r="EF38" i="1"/>
  <c r="EI28" i="1"/>
  <c r="IQ28" i="1"/>
  <c r="EG48" i="1"/>
  <c r="EE64" i="1"/>
  <c r="EE66" i="1"/>
  <c r="EG68" i="1"/>
  <c r="EG13" i="1"/>
  <c r="EG15" i="1"/>
  <c r="EI16" i="1"/>
  <c r="EI17" i="1"/>
  <c r="IQ17" i="1"/>
  <c r="EE23" i="1"/>
  <c r="EE24" i="1"/>
  <c r="EE25" i="1"/>
  <c r="EE26" i="1"/>
  <c r="EE27" i="1"/>
  <c r="EE28" i="1"/>
  <c r="EE29" i="1"/>
  <c r="EE30" i="1"/>
  <c r="EE32" i="1"/>
  <c r="EI34" i="1"/>
  <c r="EG42" i="1"/>
  <c r="EI53" i="1"/>
  <c r="IQ53" i="1"/>
  <c r="EI54" i="1"/>
  <c r="EI57" i="1"/>
  <c r="IQ57" i="1"/>
  <c r="EI58" i="1"/>
  <c r="IQ58" i="1"/>
  <c r="EI59" i="1"/>
  <c r="IQ59" i="1"/>
  <c r="EI60" i="1"/>
  <c r="IQ60" i="1"/>
  <c r="EI61" i="1"/>
  <c r="IQ61" i="1"/>
  <c r="EI62" i="1"/>
  <c r="EI63" i="1"/>
  <c r="EI64" i="1"/>
  <c r="EI66" i="1"/>
  <c r="IQ66" i="1"/>
  <c r="EI45" i="1"/>
  <c r="EI23" i="1"/>
  <c r="EI24" i="1"/>
  <c r="EI25" i="1"/>
  <c r="EI26" i="1"/>
  <c r="IQ26" i="1"/>
  <c r="EI30" i="1"/>
  <c r="EI32" i="1"/>
  <c r="IQ32" i="1"/>
  <c r="EE53" i="1"/>
  <c r="EE57" i="1"/>
  <c r="EE58" i="1"/>
  <c r="EE59" i="1"/>
  <c r="EE60" i="1"/>
  <c r="EE62" i="1"/>
  <c r="EE34" i="1"/>
  <c r="EG45" i="1"/>
  <c r="EI13" i="1"/>
  <c r="EI15" i="1"/>
  <c r="EG23" i="1"/>
  <c r="EG24" i="1"/>
  <c r="EG25" i="1"/>
  <c r="EG26" i="1"/>
  <c r="EG27" i="1"/>
  <c r="EG28" i="1"/>
  <c r="EG29" i="1"/>
  <c r="EG30" i="1"/>
  <c r="EG32" i="1"/>
  <c r="EI42" i="1"/>
  <c r="EE48" i="1"/>
  <c r="EE68" i="1"/>
  <c r="EE70" i="1"/>
  <c r="X11" i="1"/>
  <c r="E39" i="23"/>
  <c r="E40" i="23"/>
  <c r="KV35" i="1"/>
  <c r="AP204" i="1"/>
  <c r="EP5" i="1"/>
  <c r="EQ5" i="1" s="1"/>
  <c r="T46" i="22"/>
  <c r="U46" i="22"/>
  <c r="W50" i="1"/>
  <c r="EF5" i="1"/>
  <c r="EG5" i="1" s="1"/>
  <c r="Q13" i="22"/>
  <c r="R13" i="22"/>
  <c r="Q39" i="22"/>
  <c r="R39" i="22"/>
  <c r="Q16" i="22"/>
  <c r="R16" i="22"/>
  <c r="Q31" i="22"/>
  <c r="R31" i="22"/>
  <c r="Q40" i="22"/>
  <c r="R40" i="22"/>
  <c r="Q9" i="22"/>
  <c r="R9" i="22"/>
  <c r="Q18" i="22"/>
  <c r="R18" i="22"/>
  <c r="Q32" i="22"/>
  <c r="R32" i="22"/>
  <c r="Q41" i="22"/>
  <c r="R41" i="22"/>
  <c r="Q29" i="22"/>
  <c r="R29" i="22"/>
  <c r="Q11" i="22"/>
  <c r="R11" i="22"/>
  <c r="Q28" i="22"/>
  <c r="R28" i="22"/>
  <c r="Q33" i="22"/>
  <c r="R33" i="22"/>
  <c r="Q42" i="22"/>
  <c r="R42" i="22"/>
  <c r="U43" i="22"/>
  <c r="FZ35" i="1"/>
  <c r="GA35" i="1"/>
  <c r="FZ20" i="1"/>
  <c r="GA20" i="1"/>
  <c r="KV20" i="1"/>
  <c r="FZ43" i="1"/>
  <c r="GA43" i="1"/>
  <c r="KV43" i="1"/>
  <c r="FX20" i="1"/>
  <c r="FY20" i="1"/>
  <c r="KU20" i="1"/>
  <c r="KU43" i="1"/>
  <c r="FX43" i="1"/>
  <c r="FY43" i="1"/>
  <c r="KU35" i="1"/>
  <c r="V11" i="1"/>
  <c r="V4" i="1"/>
  <c r="X50" i="1"/>
  <c r="EL5" i="1"/>
  <c r="EM5" i="1" s="1"/>
  <c r="AL11" i="1"/>
  <c r="JO11" i="1"/>
  <c r="ER37" i="1"/>
  <c r="ES37" i="1"/>
  <c r="AR39" i="1"/>
  <c r="AR46" i="1"/>
  <c r="JU46" i="1"/>
  <c r="EJ38" i="1"/>
  <c r="EK38" i="1"/>
  <c r="IR38" i="1"/>
  <c r="IS38" i="1"/>
  <c r="ET5" i="1"/>
  <c r="EU5" i="1" s="1"/>
  <c r="AQ39" i="1"/>
  <c r="JT39" i="1"/>
  <c r="AP11" i="1"/>
  <c r="JS11" i="1"/>
  <c r="EV5" i="1"/>
  <c r="EW5" i="1" s="1"/>
  <c r="AU11" i="1"/>
  <c r="AU43" i="1"/>
  <c r="JX43" i="1"/>
  <c r="EH37" i="1"/>
  <c r="KA22" i="1"/>
  <c r="KH39" i="1"/>
  <c r="BG40" i="1"/>
  <c r="KH40" i="1" s="1"/>
  <c r="KH11" i="1"/>
  <c r="EX39" i="1"/>
  <c r="EY39" i="1"/>
  <c r="EX49" i="1"/>
  <c r="EY49" i="1"/>
  <c r="EF50" i="1"/>
  <c r="BG46" i="1"/>
  <c r="KH46" i="1"/>
  <c r="EF52" i="1"/>
  <c r="ED52" i="1"/>
  <c r="JX38" i="1"/>
  <c r="AV45" i="1"/>
  <c r="Y39" i="1"/>
  <c r="Y40" i="1"/>
  <c r="EV37" i="1"/>
  <c r="EW37" i="1"/>
  <c r="JY38" i="1"/>
  <c r="AU39" i="1"/>
  <c r="AU40" i="1"/>
  <c r="JX40" i="1" s="1"/>
  <c r="J28" i="23"/>
  <c r="J29" i="23" s="1"/>
  <c r="AV5" i="1"/>
  <c r="AV40" i="1" s="1"/>
  <c r="EL38" i="1"/>
  <c r="EM38" i="1"/>
  <c r="ET37" i="1"/>
  <c r="EU37" i="1"/>
  <c r="ET52" i="1"/>
  <c r="EU52" i="1"/>
  <c r="EL37" i="1"/>
  <c r="EM37" i="1"/>
  <c r="AK11" i="1"/>
  <c r="D34" i="23"/>
  <c r="AV48" i="1"/>
  <c r="AV50" i="1"/>
  <c r="Y50" i="1"/>
  <c r="ED49" i="1"/>
  <c r="AS39" i="1"/>
  <c r="AS40" i="1"/>
  <c r="JV40" i="1" s="1"/>
  <c r="KC22" i="1"/>
  <c r="KC37" i="1"/>
  <c r="KG52" i="1"/>
  <c r="EL22" i="1"/>
  <c r="EM22" i="1"/>
  <c r="EV52" i="1"/>
  <c r="EW52" i="1"/>
  <c r="ET38" i="1"/>
  <c r="EU38" i="1"/>
  <c r="KN49" i="1"/>
  <c r="JT48" i="1"/>
  <c r="AO11" i="1"/>
  <c r="JR11" i="1"/>
  <c r="AP50" i="1"/>
  <c r="JS50" i="1"/>
  <c r="AM39" i="1"/>
  <c r="AM46" i="1"/>
  <c r="JP46" i="1"/>
  <c r="JS45" i="1"/>
  <c r="AO50" i="1"/>
  <c r="JR50" i="1"/>
  <c r="BA11" i="1"/>
  <c r="BA35" i="1"/>
  <c r="KB35" i="1"/>
  <c r="EH49" i="1"/>
  <c r="AY11" i="1"/>
  <c r="ET49" i="1"/>
  <c r="EU49" i="1"/>
  <c r="EN52" i="1"/>
  <c r="EO52" i="1"/>
  <c r="JM22" i="1"/>
  <c r="KH49" i="1"/>
  <c r="EP22" i="1"/>
  <c r="EQ22" i="1"/>
  <c r="JR52" i="1"/>
  <c r="KG49" i="1"/>
  <c r="EH22" i="1"/>
  <c r="JZ49" i="1"/>
  <c r="KT20" i="1"/>
  <c r="KG22" i="1"/>
  <c r="D66" i="22"/>
  <c r="E66" i="22"/>
  <c r="KD52" i="1"/>
  <c r="EV22" i="1"/>
  <c r="EW22" i="1"/>
  <c r="EJ49" i="1"/>
  <c r="EK49" i="1"/>
  <c r="IR49" i="1"/>
  <c r="IS49" i="1"/>
  <c r="ED50" i="1"/>
  <c r="EH50" i="1"/>
  <c r="KT35" i="1"/>
  <c r="KT49" i="1"/>
  <c r="FV49" i="1"/>
  <c r="FW49" i="1"/>
  <c r="ER22" i="1"/>
  <c r="ES22" i="1"/>
  <c r="JP22" i="1"/>
  <c r="JY22" i="1"/>
  <c r="EV49" i="1"/>
  <c r="EW49" i="1"/>
  <c r="EL50" i="1"/>
  <c r="EM50" i="1"/>
  <c r="KT43" i="1"/>
  <c r="FV43" i="1"/>
  <c r="FW43" i="1"/>
  <c r="EL49" i="1"/>
  <c r="EM49" i="1"/>
  <c r="BG4" i="1"/>
  <c r="FV35" i="1"/>
  <c r="FW35" i="1"/>
  <c r="FV20" i="1"/>
  <c r="FW20" i="1"/>
  <c r="K22" i="23"/>
  <c r="BT43" i="1"/>
  <c r="BT20" i="1"/>
  <c r="KS20" i="1"/>
  <c r="BT35" i="1"/>
  <c r="BS35" i="1"/>
  <c r="BS43" i="1"/>
  <c r="BS20" i="1"/>
  <c r="BD49" i="1"/>
  <c r="ER49" i="1"/>
  <c r="ES49" i="1"/>
  <c r="BJ22" i="1"/>
  <c r="EN49" i="1"/>
  <c r="EO49" i="1"/>
  <c r="ED22" i="1"/>
  <c r="AK39" i="1"/>
  <c r="JN39" i="1"/>
  <c r="AJ11" i="1"/>
  <c r="AJ20" i="1"/>
  <c r="JV52" i="1"/>
  <c r="JX22" i="1"/>
  <c r="AQ11" i="1"/>
  <c r="JT11" i="1"/>
  <c r="AV37" i="1"/>
  <c r="JR37" i="1"/>
  <c r="JV37" i="1"/>
  <c r="JQ38" i="1"/>
  <c r="JR45" i="1"/>
  <c r="JX37" i="1"/>
  <c r="M64" i="22"/>
  <c r="N64" i="22"/>
  <c r="BJ5" i="1"/>
  <c r="BJ40" i="1" s="1"/>
  <c r="KA50" i="1"/>
  <c r="KB22" i="1"/>
  <c r="KF22" i="1"/>
  <c r="EJ22" i="1"/>
  <c r="EK22" i="1"/>
  <c r="IR22" i="1"/>
  <c r="IS22" i="1"/>
  <c r="ED37" i="1"/>
  <c r="EN50" i="1"/>
  <c r="EO50" i="1"/>
  <c r="EH38" i="1"/>
  <c r="KE50" i="1"/>
  <c r="EP38" i="1"/>
  <c r="EQ38" i="1"/>
  <c r="V50" i="1"/>
  <c r="V49" i="1"/>
  <c r="EP37" i="1"/>
  <c r="EQ37" i="1"/>
  <c r="ET22" i="1"/>
  <c r="EU22" i="1"/>
  <c r="KE52" i="1"/>
  <c r="AO39" i="1"/>
  <c r="JR39" i="1"/>
  <c r="JX49" i="1"/>
  <c r="W49" i="1"/>
  <c r="X49" i="1"/>
  <c r="Y49" i="1"/>
  <c r="JO38" i="1"/>
  <c r="JY50" i="1"/>
  <c r="KD22" i="1"/>
  <c r="KE37" i="1"/>
  <c r="KG38" i="1"/>
  <c r="EH5" i="1"/>
  <c r="ER5" i="1"/>
  <c r="ES5" i="1" s="1"/>
  <c r="EN22" i="1"/>
  <c r="EO22" i="1"/>
  <c r="BF11" i="1"/>
  <c r="K27" i="23"/>
  <c r="EL52" i="1"/>
  <c r="EM52" i="1"/>
  <c r="KR11" i="1"/>
  <c r="J22" i="23"/>
  <c r="M63" i="22"/>
  <c r="N63" i="22"/>
  <c r="M67" i="22"/>
  <c r="N67" i="22"/>
  <c r="J63" i="22"/>
  <c r="K63" i="22"/>
  <c r="G65" i="22"/>
  <c r="H65" i="22"/>
  <c r="BR43" i="1"/>
  <c r="BR20" i="1"/>
  <c r="BR35" i="1"/>
  <c r="I22" i="23"/>
  <c r="G64" i="22"/>
  <c r="H64" i="22"/>
  <c r="P24" i="22"/>
  <c r="Q24" i="22"/>
  <c r="P60" i="22"/>
  <c r="Q60" i="22"/>
  <c r="D63" i="22"/>
  <c r="E63" i="22"/>
  <c r="J64" i="22"/>
  <c r="K64" i="22"/>
  <c r="J68" i="22"/>
  <c r="K68" i="22"/>
  <c r="P12" i="22"/>
  <c r="Q12" i="22"/>
  <c r="BQ35" i="1"/>
  <c r="BQ20" i="1"/>
  <c r="BQ43" i="1"/>
  <c r="H22" i="23"/>
  <c r="M68" i="22"/>
  <c r="N68" i="22"/>
  <c r="D67" i="22"/>
  <c r="E67" i="22"/>
  <c r="G67" i="22"/>
  <c r="H67" i="22"/>
  <c r="P23" i="22"/>
  <c r="Q23" i="22"/>
  <c r="P27" i="22"/>
  <c r="Q27" i="22"/>
  <c r="P52" i="22"/>
  <c r="Q52" i="22"/>
  <c r="P58" i="22"/>
  <c r="Q58" i="22"/>
  <c r="P62" i="22"/>
  <c r="Q62" i="22"/>
  <c r="P59" i="22"/>
  <c r="Q59" i="22"/>
  <c r="P8" i="22"/>
  <c r="P14" i="22"/>
  <c r="P19" i="22"/>
  <c r="P30" i="22"/>
  <c r="P34" i="22"/>
  <c r="M65" i="22"/>
  <c r="N65" i="22"/>
  <c r="P65" i="22"/>
  <c r="Q65" i="22"/>
  <c r="P25" i="22"/>
  <c r="Q25" i="22"/>
  <c r="P56" i="22"/>
  <c r="Q56" i="22"/>
  <c r="P55" i="22"/>
  <c r="Q55" i="22"/>
  <c r="P15" i="22"/>
  <c r="P20" i="22"/>
  <c r="P49" i="22"/>
  <c r="Q49" i="22"/>
  <c r="P22" i="22"/>
  <c r="Q22" i="22"/>
  <c r="P26" i="22"/>
  <c r="Q26" i="22"/>
  <c r="P51" i="22"/>
  <c r="Q51" i="22"/>
  <c r="P57" i="22"/>
  <c r="Q57" i="22"/>
  <c r="P61" i="22"/>
  <c r="Q61" i="22"/>
  <c r="KO52" i="1"/>
  <c r="BP35" i="1"/>
  <c r="KO35" i="1"/>
  <c r="BP20" i="1"/>
  <c r="G22" i="23"/>
  <c r="KO22" i="1"/>
  <c r="KN52" i="1"/>
  <c r="FH52" i="1"/>
  <c r="FI52" i="1"/>
  <c r="BO43" i="1"/>
  <c r="KN43" i="1"/>
  <c r="BO20" i="1"/>
  <c r="BO35" i="1"/>
  <c r="FH11" i="1"/>
  <c r="FI11" i="1"/>
  <c r="F22" i="23"/>
  <c r="KN22" i="1"/>
  <c r="FH22" i="1"/>
  <c r="FI22" i="1"/>
  <c r="BN43" i="1"/>
  <c r="BN20" i="1"/>
  <c r="BN35" i="1"/>
  <c r="KM35" i="1"/>
  <c r="KM39" i="1"/>
  <c r="KM52" i="1"/>
  <c r="E22" i="23"/>
  <c r="KM22" i="1"/>
  <c r="BM43" i="1"/>
  <c r="KL43" i="1"/>
  <c r="BM20" i="1"/>
  <c r="BM35" i="1"/>
  <c r="D22" i="23"/>
  <c r="KK52" i="1"/>
  <c r="P5" i="22"/>
  <c r="P6" i="22"/>
  <c r="G63" i="22"/>
  <c r="H63" i="22"/>
  <c r="G66" i="22"/>
  <c r="H66" i="22"/>
  <c r="J66" i="22"/>
  <c r="K66" i="22"/>
  <c r="N27" i="23"/>
  <c r="BI43" i="1"/>
  <c r="BI20" i="1"/>
  <c r="BI35" i="1"/>
  <c r="BJ50" i="1"/>
  <c r="BI4" i="1"/>
  <c r="KJ11" i="1"/>
  <c r="BH4" i="1"/>
  <c r="KI11" i="1"/>
  <c r="KI46" i="1"/>
  <c r="EZ11" i="1"/>
  <c r="FA11" i="1"/>
  <c r="AV57" i="1"/>
  <c r="JO57" i="1"/>
  <c r="AV59" i="1"/>
  <c r="M66" i="22"/>
  <c r="N66" i="22"/>
  <c r="AV22" i="1"/>
  <c r="Y11" i="1"/>
  <c r="Y35" i="1"/>
  <c r="AM11" i="1"/>
  <c r="AR11" i="1"/>
  <c r="JQ37" i="1"/>
  <c r="JU48" i="1"/>
  <c r="AT39" i="1"/>
  <c r="AT40" i="1"/>
  <c r="JW40" i="1" s="1"/>
  <c r="JZ22" i="1"/>
  <c r="KF34" i="1"/>
  <c r="KG50" i="1"/>
  <c r="EN5" i="1"/>
  <c r="EO5" i="1" s="1"/>
  <c r="ED38" i="1"/>
  <c r="EP50" i="1"/>
  <c r="EQ50" i="1"/>
  <c r="AR50" i="1"/>
  <c r="JU50" i="1"/>
  <c r="BJ52" i="1"/>
  <c r="BJ37" i="1"/>
  <c r="AQ50" i="1"/>
  <c r="JT50" i="1"/>
  <c r="JN22" i="1"/>
  <c r="AV38" i="1"/>
  <c r="JW52" i="1"/>
  <c r="JV22" i="1"/>
  <c r="AS11" i="1"/>
  <c r="BJ38" i="1"/>
  <c r="P36" i="22"/>
  <c r="Q36" i="22"/>
  <c r="JY34" i="1"/>
  <c r="KA38" i="1"/>
  <c r="KD37" i="1"/>
  <c r="KE38" i="1"/>
  <c r="EN37" i="1"/>
  <c r="EO37" i="1"/>
  <c r="EZ46" i="1"/>
  <c r="FA46" i="1"/>
  <c r="ET50" i="1"/>
  <c r="EU50" i="1"/>
  <c r="EJ52" i="1"/>
  <c r="EK52" i="1"/>
  <c r="IR52" i="1"/>
  <c r="IS52" i="1"/>
  <c r="FX35" i="1"/>
  <c r="FY35" i="1"/>
  <c r="JO59" i="1"/>
  <c r="AL39" i="1"/>
  <c r="JO39" i="1"/>
  <c r="JS52" i="1"/>
  <c r="JU34" i="1"/>
  <c r="AT11" i="1"/>
  <c r="AT35" i="1"/>
  <c r="JO37" i="1"/>
  <c r="JW37" i="1"/>
  <c r="JU38" i="1"/>
  <c r="EF22" i="1"/>
  <c r="AL52" i="1"/>
  <c r="BJ204" i="1"/>
  <c r="W204" i="1"/>
  <c r="Y204" i="1"/>
  <c r="JO22" i="1"/>
  <c r="AL49" i="1"/>
  <c r="JQ22" i="1"/>
  <c r="AN49" i="1"/>
  <c r="AT49" i="1"/>
  <c r="AO49" i="1"/>
  <c r="AR49" i="1"/>
  <c r="W39" i="1"/>
  <c r="W46" i="1"/>
  <c r="AP49" i="1"/>
  <c r="JS49" i="1"/>
  <c r="V204" i="1"/>
  <c r="AQ49" i="1"/>
  <c r="JT49" i="1"/>
  <c r="BH43" i="1"/>
  <c r="BH20" i="1"/>
  <c r="BH35" i="1"/>
  <c r="AV61" i="1"/>
  <c r="JO61" i="1"/>
  <c r="L27" i="23"/>
  <c r="BG43" i="1"/>
  <c r="BG20" i="1"/>
  <c r="BG35" i="1"/>
  <c r="KV46" i="1"/>
  <c r="FX46" i="1"/>
  <c r="FY46" i="1"/>
  <c r="KT46" i="1"/>
  <c r="FV46" i="1"/>
  <c r="FW46" i="1"/>
  <c r="KL11" i="1"/>
  <c r="KN11" i="1"/>
  <c r="KP11" i="1"/>
  <c r="BW4" i="1"/>
  <c r="KV11" i="1"/>
  <c r="FX11" i="1"/>
  <c r="FY11" i="1"/>
  <c r="FB22" i="1"/>
  <c r="FC22" i="1"/>
  <c r="KK22" i="1"/>
  <c r="FB39" i="1"/>
  <c r="FC39" i="1"/>
  <c r="KK39" i="1"/>
  <c r="KO46" i="1"/>
  <c r="KO39" i="1"/>
  <c r="FB49" i="1"/>
  <c r="FC49" i="1"/>
  <c r="KK49" i="1"/>
  <c r="BL35" i="1"/>
  <c r="KK11" i="1"/>
  <c r="KM11" i="1"/>
  <c r="KO11" i="1"/>
  <c r="BR4" i="1"/>
  <c r="KQ11" i="1"/>
  <c r="BT4" i="1"/>
  <c r="KS11" i="1"/>
  <c r="BV4" i="1"/>
  <c r="KU11" i="1"/>
  <c r="FV11" i="1"/>
  <c r="FW11" i="1"/>
  <c r="FL22" i="1"/>
  <c r="FM22" i="1"/>
  <c r="KP22" i="1"/>
  <c r="FB34" i="1"/>
  <c r="FC34" i="1"/>
  <c r="KK34" i="1"/>
  <c r="KL46" i="1"/>
  <c r="KL39" i="1"/>
  <c r="KP39" i="1"/>
  <c r="FL49" i="1"/>
  <c r="FM49" i="1"/>
  <c r="KP49" i="1"/>
  <c r="FB50" i="1"/>
  <c r="FC50" i="1"/>
  <c r="KK50" i="1"/>
  <c r="AY39" i="1"/>
  <c r="AY46" i="1"/>
  <c r="JZ46" i="1"/>
  <c r="EH52" i="1"/>
  <c r="AX39" i="1"/>
  <c r="EJ34" i="1"/>
  <c r="EK34" i="1"/>
  <c r="IR34" i="1"/>
  <c r="IS34" i="1"/>
  <c r="EJ50" i="1"/>
  <c r="EK50" i="1"/>
  <c r="IR50" i="1"/>
  <c r="IS50" i="1"/>
  <c r="AZ11" i="1"/>
  <c r="V39" i="1"/>
  <c r="V40" i="1"/>
  <c r="BN4" i="1"/>
  <c r="AN11" i="1"/>
  <c r="JQ11" i="1"/>
  <c r="ER52" i="1"/>
  <c r="ES52" i="1"/>
  <c r="BA39" i="1"/>
  <c r="EN34" i="1"/>
  <c r="EO34" i="1"/>
  <c r="EP52" i="1"/>
  <c r="EQ52" i="1"/>
  <c r="EN38" i="1"/>
  <c r="EO38" i="1"/>
  <c r="BD11" i="1"/>
  <c r="ER34" i="1"/>
  <c r="ES34" i="1"/>
  <c r="ER50" i="1"/>
  <c r="ES50" i="1"/>
  <c r="BE11" i="1"/>
  <c r="BE43" i="1"/>
  <c r="BP4" i="1"/>
  <c r="BL4" i="1"/>
  <c r="D46" i="22"/>
  <c r="E46" i="22"/>
  <c r="C39" i="23"/>
  <c r="C40" i="23"/>
  <c r="JM49" i="1"/>
  <c r="J43" i="22"/>
  <c r="K43" i="22"/>
  <c r="J40" i="22"/>
  <c r="K40" i="22"/>
  <c r="J67" i="22"/>
  <c r="K67" i="22"/>
  <c r="J65" i="22"/>
  <c r="K65" i="22"/>
  <c r="FL52" i="1"/>
  <c r="FM52" i="1"/>
  <c r="G50" i="22"/>
  <c r="H50" i="22"/>
  <c r="G26" i="22"/>
  <c r="H26" i="22"/>
  <c r="G51" i="22"/>
  <c r="H51" i="22"/>
  <c r="G59" i="22"/>
  <c r="H59" i="22"/>
  <c r="G61" i="22"/>
  <c r="H61" i="22"/>
  <c r="W11" i="1"/>
  <c r="X39" i="1"/>
  <c r="N34" i="23"/>
  <c r="C59" i="23"/>
  <c r="J31" i="22"/>
  <c r="K31" i="22"/>
  <c r="J29" i="22"/>
  <c r="K29" i="22"/>
  <c r="FF22" i="1"/>
  <c r="FG22" i="1"/>
  <c r="FJ22" i="1"/>
  <c r="FK22" i="1"/>
  <c r="FN22" i="1"/>
  <c r="FO22" i="1"/>
  <c r="FD34" i="1"/>
  <c r="FE34" i="1"/>
  <c r="FL34" i="1"/>
  <c r="FM34" i="1"/>
  <c r="FP34" i="1"/>
  <c r="FQ34" i="1"/>
  <c r="FF39" i="1"/>
  <c r="FG39" i="1"/>
  <c r="FF49" i="1"/>
  <c r="FG49" i="1"/>
  <c r="FJ49" i="1"/>
  <c r="FK49" i="1"/>
  <c r="FN49" i="1"/>
  <c r="FO49" i="1"/>
  <c r="FD50" i="1"/>
  <c r="FE50" i="1"/>
  <c r="FL50" i="1"/>
  <c r="FM50" i="1"/>
  <c r="FP50" i="1"/>
  <c r="FQ50" i="1"/>
  <c r="BX52" i="1"/>
  <c r="T50" i="22"/>
  <c r="U50" i="22"/>
  <c r="FF52" i="1"/>
  <c r="FG52" i="1"/>
  <c r="FJ52" i="1"/>
  <c r="FK52" i="1"/>
  <c r="FN52" i="1"/>
  <c r="FO52" i="1"/>
  <c r="EF34" i="1"/>
  <c r="EF49" i="1"/>
  <c r="BB39" i="1"/>
  <c r="BB46" i="1"/>
  <c r="KC46" i="1"/>
  <c r="BB11" i="1"/>
  <c r="D35" i="22"/>
  <c r="E35" i="22"/>
  <c r="EX11" i="1"/>
  <c r="EY11" i="1"/>
  <c r="EF37" i="1"/>
  <c r="EJ37" i="1"/>
  <c r="EK37" i="1"/>
  <c r="IR37" i="1"/>
  <c r="IS37" i="1"/>
  <c r="ER38" i="1"/>
  <c r="ES38" i="1"/>
  <c r="AX11" i="1"/>
  <c r="BC39" i="1"/>
  <c r="BC11" i="1"/>
  <c r="F39" i="23"/>
  <c r="F40" i="23"/>
  <c r="FP11" i="1"/>
  <c r="FQ11" i="1"/>
  <c r="BU4" i="1"/>
  <c r="FT11" i="1"/>
  <c r="FU11" i="1"/>
  <c r="FT22" i="1"/>
  <c r="FU22" i="1"/>
  <c r="FR22" i="1"/>
  <c r="FS22" i="1"/>
  <c r="FN39" i="1"/>
  <c r="FO39" i="1"/>
  <c r="KS46" i="1"/>
  <c r="FT39" i="1"/>
  <c r="FU39" i="1"/>
  <c r="FR39" i="1"/>
  <c r="FS39" i="1"/>
  <c r="FT49" i="1"/>
  <c r="FU49" i="1"/>
  <c r="FR49" i="1"/>
  <c r="FS49" i="1"/>
  <c r="FT52" i="1"/>
  <c r="FU52" i="1"/>
  <c r="FR52" i="1"/>
  <c r="FS52" i="1"/>
  <c r="FN11" i="1"/>
  <c r="FO11" i="1"/>
  <c r="FR11" i="1"/>
  <c r="FS11" i="1"/>
  <c r="FT34" i="1"/>
  <c r="FU34" i="1"/>
  <c r="FR34" i="1"/>
  <c r="FS34" i="1"/>
  <c r="FP39" i="1"/>
  <c r="FQ39" i="1"/>
  <c r="FT50" i="1"/>
  <c r="FU50" i="1"/>
  <c r="FR50" i="1"/>
  <c r="FS50" i="1"/>
  <c r="FP22" i="1"/>
  <c r="FQ22" i="1"/>
  <c r="FN34" i="1"/>
  <c r="FO34" i="1"/>
  <c r="FP49" i="1"/>
  <c r="FQ49" i="1"/>
  <c r="FN50" i="1"/>
  <c r="FO50" i="1"/>
  <c r="FP52" i="1"/>
  <c r="FQ52" i="1"/>
  <c r="FL11" i="1"/>
  <c r="FM11" i="1"/>
  <c r="FL39" i="1"/>
  <c r="FM39" i="1"/>
  <c r="N39" i="23"/>
  <c r="N40" i="23"/>
  <c r="AZ39" i="1"/>
  <c r="BD39" i="1"/>
  <c r="BE39" i="1"/>
  <c r="BF39" i="1"/>
  <c r="J26" i="22"/>
  <c r="K26" i="22"/>
  <c r="H44" i="23"/>
  <c r="H45" i="23"/>
  <c r="D44" i="23"/>
  <c r="D45" i="23"/>
  <c r="G12" i="22"/>
  <c r="H12" i="22"/>
  <c r="D48" i="22"/>
  <c r="E48" i="22"/>
  <c r="L44" i="23"/>
  <c r="L45" i="23"/>
  <c r="G44" i="23"/>
  <c r="G45" i="23"/>
  <c r="E44" i="23"/>
  <c r="E45" i="23"/>
  <c r="C44" i="23"/>
  <c r="C45" i="23"/>
  <c r="G23" i="22"/>
  <c r="H23" i="22"/>
  <c r="J23" i="22"/>
  <c r="K23" i="22"/>
  <c r="G25" i="22"/>
  <c r="H25" i="22"/>
  <c r="J25" i="22"/>
  <c r="K25" i="22"/>
  <c r="J27" i="22"/>
  <c r="K27" i="22"/>
  <c r="G27" i="22"/>
  <c r="H27" i="22"/>
  <c r="G52" i="22"/>
  <c r="H52" i="22"/>
  <c r="J52" i="22"/>
  <c r="K52" i="22"/>
  <c r="G62" i="22"/>
  <c r="H62" i="22"/>
  <c r="J62" i="22"/>
  <c r="K62" i="22"/>
  <c r="G56" i="22"/>
  <c r="H56" i="22"/>
  <c r="G60" i="22"/>
  <c r="H60" i="22"/>
  <c r="G35" i="22"/>
  <c r="H35" i="22"/>
  <c r="J35" i="22"/>
  <c r="K35" i="22"/>
  <c r="J22" i="22"/>
  <c r="K22" i="22"/>
  <c r="G22" i="22"/>
  <c r="H22" i="22"/>
  <c r="G24" i="22"/>
  <c r="H24" i="22"/>
  <c r="G55" i="22"/>
  <c r="H55" i="22"/>
  <c r="G57" i="22"/>
  <c r="H57" i="22"/>
  <c r="JK20" i="1"/>
  <c r="JK35" i="1"/>
  <c r="JK43" i="1"/>
  <c r="JI20" i="1"/>
  <c r="JI35" i="1"/>
  <c r="JI43" i="1"/>
  <c r="JG20" i="1"/>
  <c r="JG35" i="1"/>
  <c r="JG43" i="1"/>
  <c r="JE20" i="1"/>
  <c r="JE35" i="1"/>
  <c r="JE43" i="1"/>
  <c r="JC20" i="1"/>
  <c r="JC35" i="1"/>
  <c r="JC43" i="1"/>
  <c r="JD47" i="1"/>
  <c r="M39" i="23"/>
  <c r="M40" i="23"/>
  <c r="D10" i="22"/>
  <c r="E10" i="22"/>
  <c r="D50" i="22"/>
  <c r="E50" i="22"/>
  <c r="J48" i="22"/>
  <c r="K48" i="22"/>
  <c r="D60" i="22"/>
  <c r="E60" i="22"/>
  <c r="JL20" i="1"/>
  <c r="JL35" i="1"/>
  <c r="JL43" i="1"/>
  <c r="JJ20" i="1"/>
  <c r="JJ35" i="1"/>
  <c r="JJ43" i="1"/>
  <c r="JH20" i="1"/>
  <c r="JH35" i="1"/>
  <c r="JH43" i="1"/>
  <c r="JF20" i="1"/>
  <c r="JF35" i="1"/>
  <c r="JF43" i="1"/>
  <c r="JD20" i="1"/>
  <c r="JD35" i="1"/>
  <c r="JD43" i="1"/>
  <c r="JB20" i="1"/>
  <c r="JB35" i="1"/>
  <c r="JE14" i="1"/>
  <c r="J12" i="22"/>
  <c r="K12" i="22"/>
  <c r="J21" i="22"/>
  <c r="K21" i="22"/>
  <c r="J36" i="22"/>
  <c r="K36" i="22"/>
  <c r="D57" i="22"/>
  <c r="E57" i="22"/>
  <c r="F44" i="23"/>
  <c r="F45" i="23"/>
  <c r="K44" i="23"/>
  <c r="K45" i="23"/>
  <c r="D23" i="22"/>
  <c r="E23" i="22"/>
  <c r="JD14" i="1"/>
  <c r="AJ39" i="1"/>
  <c r="AN39" i="1"/>
  <c r="AP39" i="1"/>
  <c r="FD22" i="1"/>
  <c r="FE22" i="1"/>
  <c r="FF34" i="1"/>
  <c r="FG34" i="1"/>
  <c r="FJ34" i="1"/>
  <c r="FK34" i="1"/>
  <c r="FD49" i="1"/>
  <c r="FE49" i="1"/>
  <c r="FF50" i="1"/>
  <c r="FG50" i="1"/>
  <c r="FJ50" i="1"/>
  <c r="FK50" i="1"/>
  <c r="FD52" i="1"/>
  <c r="FE52" i="1"/>
  <c r="L35" i="23"/>
  <c r="C57" i="23"/>
  <c r="D44" i="22"/>
  <c r="E44" i="22"/>
  <c r="N44" i="23"/>
  <c r="N45" i="23"/>
  <c r="D38" i="22"/>
  <c r="E38" i="22"/>
  <c r="D61" i="22"/>
  <c r="E61" i="22"/>
  <c r="D65" i="22"/>
  <c r="E65" i="22"/>
  <c r="D42" i="22"/>
  <c r="E42" i="22"/>
  <c r="D34" i="22"/>
  <c r="E34" i="22"/>
  <c r="D16" i="22"/>
  <c r="E16" i="22"/>
  <c r="D14" i="22"/>
  <c r="E14" i="22"/>
  <c r="D8" i="22"/>
  <c r="D43" i="22"/>
  <c r="E43" i="22"/>
  <c r="D6" i="22"/>
  <c r="E6" i="22"/>
  <c r="FB52" i="1"/>
  <c r="FC52" i="1"/>
  <c r="FD11" i="1"/>
  <c r="FE11" i="1"/>
  <c r="FF11" i="1"/>
  <c r="FG11" i="1"/>
  <c r="FJ11" i="1"/>
  <c r="FK11" i="1"/>
  <c r="FB11" i="1"/>
  <c r="FC11" i="1"/>
  <c r="FD39" i="1"/>
  <c r="FE39" i="1"/>
  <c r="FJ39" i="1"/>
  <c r="FK39" i="1"/>
  <c r="D49" i="22"/>
  <c r="E49" i="22"/>
  <c r="D39" i="22"/>
  <c r="E39" i="22"/>
  <c r="G21" i="22"/>
  <c r="H21" i="22"/>
  <c r="G36" i="22"/>
  <c r="H36" i="22"/>
  <c r="D55" i="22"/>
  <c r="E55" i="22"/>
  <c r="L49" i="23"/>
  <c r="L50" i="23"/>
  <c r="J44" i="23"/>
  <c r="J45" i="23"/>
  <c r="J56" i="22"/>
  <c r="K56" i="22"/>
  <c r="J61" i="22"/>
  <c r="K61" i="22"/>
  <c r="M49" i="23"/>
  <c r="M50" i="23"/>
  <c r="O47" i="23"/>
  <c r="P47" i="23"/>
  <c r="D37" i="22"/>
  <c r="E37" i="22"/>
  <c r="H49" i="23"/>
  <c r="H50" i="23"/>
  <c r="D13" i="22"/>
  <c r="E13" i="22"/>
  <c r="J60" i="22"/>
  <c r="K60" i="22"/>
  <c r="J24" i="22"/>
  <c r="K24" i="22"/>
  <c r="D29" i="22"/>
  <c r="E29" i="22"/>
  <c r="D52" i="22"/>
  <c r="E52" i="22"/>
  <c r="I34" i="23"/>
  <c r="I35" i="23"/>
  <c r="G46" i="22"/>
  <c r="H46" i="22"/>
  <c r="G43" i="22"/>
  <c r="H43" i="22"/>
  <c r="M44" i="23"/>
  <c r="D56" i="22"/>
  <c r="E56" i="22"/>
  <c r="D51" i="22"/>
  <c r="E51" i="22"/>
  <c r="D58" i="22"/>
  <c r="E58" i="22"/>
  <c r="D59" i="22"/>
  <c r="E59" i="22"/>
  <c r="D62" i="22"/>
  <c r="E62" i="22"/>
  <c r="D15" i="22"/>
  <c r="E15" i="22"/>
  <c r="G8" i="22"/>
  <c r="H8" i="22"/>
  <c r="D24" i="22"/>
  <c r="E24" i="22"/>
  <c r="G6" i="22"/>
  <c r="H6" i="22"/>
  <c r="BM4" i="1"/>
  <c r="BO4" i="1"/>
  <c r="BQ4" i="1"/>
  <c r="BS4" i="1"/>
  <c r="BX204" i="1"/>
  <c r="JC14" i="1"/>
  <c r="J4" i="22"/>
  <c r="K4" i="22"/>
  <c r="G4" i="22"/>
  <c r="H4" i="22"/>
  <c r="G17" i="22"/>
  <c r="H17" i="22"/>
  <c r="G5" i="22"/>
  <c r="H5" i="22"/>
  <c r="J6" i="22"/>
  <c r="K6" i="22"/>
  <c r="D17" i="22"/>
  <c r="E17" i="22"/>
  <c r="D5" i="22"/>
  <c r="E5" i="22"/>
  <c r="J5" i="22"/>
  <c r="K5" i="22"/>
  <c r="J17" i="22"/>
  <c r="K17" i="22"/>
  <c r="D4" i="22"/>
  <c r="E4" i="22"/>
  <c r="BL46" i="1"/>
  <c r="BL40" i="1"/>
  <c r="KK40" i="1" s="1"/>
  <c r="BX39" i="1"/>
  <c r="BX5" i="1"/>
  <c r="BX40" i="1" s="1"/>
  <c r="BX11" i="1"/>
  <c r="T10" i="22"/>
  <c r="U10" i="22"/>
  <c r="BX22" i="1"/>
  <c r="T21" i="22"/>
  <c r="U21" i="22"/>
  <c r="BX37" i="1"/>
  <c r="T35" i="22"/>
  <c r="U35" i="22"/>
  <c r="BL43" i="1"/>
  <c r="BX50" i="1"/>
  <c r="T48" i="22"/>
  <c r="U48" i="22"/>
  <c r="BL20" i="1"/>
  <c r="T47" i="22"/>
  <c r="D25" i="22"/>
  <c r="E25" i="22"/>
  <c r="D26" i="22"/>
  <c r="E26" i="22"/>
  <c r="D27" i="22"/>
  <c r="E27" i="22"/>
  <c r="K35" i="23"/>
  <c r="C56" i="23"/>
  <c r="G48" i="22"/>
  <c r="H48" i="22"/>
  <c r="D64" i="22"/>
  <c r="E64" i="22"/>
  <c r="D33" i="22"/>
  <c r="E33" i="22"/>
  <c r="J9" i="22"/>
  <c r="K9" i="22"/>
  <c r="C50" i="23"/>
  <c r="M35" i="23"/>
  <c r="C58" i="23"/>
  <c r="J35" i="23"/>
  <c r="C55" i="23"/>
  <c r="M45" i="23"/>
  <c r="N35" i="23"/>
  <c r="J59" i="22"/>
  <c r="K59" i="22"/>
  <c r="D35" i="23"/>
  <c r="J50" i="22"/>
  <c r="K50" i="22"/>
  <c r="J51" i="22"/>
  <c r="K51" i="22"/>
  <c r="J57" i="22"/>
  <c r="K57" i="22"/>
  <c r="J55" i="22"/>
  <c r="K55" i="22"/>
  <c r="EG34" i="1"/>
  <c r="EI38" i="1"/>
  <c r="IQ38" i="1"/>
  <c r="EE22" i="1"/>
  <c r="EI50" i="1"/>
  <c r="EG52" i="1"/>
  <c r="EI52" i="1"/>
  <c r="EG22" i="1"/>
  <c r="EE38" i="1"/>
  <c r="EE50" i="1"/>
  <c r="EG38" i="1"/>
  <c r="EG37" i="1"/>
  <c r="EE37" i="1"/>
  <c r="EI22" i="1"/>
  <c r="EG50" i="1"/>
  <c r="EI37" i="1"/>
  <c r="EG49" i="1"/>
  <c r="EI49" i="1"/>
  <c r="EE49" i="1"/>
  <c r="EE52" i="1"/>
  <c r="X4" i="1"/>
  <c r="X20" i="1"/>
  <c r="X43" i="1"/>
  <c r="X35" i="1"/>
  <c r="V35" i="1"/>
  <c r="JX11" i="1"/>
  <c r="AL4" i="1"/>
  <c r="AU4" i="1"/>
  <c r="AL20" i="1"/>
  <c r="JO20" i="1"/>
  <c r="AL35" i="1"/>
  <c r="JO35" i="1"/>
  <c r="KB11" i="1"/>
  <c r="AQ46" i="1"/>
  <c r="JT46" i="1"/>
  <c r="JX39" i="1"/>
  <c r="V20" i="1"/>
  <c r="C54" i="23"/>
  <c r="AL43" i="1"/>
  <c r="JO43" i="1"/>
  <c r="BX49" i="1"/>
  <c r="Q20" i="22"/>
  <c r="R20" i="22"/>
  <c r="Q30" i="22"/>
  <c r="R30" i="22"/>
  <c r="Q15" i="22"/>
  <c r="R15" i="22"/>
  <c r="Q19" i="22"/>
  <c r="R19" i="22"/>
  <c r="Q14" i="22"/>
  <c r="R14" i="22"/>
  <c r="Q34" i="22"/>
  <c r="R34" i="22"/>
  <c r="Q8" i="22"/>
  <c r="R8" i="22"/>
  <c r="Q5" i="22"/>
  <c r="R5" i="22"/>
  <c r="Q6" i="22"/>
  <c r="R6" i="22"/>
  <c r="BX4" i="1"/>
  <c r="BY56" i="1" s="1"/>
  <c r="U47" i="22"/>
  <c r="AP35" i="1"/>
  <c r="JS35" i="1"/>
  <c r="AP20" i="1"/>
  <c r="JS20" i="1"/>
  <c r="AP4" i="1"/>
  <c r="JU39" i="1"/>
  <c r="V43" i="1"/>
  <c r="AQ40" i="1"/>
  <c r="JT40" i="1" s="1"/>
  <c r="AU35" i="1"/>
  <c r="JX35" i="1"/>
  <c r="AR40" i="1"/>
  <c r="JU40" i="1" s="1"/>
  <c r="AU20" i="1"/>
  <c r="JX20" i="1"/>
  <c r="AP43" i="1"/>
  <c r="JS43" i="1"/>
  <c r="JN11" i="1"/>
  <c r="EX46" i="1"/>
  <c r="EY46" i="1"/>
  <c r="JV39" i="1"/>
  <c r="AM40" i="1"/>
  <c r="JP40" i="1" s="1"/>
  <c r="Y46" i="1"/>
  <c r="AK35" i="1"/>
  <c r="JN35" i="1"/>
  <c r="AJ43" i="1"/>
  <c r="JM43" i="1"/>
  <c r="AL40" i="1"/>
  <c r="JO40" i="1" s="1"/>
  <c r="AU46" i="1"/>
  <c r="JX46" i="1"/>
  <c r="AO46" i="1"/>
  <c r="JR46" i="1"/>
  <c r="W40" i="1"/>
  <c r="AO4" i="1"/>
  <c r="AV204" i="1"/>
  <c r="AK43" i="1"/>
  <c r="JN43" i="1"/>
  <c r="JP39" i="1"/>
  <c r="BF20" i="1"/>
  <c r="KG20" i="1"/>
  <c r="BA43" i="1"/>
  <c r="KB43" i="1"/>
  <c r="F27" i="23"/>
  <c r="AK20" i="1"/>
  <c r="JN20" i="1"/>
  <c r="AO40" i="1"/>
  <c r="JR40" i="1" s="1"/>
  <c r="Y4" i="1"/>
  <c r="AV49" i="1"/>
  <c r="BA20" i="1"/>
  <c r="KB20" i="1"/>
  <c r="AO20" i="1"/>
  <c r="JR20" i="1"/>
  <c r="JM11" i="1"/>
  <c r="AS46" i="1"/>
  <c r="JV46" i="1"/>
  <c r="AO35" i="1"/>
  <c r="JR35" i="1"/>
  <c r="AO43" i="1"/>
  <c r="JR43" i="1"/>
  <c r="P21" i="22"/>
  <c r="Q21" i="22"/>
  <c r="AK40" i="1"/>
  <c r="JN40" i="1" s="1"/>
  <c r="AK4" i="1"/>
  <c r="AQ20" i="1"/>
  <c r="JT20" i="1"/>
  <c r="BA4" i="1"/>
  <c r="AY35" i="1"/>
  <c r="JZ35" i="1"/>
  <c r="AY20" i="1"/>
  <c r="JZ20" i="1"/>
  <c r="AY43" i="1"/>
  <c r="JZ43" i="1"/>
  <c r="D27" i="23"/>
  <c r="JZ11" i="1"/>
  <c r="AY4" i="1"/>
  <c r="JM20" i="1"/>
  <c r="EP11" i="1"/>
  <c r="EQ11" i="1"/>
  <c r="AQ35" i="1"/>
  <c r="JT35" i="1"/>
  <c r="AK46" i="1"/>
  <c r="JN46" i="1"/>
  <c r="AJ4" i="1"/>
  <c r="AJ35" i="1"/>
  <c r="BJ49" i="1"/>
  <c r="JW35" i="1"/>
  <c r="AP40" i="1"/>
  <c r="JS40" i="1" s="1"/>
  <c r="Y20" i="1"/>
  <c r="AL46" i="1"/>
  <c r="JO46" i="1"/>
  <c r="V46" i="1"/>
  <c r="JU49" i="1"/>
  <c r="Y43" i="1"/>
  <c r="KS43" i="1"/>
  <c r="KS35" i="1"/>
  <c r="KR43" i="1"/>
  <c r="KR20" i="1"/>
  <c r="AQ43" i="1"/>
  <c r="AQ4" i="1"/>
  <c r="AJ40" i="1"/>
  <c r="JM40" i="1" s="1"/>
  <c r="JR49" i="1"/>
  <c r="BF35" i="1"/>
  <c r="KG35" i="1"/>
  <c r="BF4" i="1"/>
  <c r="BF43" i="1"/>
  <c r="KG43" i="1"/>
  <c r="KG11" i="1"/>
  <c r="EV11" i="1"/>
  <c r="EW11" i="1"/>
  <c r="KE49" i="1"/>
  <c r="EP49" i="1"/>
  <c r="EQ49" i="1"/>
  <c r="P48" i="22"/>
  <c r="Q48" i="22"/>
  <c r="P50" i="22"/>
  <c r="Q50" i="22"/>
  <c r="KQ20" i="1"/>
  <c r="KQ35" i="1"/>
  <c r="KP43" i="1"/>
  <c r="KP20" i="1"/>
  <c r="P43" i="22"/>
  <c r="P35" i="22"/>
  <c r="Q35" i="22"/>
  <c r="P46" i="22"/>
  <c r="FH35" i="1"/>
  <c r="FI35" i="1"/>
  <c r="FH20" i="1"/>
  <c r="FI20" i="1"/>
  <c r="KN20" i="1"/>
  <c r="FH43" i="1"/>
  <c r="FI43" i="1"/>
  <c r="KM20" i="1"/>
  <c r="KL20" i="1"/>
  <c r="O22" i="23"/>
  <c r="BX46" i="1"/>
  <c r="T44" i="22"/>
  <c r="T37" i="22"/>
  <c r="U37" i="22"/>
  <c r="P17" i="22"/>
  <c r="KJ43" i="1"/>
  <c r="KJ35" i="1"/>
  <c r="KJ20" i="1"/>
  <c r="P49" i="23"/>
  <c r="AN4" i="1"/>
  <c r="AN20" i="1"/>
  <c r="JQ20" i="1"/>
  <c r="AT46" i="1"/>
  <c r="JW39" i="1"/>
  <c r="AR20" i="1"/>
  <c r="JU20" i="1"/>
  <c r="AR4" i="1"/>
  <c r="AR35" i="1"/>
  <c r="JU35" i="1"/>
  <c r="JU11" i="1"/>
  <c r="AR43" i="1"/>
  <c r="JU43" i="1"/>
  <c r="AV11" i="1"/>
  <c r="AN43" i="1"/>
  <c r="JQ43" i="1"/>
  <c r="AT43" i="1"/>
  <c r="AT20" i="1"/>
  <c r="JW11" i="1"/>
  <c r="AT4" i="1"/>
  <c r="AM43" i="1"/>
  <c r="AM20" i="1"/>
  <c r="AM4" i="1"/>
  <c r="JP11" i="1"/>
  <c r="AM35" i="1"/>
  <c r="AN35" i="1"/>
  <c r="AS35" i="1"/>
  <c r="AS4" i="1"/>
  <c r="AS43" i="1"/>
  <c r="AS20" i="1"/>
  <c r="JV11" i="1"/>
  <c r="JO52" i="1"/>
  <c r="AV52" i="1"/>
  <c r="JW49" i="1"/>
  <c r="JZ39" i="1"/>
  <c r="JQ49" i="1"/>
  <c r="JO49" i="1"/>
  <c r="EZ20" i="1"/>
  <c r="FA20" i="1"/>
  <c r="KI20" i="1"/>
  <c r="EZ35" i="1"/>
  <c r="FA35" i="1"/>
  <c r="KI35" i="1"/>
  <c r="EZ43" i="1"/>
  <c r="FA43" i="1"/>
  <c r="KI43" i="1"/>
  <c r="EX35" i="1"/>
  <c r="EY35" i="1"/>
  <c r="KH35" i="1"/>
  <c r="EX20" i="1"/>
  <c r="EY20" i="1"/>
  <c r="KH20" i="1"/>
  <c r="EX43" i="1"/>
  <c r="EY43" i="1"/>
  <c r="KH43" i="1"/>
  <c r="AY40" i="1"/>
  <c r="JZ40" i="1" s="1"/>
  <c r="FJ20" i="1"/>
  <c r="FK20" i="1"/>
  <c r="KO20" i="1"/>
  <c r="FB43" i="1"/>
  <c r="FC43" i="1"/>
  <c r="KK43" i="1"/>
  <c r="FP35" i="1"/>
  <c r="FQ35" i="1"/>
  <c r="KR35" i="1"/>
  <c r="FF46" i="1"/>
  <c r="FG46" i="1"/>
  <c r="KM46" i="1"/>
  <c r="FN43" i="1"/>
  <c r="FO43" i="1"/>
  <c r="KQ43" i="1"/>
  <c r="FF43" i="1"/>
  <c r="FG43" i="1"/>
  <c r="KM43" i="1"/>
  <c r="FL35" i="1"/>
  <c r="FM35" i="1"/>
  <c r="KP35" i="1"/>
  <c r="FF35" i="1"/>
  <c r="FG35" i="1"/>
  <c r="KL35" i="1"/>
  <c r="FB46" i="1"/>
  <c r="FC46" i="1"/>
  <c r="KK46" i="1"/>
  <c r="FP46" i="1"/>
  <c r="FQ46" i="1"/>
  <c r="KR46" i="1"/>
  <c r="FN46" i="1"/>
  <c r="FO46" i="1"/>
  <c r="KQ46" i="1"/>
  <c r="FL46" i="1"/>
  <c r="FM46" i="1"/>
  <c r="KP46" i="1"/>
  <c r="JS39" i="1"/>
  <c r="FB20" i="1"/>
  <c r="FC20" i="1"/>
  <c r="KK20" i="1"/>
  <c r="FJ43" i="1"/>
  <c r="FK43" i="1"/>
  <c r="KO43" i="1"/>
  <c r="KN35" i="1"/>
  <c r="FJ46" i="1"/>
  <c r="FK46" i="1"/>
  <c r="KN46" i="1"/>
  <c r="FB35" i="1"/>
  <c r="FC35" i="1"/>
  <c r="KK35" i="1"/>
  <c r="AZ43" i="1"/>
  <c r="EH11" i="1"/>
  <c r="AZ35" i="1"/>
  <c r="E27" i="23"/>
  <c r="EJ11" i="1"/>
  <c r="EK11" i="1"/>
  <c r="IR11" i="1"/>
  <c r="IS11" i="1"/>
  <c r="KA11" i="1"/>
  <c r="AZ4" i="1"/>
  <c r="AZ20" i="1"/>
  <c r="AP46" i="1"/>
  <c r="AX46" i="1"/>
  <c r="JY39" i="1"/>
  <c r="ED39" i="1"/>
  <c r="AX40" i="1"/>
  <c r="JY40" i="1" s="1"/>
  <c r="EF39" i="1"/>
  <c r="AJ46" i="1"/>
  <c r="J27" i="23"/>
  <c r="ET11" i="1"/>
  <c r="EU11" i="1"/>
  <c r="KF11" i="1"/>
  <c r="BE4" i="1"/>
  <c r="BE20" i="1"/>
  <c r="ER11" i="1"/>
  <c r="ES11" i="1"/>
  <c r="BE35" i="1"/>
  <c r="BA46" i="1"/>
  <c r="KB46" i="1"/>
  <c r="KB39" i="1"/>
  <c r="BA40" i="1"/>
  <c r="JM39" i="1"/>
  <c r="I27" i="23"/>
  <c r="BD43" i="1"/>
  <c r="BD20" i="1"/>
  <c r="KE11" i="1"/>
  <c r="BD4" i="1"/>
  <c r="BD35" i="1"/>
  <c r="FN20" i="1"/>
  <c r="FO20" i="1"/>
  <c r="FF20" i="1"/>
  <c r="FG20" i="1"/>
  <c r="K39" i="23"/>
  <c r="K40" i="23"/>
  <c r="W20" i="1"/>
  <c r="W4" i="1"/>
  <c r="W35" i="1"/>
  <c r="W43" i="1"/>
  <c r="X46" i="1"/>
  <c r="X40" i="1"/>
  <c r="G39" i="23"/>
  <c r="G40" i="23"/>
  <c r="J46" i="22"/>
  <c r="FT43" i="1"/>
  <c r="FU43" i="1"/>
  <c r="FR43" i="1"/>
  <c r="FS43" i="1"/>
  <c r="FT35" i="1"/>
  <c r="FU35" i="1"/>
  <c r="FR35" i="1"/>
  <c r="FS35" i="1"/>
  <c r="BC46" i="1"/>
  <c r="KD46" i="1"/>
  <c r="KD39" i="1"/>
  <c r="EN39" i="1"/>
  <c r="EO39" i="1"/>
  <c r="BC40" i="1"/>
  <c r="KF43" i="1"/>
  <c r="G27" i="23"/>
  <c r="BB4" i="1"/>
  <c r="BB43" i="1"/>
  <c r="BB35" i="1"/>
  <c r="EL11" i="1"/>
  <c r="EM11" i="1"/>
  <c r="KC11" i="1"/>
  <c r="BB20" i="1"/>
  <c r="FP20" i="1"/>
  <c r="FQ20" i="1"/>
  <c r="FN35" i="1"/>
  <c r="FO35" i="1"/>
  <c r="FT20" i="1"/>
  <c r="FU20" i="1"/>
  <c r="FR20" i="1"/>
  <c r="FS20" i="1"/>
  <c r="FT46" i="1"/>
  <c r="FU46" i="1"/>
  <c r="FR46" i="1"/>
  <c r="FS46" i="1"/>
  <c r="H27" i="23"/>
  <c r="EN11" i="1"/>
  <c r="EO11" i="1"/>
  <c r="KD11" i="1"/>
  <c r="BC20" i="1"/>
  <c r="BC43" i="1"/>
  <c r="BC4" i="1"/>
  <c r="BC35" i="1"/>
  <c r="C27" i="23"/>
  <c r="AX20" i="1"/>
  <c r="AX43" i="1"/>
  <c r="JY11" i="1"/>
  <c r="AX4" i="1"/>
  <c r="ED11" i="1"/>
  <c r="AX35" i="1"/>
  <c r="BJ11" i="1"/>
  <c r="EF11" i="1"/>
  <c r="BB40" i="1"/>
  <c r="KC40" i="1" s="1"/>
  <c r="KC39" i="1"/>
  <c r="EL39" i="1"/>
  <c r="EM39" i="1"/>
  <c r="FL20" i="1"/>
  <c r="FM20" i="1"/>
  <c r="FP43" i="1"/>
  <c r="FQ43" i="1"/>
  <c r="FL43" i="1"/>
  <c r="FM43" i="1"/>
  <c r="P50" i="23"/>
  <c r="BF40" i="1"/>
  <c r="EV39" i="1"/>
  <c r="EW39" i="1"/>
  <c r="BF46" i="1"/>
  <c r="KG39" i="1"/>
  <c r="ET39" i="1"/>
  <c r="EU39" i="1"/>
  <c r="BD46" i="1"/>
  <c r="KE39" i="1"/>
  <c r="EP39" i="1"/>
  <c r="EQ39" i="1"/>
  <c r="BD40" i="1"/>
  <c r="KE40" i="1" s="1"/>
  <c r="AZ46" i="1"/>
  <c r="AZ40" i="1"/>
  <c r="KA40" i="1" s="1"/>
  <c r="EJ39" i="1"/>
  <c r="EK39" i="1"/>
  <c r="IR39" i="1"/>
  <c r="IS39" i="1"/>
  <c r="BJ39" i="1"/>
  <c r="EH39" i="1"/>
  <c r="KA39" i="1"/>
  <c r="KF39" i="1"/>
  <c r="BE40" i="1"/>
  <c r="KF40" i="1" s="1"/>
  <c r="BE46" i="1"/>
  <c r="ER39" i="1"/>
  <c r="ES39" i="1"/>
  <c r="AN40" i="1"/>
  <c r="JQ40" i="1" s="1"/>
  <c r="AN46" i="1"/>
  <c r="JQ39" i="1"/>
  <c r="JB43" i="1"/>
  <c r="JE47" i="1"/>
  <c r="AV39" i="1"/>
  <c r="O42" i="23"/>
  <c r="JF14" i="1"/>
  <c r="FD20" i="1"/>
  <c r="FE20" i="1"/>
  <c r="FD43" i="1"/>
  <c r="FE43" i="1"/>
  <c r="FD46" i="1"/>
  <c r="FE46" i="1"/>
  <c r="FD35" i="1"/>
  <c r="FE35" i="1"/>
  <c r="G34" i="23"/>
  <c r="O32" i="23"/>
  <c r="P33" i="23"/>
  <c r="FJ35" i="1"/>
  <c r="FK35" i="1"/>
  <c r="P48" i="23"/>
  <c r="EG39" i="1"/>
  <c r="EI11" i="1"/>
  <c r="EI39" i="1"/>
  <c r="EE11" i="1"/>
  <c r="EE39" i="1"/>
  <c r="EG11" i="1"/>
  <c r="P22" i="23"/>
  <c r="Q46" i="22"/>
  <c r="R46" i="22"/>
  <c r="Q43" i="22"/>
  <c r="R43" i="22"/>
  <c r="Q17" i="22"/>
  <c r="R17" i="22"/>
  <c r="K46" i="22"/>
  <c r="K47" i="22"/>
  <c r="J47" i="22"/>
  <c r="U44" i="22"/>
  <c r="P4" i="22"/>
  <c r="EV20" i="1"/>
  <c r="EW20" i="1"/>
  <c r="JS46" i="1"/>
  <c r="P47" i="22"/>
  <c r="JM35" i="1"/>
  <c r="EN46" i="1"/>
  <c r="EO46" i="1"/>
  <c r="ET43" i="1"/>
  <c r="EU43" i="1"/>
  <c r="JQ35" i="1"/>
  <c r="EV43" i="1"/>
  <c r="EW43" i="1"/>
  <c r="KE20" i="1"/>
  <c r="JT43" i="1"/>
  <c r="KE35" i="1"/>
  <c r="KE43" i="1"/>
  <c r="EV35" i="1"/>
  <c r="EW35" i="1"/>
  <c r="EL46" i="1"/>
  <c r="EM46" i="1"/>
  <c r="P10" i="22"/>
  <c r="Q10" i="22"/>
  <c r="JV43" i="1"/>
  <c r="JM46" i="1"/>
  <c r="JV35" i="1"/>
  <c r="JP43" i="1"/>
  <c r="JW43" i="1"/>
  <c r="JP35" i="1"/>
  <c r="JP20" i="1"/>
  <c r="JW46" i="1"/>
  <c r="AV4" i="1"/>
  <c r="AW22" i="1" s="1"/>
  <c r="JV20" i="1"/>
  <c r="JW20" i="1"/>
  <c r="BJ4" i="1"/>
  <c r="BK7" i="1" s="1"/>
  <c r="ER43" i="1"/>
  <c r="ES43" i="1"/>
  <c r="JY46" i="1"/>
  <c r="EF46" i="1"/>
  <c r="ED46" i="1"/>
  <c r="KA35" i="1"/>
  <c r="EH35" i="1"/>
  <c r="EJ35" i="1"/>
  <c r="EK35" i="1"/>
  <c r="IR35" i="1"/>
  <c r="IS35" i="1"/>
  <c r="EJ43" i="1"/>
  <c r="EK43" i="1"/>
  <c r="IR43" i="1"/>
  <c r="IS43" i="1"/>
  <c r="KA43" i="1"/>
  <c r="EH43" i="1"/>
  <c r="EJ20" i="1"/>
  <c r="EK20" i="1"/>
  <c r="IR20" i="1"/>
  <c r="IS20" i="1"/>
  <c r="EH20" i="1"/>
  <c r="KA20" i="1"/>
  <c r="KF35" i="1"/>
  <c r="ER35" i="1"/>
  <c r="ES35" i="1"/>
  <c r="ET35" i="1"/>
  <c r="EU35" i="1"/>
  <c r="KF20" i="1"/>
  <c r="ER20" i="1"/>
  <c r="ES20" i="1"/>
  <c r="ET20" i="1"/>
  <c r="EU20" i="1"/>
  <c r="G10" i="22"/>
  <c r="H10" i="22"/>
  <c r="J10" i="22"/>
  <c r="K10" i="22"/>
  <c r="O37" i="23"/>
  <c r="P38" i="23"/>
  <c r="Q33" i="23"/>
  <c r="R33" i="23"/>
  <c r="D39" i="23"/>
  <c r="G37" i="22"/>
  <c r="H37" i="22"/>
  <c r="G38" i="22"/>
  <c r="H38" i="22"/>
  <c r="G44" i="22"/>
  <c r="H44" i="22"/>
  <c r="JY35" i="1"/>
  <c r="EF35" i="1"/>
  <c r="ED35" i="1"/>
  <c r="ED20" i="1"/>
  <c r="JY20" i="1"/>
  <c r="EF20" i="1"/>
  <c r="KD35" i="1"/>
  <c r="EN35" i="1"/>
  <c r="EO35" i="1"/>
  <c r="EP35" i="1"/>
  <c r="EQ35" i="1"/>
  <c r="EN43" i="1"/>
  <c r="EO43" i="1"/>
  <c r="KD43" i="1"/>
  <c r="EP43" i="1"/>
  <c r="EQ43" i="1"/>
  <c r="EL20" i="1"/>
  <c r="EM20" i="1"/>
  <c r="KC20" i="1"/>
  <c r="KC43" i="1"/>
  <c r="EL43" i="1"/>
  <c r="EM43" i="1"/>
  <c r="JY43" i="1"/>
  <c r="ED43" i="1"/>
  <c r="EF43" i="1"/>
  <c r="O27" i="23"/>
  <c r="EN20" i="1"/>
  <c r="EO20" i="1"/>
  <c r="KD20" i="1"/>
  <c r="EP20" i="1"/>
  <c r="EQ20" i="1"/>
  <c r="KC35" i="1"/>
  <c r="EL35" i="1"/>
  <c r="EM35" i="1"/>
  <c r="KF46" i="1"/>
  <c r="ER46" i="1"/>
  <c r="ES46" i="1"/>
  <c r="KA46" i="1"/>
  <c r="EJ46" i="1"/>
  <c r="EK46" i="1"/>
  <c r="IR46" i="1"/>
  <c r="IS46" i="1"/>
  <c r="EH46" i="1"/>
  <c r="KE46" i="1"/>
  <c r="EP46" i="1"/>
  <c r="EQ46" i="1"/>
  <c r="BJ46" i="1"/>
  <c r="P44" i="22"/>
  <c r="P37" i="22"/>
  <c r="Q37" i="22"/>
  <c r="KG46" i="1"/>
  <c r="ET46" i="1"/>
  <c r="EU46" i="1"/>
  <c r="EV46" i="1"/>
  <c r="EW46" i="1"/>
  <c r="JG14" i="1"/>
  <c r="AV46" i="1"/>
  <c r="JF47" i="1"/>
  <c r="JQ46" i="1"/>
  <c r="P42" i="23"/>
  <c r="P45" i="23"/>
  <c r="P43" i="23"/>
  <c r="P44" i="23"/>
  <c r="G35" i="23"/>
  <c r="P35" i="23"/>
  <c r="P34" i="23"/>
  <c r="P32" i="23"/>
  <c r="EG43" i="1"/>
  <c r="EI43" i="1"/>
  <c r="EI35" i="1"/>
  <c r="EE43" i="1"/>
  <c r="EE20" i="1"/>
  <c r="EI46" i="1"/>
  <c r="EE35" i="1"/>
  <c r="EE46" i="1"/>
  <c r="EG20" i="1"/>
  <c r="EG35" i="1"/>
  <c r="EI20" i="1"/>
  <c r="EG46" i="1"/>
  <c r="Q47" i="22"/>
  <c r="R47" i="22"/>
  <c r="Q44" i="22"/>
  <c r="R44" i="22"/>
  <c r="Q4" i="22"/>
  <c r="R4" i="22"/>
  <c r="P38" i="22"/>
  <c r="Q17" i="23"/>
  <c r="R17" i="23"/>
  <c r="P37" i="23"/>
  <c r="Q37" i="23"/>
  <c r="R37" i="23"/>
  <c r="Q38" i="23"/>
  <c r="R38" i="23"/>
  <c r="BY11" i="1"/>
  <c r="AW11" i="1"/>
  <c r="BK11" i="1"/>
  <c r="P39" i="23"/>
  <c r="Q34" i="23"/>
  <c r="R34" i="23"/>
  <c r="D40" i="23"/>
  <c r="P40" i="23"/>
  <c r="Q35" i="23"/>
  <c r="R35" i="23"/>
  <c r="P27" i="23"/>
  <c r="Q27" i="23"/>
  <c r="R27" i="23"/>
  <c r="Q43" i="23"/>
  <c r="R43" i="23"/>
  <c r="Q44" i="23"/>
  <c r="R44" i="23"/>
  <c r="JH14" i="1"/>
  <c r="Q45" i="23"/>
  <c r="R45" i="23"/>
  <c r="JG47" i="1"/>
  <c r="J44" i="22"/>
  <c r="K44" i="22"/>
  <c r="Q42" i="23"/>
  <c r="R42" i="23"/>
  <c r="J37" i="22"/>
  <c r="K37" i="22"/>
  <c r="J38" i="22"/>
  <c r="K38" i="22"/>
  <c r="Q32" i="23"/>
  <c r="R32" i="23"/>
  <c r="Q12" i="23"/>
  <c r="R12" i="23"/>
  <c r="Q38" i="22"/>
  <c r="R38" i="22"/>
  <c r="Q22" i="23"/>
  <c r="R22" i="23"/>
  <c r="Q39" i="23"/>
  <c r="R39" i="23"/>
  <c r="Q40" i="23"/>
  <c r="R40" i="23"/>
  <c r="JI14" i="1"/>
  <c r="JH47" i="1"/>
  <c r="JI47" i="1"/>
  <c r="JJ14" i="1"/>
  <c r="JK14" i="1"/>
  <c r="JJ47" i="1"/>
  <c r="JK47" i="1"/>
  <c r="JL14" i="1"/>
  <c r="JL47" i="1"/>
  <c r="D7" i="22"/>
  <c r="E7" i="22"/>
  <c r="D45" i="22"/>
  <c r="E45" i="22"/>
  <c r="V1" i="1"/>
  <c r="V8" i="1"/>
  <c r="W8" i="1" s="1"/>
  <c r="W47" i="1" s="1"/>
  <c r="G7" i="22"/>
  <c r="H7" i="22"/>
  <c r="G45" i="22"/>
  <c r="H45" i="22"/>
  <c r="AJ1" i="1"/>
  <c r="AJ2" i="1" s="1"/>
  <c r="AV8" i="1"/>
  <c r="AW8" i="1" s="1"/>
  <c r="AJ8" i="1"/>
  <c r="AK8" i="1" s="1"/>
  <c r="J45" i="22"/>
  <c r="K45" i="22"/>
  <c r="J7" i="22"/>
  <c r="K7" i="22"/>
  <c r="P7" i="22"/>
  <c r="Q7" i="22"/>
  <c r="R7" i="22"/>
  <c r="P45" i="22"/>
  <c r="Q45" i="22"/>
  <c r="R45" i="22"/>
  <c r="FZ5" i="1"/>
  <c r="GA5" i="1" s="1"/>
  <c r="C18" i="23"/>
  <c r="GB5" i="1"/>
  <c r="GC5" i="1" s="1"/>
  <c r="BZ40" i="1"/>
  <c r="CL5" i="1"/>
  <c r="CL40" i="1" s="1"/>
  <c r="S38" i="22" s="1"/>
  <c r="T38" i="22" s="1"/>
  <c r="U38" i="22" s="1"/>
  <c r="FR18" i="1" l="1"/>
  <c r="FS18" i="1" s="1"/>
  <c r="EX18" i="1"/>
  <c r="EY18" i="1" s="1"/>
  <c r="FJ19" i="1"/>
  <c r="FK19" i="1" s="1"/>
  <c r="HF19" i="1"/>
  <c r="HG19" i="1" s="1"/>
  <c r="HH18" i="1"/>
  <c r="HI18" i="1" s="1"/>
  <c r="HR19" i="1"/>
  <c r="HS19" i="1" s="1"/>
  <c r="EP19" i="1"/>
  <c r="EQ19" i="1" s="1"/>
  <c r="GF19" i="1"/>
  <c r="GG19" i="1" s="1"/>
  <c r="FV40" i="1"/>
  <c r="FW40" i="1" s="1"/>
  <c r="EL19" i="1"/>
  <c r="EM19" i="1" s="1"/>
  <c r="ER18" i="1"/>
  <c r="ES18" i="1" s="1"/>
  <c r="AA60" i="22"/>
  <c r="AB60" i="22" s="1"/>
  <c r="AE60" i="22"/>
  <c r="AF60" i="22" s="1"/>
  <c r="AA59" i="22"/>
  <c r="AB59" i="22" s="1"/>
  <c r="AE59" i="22"/>
  <c r="AF59" i="22" s="1"/>
  <c r="AA58" i="22"/>
  <c r="AB58" i="22" s="1"/>
  <c r="AA57" i="22"/>
  <c r="AB57" i="22" s="1"/>
  <c r="AA56" i="22"/>
  <c r="AB56" i="22" s="1"/>
  <c r="AA55" i="22"/>
  <c r="AB55" i="22" s="1"/>
  <c r="AE53" i="22"/>
  <c r="AF53" i="22" s="1"/>
  <c r="AA53" i="22"/>
  <c r="AB53" i="22" s="1"/>
  <c r="AA52" i="22"/>
  <c r="AB52" i="22" s="1"/>
  <c r="AA51" i="22"/>
  <c r="AB51" i="22" s="1"/>
  <c r="AA62" i="22"/>
  <c r="AB62" i="22" s="1"/>
  <c r="EC27" i="1"/>
  <c r="BK15" i="1"/>
  <c r="KH18" i="1"/>
  <c r="GL19" i="1"/>
  <c r="GM19" i="1" s="1"/>
  <c r="DA11" i="1"/>
  <c r="FZ40" i="1"/>
  <c r="GA40" i="1" s="1"/>
  <c r="ET18" i="1"/>
  <c r="EU18" i="1" s="1"/>
  <c r="FN40" i="1"/>
  <c r="FO40" i="1" s="1"/>
  <c r="GB19" i="1"/>
  <c r="GC19" i="1" s="1"/>
  <c r="V4" i="22"/>
  <c r="P13" i="23"/>
  <c r="HV40" i="1"/>
  <c r="HW40" i="1" s="1"/>
  <c r="AW42" i="1"/>
  <c r="EC19" i="1"/>
  <c r="CM34" i="1"/>
  <c r="EC67" i="1"/>
  <c r="EC68" i="1"/>
  <c r="EC39" i="1"/>
  <c r="DA29" i="1"/>
  <c r="EC38" i="1"/>
  <c r="EC62" i="1"/>
  <c r="AW70" i="1"/>
  <c r="EC23" i="1"/>
  <c r="EC59" i="1"/>
  <c r="EC20" i="1"/>
  <c r="IF18" i="1"/>
  <c r="IG18" i="1" s="1"/>
  <c r="IH18" i="1"/>
  <c r="II18" i="1" s="1"/>
  <c r="EZ40" i="1"/>
  <c r="FA40" i="1" s="1"/>
  <c r="GN18" i="1"/>
  <c r="GO18" i="1" s="1"/>
  <c r="HD40" i="1"/>
  <c r="HE40" i="1" s="1"/>
  <c r="LR40" i="1"/>
  <c r="IT40" i="1"/>
  <c r="FP18" i="1"/>
  <c r="FQ18" i="1" s="1"/>
  <c r="KC19" i="1"/>
  <c r="EJ19" i="1"/>
  <c r="EK19" i="1" s="1"/>
  <c r="IR19" i="1" s="1"/>
  <c r="IS19" i="1" s="1"/>
  <c r="EX19" i="1"/>
  <c r="EY19" i="1" s="1"/>
  <c r="FF40" i="1"/>
  <c r="FG40" i="1" s="1"/>
  <c r="GH18" i="1"/>
  <c r="GI18" i="1" s="1"/>
  <c r="LR19" i="1"/>
  <c r="IT19" i="1"/>
  <c r="AA43" i="22"/>
  <c r="AA46" i="22"/>
  <c r="AE46" i="22"/>
  <c r="AE50" i="22"/>
  <c r="AF50" i="22" s="1"/>
  <c r="AA50" i="22"/>
  <c r="AB50" i="22" s="1"/>
  <c r="AF43" i="22"/>
  <c r="AG43" i="22"/>
  <c r="AE23" i="22"/>
  <c r="AF23" i="22" s="1"/>
  <c r="AA23" i="22"/>
  <c r="AB23" i="22" s="1"/>
  <c r="DN204" i="1"/>
  <c r="DN50" i="1"/>
  <c r="Z48" i="22" s="1"/>
  <c r="DN4" i="1"/>
  <c r="DO61" i="1" s="1"/>
  <c r="IE61" i="1" s="1"/>
  <c r="AA10" i="22"/>
  <c r="AB10" i="22" s="1"/>
  <c r="AE10" i="22"/>
  <c r="AF10" i="22" s="1"/>
  <c r="IN43" i="1"/>
  <c r="IO43" i="1" s="1"/>
  <c r="IL43" i="1"/>
  <c r="IM43" i="1" s="1"/>
  <c r="O7" i="23"/>
  <c r="P7" i="23" s="1"/>
  <c r="MC43" i="1"/>
  <c r="AE36" i="22"/>
  <c r="AF36" i="22" s="1"/>
  <c r="AA36" i="22"/>
  <c r="AB36" i="22" s="1"/>
  <c r="DJ40" i="1"/>
  <c r="IN40" i="1" s="1"/>
  <c r="IO40" i="1" s="1"/>
  <c r="DJ46" i="1"/>
  <c r="IV46" i="1" s="1"/>
  <c r="IW46" i="1" s="1"/>
  <c r="IN39" i="1"/>
  <c r="IO39" i="1" s="1"/>
  <c r="AE35" i="22"/>
  <c r="AF35" i="22" s="1"/>
  <c r="AA35" i="22"/>
  <c r="AB35" i="22" s="1"/>
  <c r="DN39" i="1"/>
  <c r="DN40" i="1" s="1"/>
  <c r="Z38" i="22" s="1"/>
  <c r="IL39" i="1"/>
  <c r="IM39" i="1" s="1"/>
  <c r="MC39" i="1"/>
  <c r="M30" i="23"/>
  <c r="C70" i="23"/>
  <c r="C66" i="23"/>
  <c r="I30" i="23"/>
  <c r="C65" i="23"/>
  <c r="H30" i="23"/>
  <c r="BK5" i="1"/>
  <c r="BK69" i="1"/>
  <c r="BY34" i="1"/>
  <c r="FF19" i="1"/>
  <c r="FG19" i="1" s="1"/>
  <c r="FF18" i="1"/>
  <c r="FG18" i="1" s="1"/>
  <c r="EF18" i="1"/>
  <c r="EG18" i="1" s="1"/>
  <c r="CM7" i="1"/>
  <c r="IS5" i="1"/>
  <c r="HX40" i="1"/>
  <c r="HY40" i="1" s="1"/>
  <c r="ID18" i="1"/>
  <c r="ID40" i="1"/>
  <c r="EC5" i="1"/>
  <c r="P5" i="23"/>
  <c r="IV5" i="1"/>
  <c r="IW5" i="1" s="1"/>
  <c r="KW40" i="1"/>
  <c r="AV47" i="1"/>
  <c r="V47" i="1"/>
  <c r="CM52" i="1"/>
  <c r="GB18" i="1"/>
  <c r="GC18" i="1" s="1"/>
  <c r="KW19" i="1"/>
  <c r="GJ18" i="1"/>
  <c r="GK18" i="1" s="1"/>
  <c r="FX18" i="1"/>
  <c r="FY18" i="1" s="1"/>
  <c r="GD18" i="1"/>
  <c r="GE18" i="1" s="1"/>
  <c r="GN19" i="1"/>
  <c r="GO19" i="1" s="1"/>
  <c r="CM5" i="1"/>
  <c r="AW62" i="1"/>
  <c r="AW43" i="1"/>
  <c r="AW5" i="1"/>
  <c r="BY64" i="1"/>
  <c r="CM37" i="1"/>
  <c r="CM28" i="1"/>
  <c r="DA48" i="1"/>
  <c r="EC60" i="1"/>
  <c r="AW52" i="1"/>
  <c r="AW64" i="1"/>
  <c r="BY35" i="1"/>
  <c r="CM23" i="1"/>
  <c r="CM16" i="1"/>
  <c r="CM57" i="1"/>
  <c r="BK29" i="1"/>
  <c r="AW23" i="1"/>
  <c r="AW60" i="1"/>
  <c r="BK33" i="1"/>
  <c r="BY61" i="1"/>
  <c r="CM48" i="1"/>
  <c r="CM50" i="1"/>
  <c r="CM15" i="1"/>
  <c r="DA61" i="1"/>
  <c r="CM43" i="1"/>
  <c r="CM64" i="1"/>
  <c r="CM13" i="1"/>
  <c r="CM33" i="1"/>
  <c r="CM30" i="1"/>
  <c r="CM45" i="1"/>
  <c r="CM32" i="1"/>
  <c r="CM58" i="1"/>
  <c r="CM54" i="1"/>
  <c r="CM63" i="1"/>
  <c r="CM61" i="1"/>
  <c r="CM20" i="1"/>
  <c r="DA59" i="1"/>
  <c r="DA45" i="1"/>
  <c r="DA54" i="1"/>
  <c r="EC35" i="1"/>
  <c r="CM39" i="1"/>
  <c r="CM42" i="1"/>
  <c r="CM29" i="1"/>
  <c r="CM60" i="1"/>
  <c r="CM67" i="1"/>
  <c r="CM24" i="1"/>
  <c r="CM68" i="1"/>
  <c r="CM66" i="1"/>
  <c r="CM70" i="1"/>
  <c r="CM17" i="1"/>
  <c r="CM53" i="1"/>
  <c r="DA22" i="1"/>
  <c r="DA68" i="1"/>
  <c r="DA23" i="1"/>
  <c r="DA20" i="1"/>
  <c r="EC57" i="1"/>
  <c r="CM35" i="1"/>
  <c r="CM22" i="1"/>
  <c r="CM59" i="1"/>
  <c r="CM62" i="1"/>
  <c r="CM55" i="1"/>
  <c r="CM38" i="1"/>
  <c r="CM56" i="1"/>
  <c r="CM26" i="1"/>
  <c r="CM25" i="1"/>
  <c r="CM27" i="1"/>
  <c r="CM6" i="1"/>
  <c r="DA13" i="1"/>
  <c r="DA6" i="1"/>
  <c r="DA63" i="1"/>
  <c r="C62" i="23"/>
  <c r="E30" i="23"/>
  <c r="S17" i="22"/>
  <c r="T17" i="22" s="1"/>
  <c r="U17" i="22" s="1"/>
  <c r="T5" i="22"/>
  <c r="U5" i="22" s="1"/>
  <c r="S4" i="22"/>
  <c r="T4" i="22" s="1"/>
  <c r="U4" i="22" s="1"/>
  <c r="ER40" i="1"/>
  <c r="ES40" i="1" s="1"/>
  <c r="G30" i="23"/>
  <c r="ET40" i="1"/>
  <c r="EU40" i="1" s="1"/>
  <c r="EN40" i="1"/>
  <c r="EO40" i="1" s="1"/>
  <c r="KL40" i="1"/>
  <c r="EZ18" i="1"/>
  <c r="FA18" i="1" s="1"/>
  <c r="FH19" i="1"/>
  <c r="FI19" i="1" s="1"/>
  <c r="FZ18" i="1"/>
  <c r="GA18" i="1" s="1"/>
  <c r="GP19" i="1"/>
  <c r="GQ19" i="1" s="1"/>
  <c r="LL40" i="1"/>
  <c r="IF19" i="1"/>
  <c r="IG19" i="1" s="1"/>
  <c r="FN19" i="1"/>
  <c r="FO19" i="1" s="1"/>
  <c r="HH40" i="1"/>
  <c r="HI40" i="1" s="1"/>
  <c r="HL18" i="1"/>
  <c r="HM18" i="1" s="1"/>
  <c r="MA18" i="1"/>
  <c r="LY40" i="1"/>
  <c r="AJ47" i="1"/>
  <c r="JM47" i="1" s="1"/>
  <c r="BY18" i="1"/>
  <c r="FL40" i="1"/>
  <c r="FM40" i="1" s="1"/>
  <c r="C71" i="23"/>
  <c r="FL19" i="1"/>
  <c r="FM19" i="1" s="1"/>
  <c r="JY18" i="1"/>
  <c r="EH18" i="1"/>
  <c r="EI18" i="1" s="1"/>
  <c r="IQ18" i="1" s="1"/>
  <c r="GZ18" i="1"/>
  <c r="HA18" i="1" s="1"/>
  <c r="LP18" i="1"/>
  <c r="LL19" i="1"/>
  <c r="GX19" i="1"/>
  <c r="GY19" i="1" s="1"/>
  <c r="GZ19" i="1"/>
  <c r="HA19" i="1" s="1"/>
  <c r="HR40" i="1"/>
  <c r="HS40" i="1" s="1"/>
  <c r="AL8" i="1"/>
  <c r="AL47" i="1" s="1"/>
  <c r="JO47" i="1" s="1"/>
  <c r="AK47" i="1"/>
  <c r="JN47" i="1" s="1"/>
  <c r="C67" i="23"/>
  <c r="J30" i="23"/>
  <c r="X8" i="1"/>
  <c r="Y8" i="1" s="1"/>
  <c r="Y47" i="1" s="1"/>
  <c r="BK67" i="1"/>
  <c r="BK62" i="1"/>
  <c r="BK59" i="1"/>
  <c r="BK35" i="1"/>
  <c r="KD40" i="1"/>
  <c r="D30" i="23"/>
  <c r="EH19" i="1"/>
  <c r="EI19" i="1" s="1"/>
  <c r="IQ19" i="1" s="1"/>
  <c r="EF19" i="1"/>
  <c r="EG19" i="1" s="1"/>
  <c r="KK19" i="1"/>
  <c r="FD19" i="1"/>
  <c r="FE19" i="1" s="1"/>
  <c r="KS18" i="1"/>
  <c r="FT18" i="1"/>
  <c r="FU18" i="1" s="1"/>
  <c r="W5" i="22"/>
  <c r="X5" i="22" s="1"/>
  <c r="LS40" i="1"/>
  <c r="HD19" i="1"/>
  <c r="HE19" i="1" s="1"/>
  <c r="W6" i="22"/>
  <c r="X6" i="22" s="1"/>
  <c r="IJ40" i="1"/>
  <c r="IK40" i="1" s="1"/>
  <c r="MA19" i="1"/>
  <c r="IJ19" i="1"/>
  <c r="IK19" i="1" s="1"/>
  <c r="MC18" i="1"/>
  <c r="LP19" i="1"/>
  <c r="HL19" i="1"/>
  <c r="HM19" i="1" s="1"/>
  <c r="IL18" i="1"/>
  <c r="IM18" i="1" s="1"/>
  <c r="IJ18" i="1"/>
  <c r="IK18" i="1" s="1"/>
  <c r="MB18" i="1"/>
  <c r="BK24" i="1"/>
  <c r="BK70" i="1"/>
  <c r="BK58" i="1"/>
  <c r="BK6" i="1"/>
  <c r="EP40" i="1"/>
  <c r="EQ40" i="1" s="1"/>
  <c r="EX40" i="1"/>
  <c r="EY40" i="1" s="1"/>
  <c r="KD19" i="1"/>
  <c r="EN19" i="1"/>
  <c r="EO19" i="1" s="1"/>
  <c r="KF19" i="1"/>
  <c r="ER19" i="1"/>
  <c r="ES19" i="1" s="1"/>
  <c r="EV18" i="1"/>
  <c r="EW18" i="1" s="1"/>
  <c r="KG18" i="1"/>
  <c r="FD18" i="1"/>
  <c r="FE18" i="1" s="1"/>
  <c r="FB18" i="1"/>
  <c r="FC18" i="1" s="1"/>
  <c r="KY18" i="1"/>
  <c r="GF18" i="1"/>
  <c r="GG18" i="1" s="1"/>
  <c r="GR19" i="1"/>
  <c r="GS19" i="1" s="1"/>
  <c r="LF19" i="1"/>
  <c r="HF40" i="1"/>
  <c r="HG40" i="1" s="1"/>
  <c r="IQ7" i="1"/>
  <c r="IL19" i="1"/>
  <c r="IM19" i="1" s="1"/>
  <c r="HP40" i="1"/>
  <c r="HQ40" i="1" s="1"/>
  <c r="LT40" i="1"/>
  <c r="HT40" i="1"/>
  <c r="HU40" i="1" s="1"/>
  <c r="W38" i="22"/>
  <c r="Y38" i="22" s="1"/>
  <c r="BK45" i="1"/>
  <c r="BK17" i="1"/>
  <c r="AW59" i="1"/>
  <c r="AW6" i="1"/>
  <c r="AW38" i="1"/>
  <c r="BK64" i="1"/>
  <c r="BK61" i="1"/>
  <c r="KG40" i="1"/>
  <c r="ED40" i="1"/>
  <c r="EE40" i="1" s="1"/>
  <c r="FT40" i="1"/>
  <c r="FU40" i="1" s="1"/>
  <c r="FT19" i="1"/>
  <c r="FU19" i="1" s="1"/>
  <c r="FB19" i="1"/>
  <c r="FC19" i="1" s="1"/>
  <c r="EN18" i="1"/>
  <c r="EO18" i="1" s="1"/>
  <c r="IQ6" i="1"/>
  <c r="ED19" i="1"/>
  <c r="EE19" i="1" s="1"/>
  <c r="EP18" i="1"/>
  <c r="EQ18" i="1" s="1"/>
  <c r="KE18" i="1"/>
  <c r="EV19" i="1"/>
  <c r="EW19" i="1" s="1"/>
  <c r="ET19" i="1"/>
  <c r="EU19" i="1" s="1"/>
  <c r="FJ18" i="1"/>
  <c r="FK18" i="1" s="1"/>
  <c r="KO18" i="1"/>
  <c r="CM18" i="1"/>
  <c r="LC19" i="1"/>
  <c r="KU40" i="1"/>
  <c r="FX40" i="1"/>
  <c r="FY40" i="1" s="1"/>
  <c r="KU19" i="1"/>
  <c r="FV19" i="1"/>
  <c r="FW19" i="1" s="1"/>
  <c r="LB40" i="1"/>
  <c r="GJ40" i="1"/>
  <c r="GK40" i="1" s="1"/>
  <c r="GL40" i="1"/>
  <c r="GM40" i="1" s="1"/>
  <c r="AA6" i="22"/>
  <c r="AB6" i="22" s="1"/>
  <c r="IB18" i="1"/>
  <c r="IC18" i="1" s="1"/>
  <c r="LX18" i="1"/>
  <c r="FH40" i="1"/>
  <c r="FI40" i="1" s="1"/>
  <c r="GX18" i="1"/>
  <c r="GY18" i="1" s="1"/>
  <c r="IV6" i="1"/>
  <c r="IW6" i="1" s="1"/>
  <c r="ED18" i="1"/>
  <c r="EE18" i="1" s="1"/>
  <c r="P28" i="23"/>
  <c r="Q28" i="23" s="1"/>
  <c r="R28" i="23" s="1"/>
  <c r="FH18" i="1"/>
  <c r="FI18" i="1" s="1"/>
  <c r="FL18" i="1"/>
  <c r="FM18" i="1" s="1"/>
  <c r="FP40" i="1"/>
  <c r="FQ40" i="1" s="1"/>
  <c r="GD40" i="1"/>
  <c r="GE40" i="1" s="1"/>
  <c r="V2" i="1"/>
  <c r="V3" i="1" s="1"/>
  <c r="V14" i="1" s="1"/>
  <c r="EC66" i="1"/>
  <c r="W1" i="1"/>
  <c r="W2" i="1" s="1"/>
  <c r="W3" i="1" s="1"/>
  <c r="W14" i="1" s="1"/>
  <c r="AW67" i="1"/>
  <c r="AW16" i="1"/>
  <c r="AW66" i="1"/>
  <c r="AW25" i="1"/>
  <c r="AW28" i="1"/>
  <c r="BY67" i="1"/>
  <c r="BY59" i="1"/>
  <c r="DA16" i="1"/>
  <c r="DA69" i="1"/>
  <c r="DA66" i="1"/>
  <c r="DA67" i="1"/>
  <c r="DA32" i="1"/>
  <c r="DA42" i="1"/>
  <c r="EC32" i="1"/>
  <c r="EC28" i="1"/>
  <c r="EC63" i="1"/>
  <c r="EC48" i="1"/>
  <c r="EC34" i="1"/>
  <c r="EC64" i="1"/>
  <c r="EC40" i="1"/>
  <c r="AW58" i="1"/>
  <c r="AW69" i="1"/>
  <c r="AW32" i="1"/>
  <c r="AW17" i="1"/>
  <c r="AW29" i="1"/>
  <c r="BY30" i="1"/>
  <c r="BY60" i="1"/>
  <c r="DA26" i="1"/>
  <c r="DA38" i="1"/>
  <c r="DA55" i="1"/>
  <c r="DA25" i="1"/>
  <c r="DA60" i="1"/>
  <c r="DA58" i="1"/>
  <c r="EC14" i="1"/>
  <c r="EC7" i="1"/>
  <c r="EC43" i="1"/>
  <c r="EC18" i="1"/>
  <c r="EC16" i="1"/>
  <c r="EC45" i="1"/>
  <c r="EC26" i="1"/>
  <c r="IN19" i="1"/>
  <c r="IO19" i="1" s="1"/>
  <c r="IV7" i="1"/>
  <c r="IW7" i="1" s="1"/>
  <c r="AK1" i="1"/>
  <c r="BY66" i="1"/>
  <c r="BY43" i="1"/>
  <c r="BY37" i="1"/>
  <c r="BY5" i="1"/>
  <c r="BY39" i="1"/>
  <c r="BY28" i="1"/>
  <c r="BY58" i="1"/>
  <c r="BY48" i="1"/>
  <c r="BY16" i="1"/>
  <c r="BY68" i="1"/>
  <c r="BY27" i="1"/>
  <c r="BY57" i="1"/>
  <c r="BY70" i="1"/>
  <c r="BY15" i="1"/>
  <c r="BY17" i="1"/>
  <c r="BY13" i="1"/>
  <c r="BY62" i="1"/>
  <c r="BY38" i="1"/>
  <c r="BY45" i="1"/>
  <c r="BY32" i="1"/>
  <c r="BY55" i="1"/>
  <c r="BY33" i="1"/>
  <c r="BY29" i="1"/>
  <c r="BY7" i="1"/>
  <c r="BY52" i="1"/>
  <c r="BY42" i="1"/>
  <c r="BY25" i="1"/>
  <c r="BY69" i="1"/>
  <c r="BY50" i="1"/>
  <c r="BY53" i="1"/>
  <c r="BY20" i="1"/>
  <c r="BY24" i="1"/>
  <c r="BY54" i="1"/>
  <c r="BY22" i="1"/>
  <c r="BY26" i="1"/>
  <c r="BY6" i="1"/>
  <c r="BY23" i="1"/>
  <c r="BY63" i="1"/>
  <c r="AJ3" i="1"/>
  <c r="AJ14" i="1" s="1"/>
  <c r="BK32" i="1"/>
  <c r="BK68" i="1"/>
  <c r="BK25" i="1"/>
  <c r="BK40" i="1"/>
  <c r="BK16" i="1"/>
  <c r="BK63" i="1"/>
  <c r="BK60" i="1"/>
  <c r="BK20" i="1"/>
  <c r="AW34" i="1"/>
  <c r="AW35" i="1"/>
  <c r="AW68" i="1"/>
  <c r="AW30" i="1"/>
  <c r="AW54" i="1"/>
  <c r="AW26" i="1"/>
  <c r="AW7" i="1"/>
  <c r="AW63" i="1"/>
  <c r="AW61" i="1"/>
  <c r="AW48" i="1"/>
  <c r="AW13" i="1"/>
  <c r="AW53" i="1"/>
  <c r="BY19" i="1"/>
  <c r="DA43" i="1"/>
  <c r="DA62" i="1"/>
  <c r="DA37" i="1"/>
  <c r="DA24" i="1"/>
  <c r="DA30" i="1"/>
  <c r="DA50" i="1"/>
  <c r="DA64" i="1"/>
  <c r="DA33" i="1"/>
  <c r="DA52" i="1"/>
  <c r="DA15" i="1"/>
  <c r="DA34" i="1"/>
  <c r="DA57" i="1"/>
  <c r="EC70" i="1"/>
  <c r="EC53" i="1"/>
  <c r="EC30" i="1"/>
  <c r="EC69" i="1"/>
  <c r="EC52" i="1"/>
  <c r="EC29" i="1"/>
  <c r="EC11" i="1"/>
  <c r="EC37" i="1"/>
  <c r="EC13" i="1"/>
  <c r="EC55" i="1"/>
  <c r="EC33" i="1"/>
  <c r="EC15" i="1"/>
  <c r="EC42" i="1"/>
  <c r="EC17" i="1"/>
  <c r="BK66" i="1"/>
  <c r="BK42" i="1"/>
  <c r="BK48" i="1"/>
  <c r="BK52" i="1"/>
  <c r="BK22" i="1"/>
  <c r="BK54" i="1"/>
  <c r="BK34" i="1"/>
  <c r="BK13" i="1"/>
  <c r="BK27" i="1"/>
  <c r="BK28" i="1"/>
  <c r="BK23" i="1"/>
  <c r="BK26" i="1"/>
  <c r="BK57" i="1"/>
  <c r="BK53" i="1"/>
  <c r="BK43" i="1"/>
  <c r="AW27" i="1"/>
  <c r="AW45" i="1"/>
  <c r="AW39" i="1"/>
  <c r="AW37" i="1"/>
  <c r="AW24" i="1"/>
  <c r="AW15" i="1"/>
  <c r="AW57" i="1"/>
  <c r="AW20" i="1"/>
  <c r="BK39" i="1"/>
  <c r="BK38" i="1"/>
  <c r="BK37" i="1"/>
  <c r="BK30" i="1"/>
  <c r="DA35" i="1"/>
  <c r="DA56" i="1"/>
  <c r="DA53" i="1"/>
  <c r="DA7" i="1"/>
  <c r="DA17" i="1"/>
  <c r="DA28" i="1"/>
  <c r="DA39" i="1"/>
  <c r="DA5" i="1"/>
  <c r="DA27" i="1"/>
  <c r="EC54" i="1"/>
  <c r="EC24" i="1"/>
  <c r="EC50" i="1"/>
  <c r="EC6" i="1"/>
  <c r="EC58" i="1"/>
  <c r="EC25" i="1"/>
  <c r="EC56" i="1"/>
  <c r="EC22" i="1"/>
  <c r="EC47" i="1"/>
  <c r="BK19" i="1"/>
  <c r="P18" i="23"/>
  <c r="C19" i="23"/>
  <c r="GB40" i="1"/>
  <c r="GC40" i="1" s="1"/>
  <c r="CM40" i="1"/>
  <c r="EL40" i="1"/>
  <c r="EM40" i="1" s="1"/>
  <c r="KB40" i="1"/>
  <c r="AF6" i="22"/>
  <c r="AG6" i="22"/>
  <c r="AW40" i="1"/>
  <c r="EH40" i="1"/>
  <c r="EI40" i="1" s="1"/>
  <c r="IQ40" i="1" s="1"/>
  <c r="P29" i="23"/>
  <c r="Q29" i="23" s="1"/>
  <c r="R29" i="23" s="1"/>
  <c r="C60" i="23"/>
  <c r="F30" i="23"/>
  <c r="C68" i="23"/>
  <c r="KJ18" i="1"/>
  <c r="GT19" i="1"/>
  <c r="GU19" i="1" s="1"/>
  <c r="GV19" i="1"/>
  <c r="GW19" i="1" s="1"/>
  <c r="LO40" i="1"/>
  <c r="HJ40" i="1"/>
  <c r="HK40" i="1" s="1"/>
  <c r="IH19" i="1"/>
  <c r="II19" i="1" s="1"/>
  <c r="P4" i="23"/>
  <c r="P3" i="23"/>
  <c r="MA40" i="1"/>
  <c r="IH40" i="1"/>
  <c r="II40" i="1" s="1"/>
  <c r="L30" i="23"/>
  <c r="C69" i="23"/>
  <c r="KO40" i="1"/>
  <c r="FJ40" i="1"/>
  <c r="FK40" i="1" s="1"/>
  <c r="KQ18" i="1"/>
  <c r="FN18" i="1"/>
  <c r="FO18" i="1" s="1"/>
  <c r="KR40" i="1"/>
  <c r="FR40" i="1"/>
  <c r="FS40" i="1" s="1"/>
  <c r="LG18" i="1"/>
  <c r="GT18" i="1"/>
  <c r="GU18" i="1" s="1"/>
  <c r="GV18" i="1"/>
  <c r="GW18" i="1" s="1"/>
  <c r="HV19" i="1"/>
  <c r="HW19" i="1" s="1"/>
  <c r="HT19" i="1"/>
  <c r="HU19" i="1" s="1"/>
  <c r="DA19" i="1"/>
  <c r="LU18" i="1"/>
  <c r="HV18" i="1"/>
  <c r="HW18" i="1" s="1"/>
  <c r="HX19" i="1"/>
  <c r="HY19" i="1" s="1"/>
  <c r="LV19" i="1"/>
  <c r="HZ40" i="1"/>
  <c r="IA40" i="1" s="1"/>
  <c r="IB40" i="1"/>
  <c r="IC40" i="1" s="1"/>
  <c r="LW40" i="1"/>
  <c r="LY19" i="1"/>
  <c r="ID19" i="1"/>
  <c r="LZ40" i="1"/>
  <c r="IF40" i="1"/>
  <c r="IG40" i="1" s="1"/>
  <c r="EJ40" i="1"/>
  <c r="EK40" i="1" s="1"/>
  <c r="IR40" i="1" s="1"/>
  <c r="IS40" i="1" s="1"/>
  <c r="EV40" i="1"/>
  <c r="EW40" i="1" s="1"/>
  <c r="EF40" i="1"/>
  <c r="EG40" i="1" s="1"/>
  <c r="EI5" i="1"/>
  <c r="IQ5" i="1" s="1"/>
  <c r="BY40" i="1"/>
  <c r="FB40" i="1"/>
  <c r="FC40" i="1" s="1"/>
  <c r="FR19" i="1"/>
  <c r="FS19" i="1" s="1"/>
  <c r="FP19" i="1"/>
  <c r="FQ19" i="1" s="1"/>
  <c r="JN19" i="1"/>
  <c r="AW19" i="1"/>
  <c r="EJ18" i="1"/>
  <c r="EK18" i="1" s="1"/>
  <c r="IR18" i="1" s="1"/>
  <c r="IS18" i="1" s="1"/>
  <c r="EL18" i="1"/>
  <c r="EM18" i="1" s="1"/>
  <c r="KN18" i="1"/>
  <c r="KR19" i="1"/>
  <c r="EZ19" i="1"/>
  <c r="FA19" i="1" s="1"/>
  <c r="KI19" i="1"/>
  <c r="P23" i="23"/>
  <c r="D24" i="23"/>
  <c r="D25" i="23" s="1"/>
  <c r="P25" i="23" s="1"/>
  <c r="FD40" i="1"/>
  <c r="FE40" i="1" s="1"/>
  <c r="FZ19" i="1"/>
  <c r="GA19" i="1" s="1"/>
  <c r="FX19" i="1"/>
  <c r="FY19" i="1" s="1"/>
  <c r="KX19" i="1"/>
  <c r="CM19" i="1"/>
  <c r="GD19" i="1"/>
  <c r="GE19" i="1" s="1"/>
  <c r="GH19" i="1"/>
  <c r="GI19" i="1" s="1"/>
  <c r="GJ19" i="1"/>
  <c r="GK19" i="1" s="1"/>
  <c r="LB19" i="1"/>
  <c r="GL18" i="1"/>
  <c r="GM18" i="1" s="1"/>
  <c r="LC18" i="1"/>
  <c r="GR40" i="1"/>
  <c r="GS40" i="1" s="1"/>
  <c r="LF40" i="1"/>
  <c r="C9" i="23"/>
  <c r="GV40" i="1"/>
  <c r="GW40" i="1" s="1"/>
  <c r="GT40" i="1"/>
  <c r="GU40" i="1" s="1"/>
  <c r="E15" i="23"/>
  <c r="P15" i="23" s="1"/>
  <c r="P14" i="23"/>
  <c r="LI40" i="1"/>
  <c r="GX40" i="1"/>
  <c r="GY40" i="1" s="1"/>
  <c r="DA40" i="1"/>
  <c r="GZ40" i="1"/>
  <c r="HA40" i="1" s="1"/>
  <c r="LJ40" i="1"/>
  <c r="LJ19" i="1"/>
  <c r="HB19" i="1"/>
  <c r="HC19" i="1" s="1"/>
  <c r="LK18" i="1"/>
  <c r="HB18" i="1"/>
  <c r="HC18" i="1" s="1"/>
  <c r="DA18" i="1"/>
  <c r="LL18" i="1"/>
  <c r="HD18" i="1"/>
  <c r="HE18" i="1" s="1"/>
  <c r="HF18" i="1"/>
  <c r="HG18" i="1" s="1"/>
  <c r="LN19" i="1"/>
  <c r="HJ19" i="1"/>
  <c r="HK19" i="1" s="1"/>
  <c r="HH19" i="1"/>
  <c r="HI19" i="1" s="1"/>
  <c r="HP19" i="1"/>
  <c r="HQ19" i="1" s="1"/>
  <c r="LQ19" i="1"/>
  <c r="HN19" i="1"/>
  <c r="HO19" i="1" s="1"/>
  <c r="KU18" i="1"/>
  <c r="FV18" i="1"/>
  <c r="FW18" i="1" s="1"/>
  <c r="GF40" i="1"/>
  <c r="GG40" i="1" s="1"/>
  <c r="KZ40" i="1"/>
  <c r="GH40" i="1"/>
  <c r="GI40" i="1" s="1"/>
  <c r="GP40" i="1"/>
  <c r="GQ40" i="1" s="1"/>
  <c r="GN40" i="1"/>
  <c r="GO40" i="1" s="1"/>
  <c r="GP18" i="1"/>
  <c r="GQ18" i="1" s="1"/>
  <c r="LE18" i="1"/>
  <c r="GR18" i="1"/>
  <c r="GS18" i="1" s="1"/>
  <c r="HN18" i="1"/>
  <c r="HO18" i="1" s="1"/>
  <c r="HJ18" i="1"/>
  <c r="HK18" i="1" s="1"/>
  <c r="LO18" i="1"/>
  <c r="HN40" i="1"/>
  <c r="HO40" i="1" s="1"/>
  <c r="HL40" i="1"/>
  <c r="HM40" i="1" s="1"/>
  <c r="AE4" i="22"/>
  <c r="HB40" i="1"/>
  <c r="HC40" i="1" s="1"/>
  <c r="AE5" i="22"/>
  <c r="AA5" i="22"/>
  <c r="LR18" i="1"/>
  <c r="HP18" i="1"/>
  <c r="HQ18" i="1" s="1"/>
  <c r="HT18" i="1"/>
  <c r="HU18" i="1" s="1"/>
  <c r="HR18" i="1"/>
  <c r="HS18" i="1" s="1"/>
  <c r="HX18" i="1"/>
  <c r="HY18" i="1" s="1"/>
  <c r="HZ18" i="1"/>
  <c r="IA18" i="1" s="1"/>
  <c r="LW19" i="1"/>
  <c r="HZ19" i="1"/>
  <c r="IA19" i="1" s="1"/>
  <c r="IB19" i="1"/>
  <c r="IC19" i="1" s="1"/>
  <c r="Z17" i="22"/>
  <c r="AE17" i="22" s="1"/>
  <c r="AA27" i="22"/>
  <c r="AB27" i="22" s="1"/>
  <c r="AA26" i="22"/>
  <c r="AB26" i="22" s="1"/>
  <c r="AE26" i="22"/>
  <c r="AF26" i="22" s="1"/>
  <c r="AA25" i="22"/>
  <c r="AB25" i="22" s="1"/>
  <c r="AE25" i="22"/>
  <c r="AF25" i="22" s="1"/>
  <c r="IV22" i="1"/>
  <c r="IW22" i="1" s="1"/>
  <c r="AA24" i="22"/>
  <c r="AB24" i="22" s="1"/>
  <c r="AA21" i="22"/>
  <c r="AB21" i="22" s="1"/>
  <c r="AE21" i="22"/>
  <c r="AF21" i="22" s="1"/>
  <c r="DN49" i="1"/>
  <c r="Z47" i="22" s="1"/>
  <c r="AA47" i="22" s="1"/>
  <c r="IV49" i="1"/>
  <c r="IW49" i="1" s="1"/>
  <c r="IN49" i="1"/>
  <c r="IO49" i="1" s="1"/>
  <c r="MC49" i="1"/>
  <c r="IL49" i="1"/>
  <c r="IM49" i="1" s="1"/>
  <c r="AA22" i="22"/>
  <c r="AB22" i="22" s="1"/>
  <c r="AA12" i="22"/>
  <c r="AB12" i="22" s="1"/>
  <c r="AE12" i="22"/>
  <c r="AF12" i="22" s="1"/>
  <c r="MC34" i="1"/>
  <c r="IL34" i="1"/>
  <c r="IM34" i="1" s="1"/>
  <c r="AM8" i="1" l="1"/>
  <c r="BK18" i="1"/>
  <c r="DO68" i="1"/>
  <c r="IE68" i="1" s="1"/>
  <c r="W4" i="22"/>
  <c r="X4" i="22" s="1"/>
  <c r="AA4" i="22"/>
  <c r="AC4" i="22" s="1"/>
  <c r="DO62" i="1"/>
  <c r="DO37" i="1"/>
  <c r="IE37" i="1" s="1"/>
  <c r="DO59" i="1"/>
  <c r="IE59" i="1" s="1"/>
  <c r="W17" i="22"/>
  <c r="X17" i="22" s="1"/>
  <c r="DO18" i="1"/>
  <c r="IE18" i="1" s="1"/>
  <c r="DO43" i="1"/>
  <c r="IE43" i="1" s="1"/>
  <c r="DO48" i="1"/>
  <c r="IE48" i="1" s="1"/>
  <c r="DO23" i="1"/>
  <c r="IE23" i="1" s="1"/>
  <c r="DO55" i="1"/>
  <c r="IE55" i="1" s="1"/>
  <c r="DO26" i="1"/>
  <c r="IE26" i="1" s="1"/>
  <c r="EC46" i="1"/>
  <c r="DO56" i="1"/>
  <c r="AC43" i="22"/>
  <c r="AB43" i="22"/>
  <c r="DO6" i="1"/>
  <c r="IE6" i="1" s="1"/>
  <c r="DO20" i="1"/>
  <c r="IE20" i="1" s="1"/>
  <c r="DO17" i="1"/>
  <c r="IE17" i="1" s="1"/>
  <c r="DO25" i="1"/>
  <c r="IE25" i="1" s="1"/>
  <c r="DO7" i="1"/>
  <c r="IE7" i="1" s="1"/>
  <c r="DO38" i="1"/>
  <c r="IE38" i="1" s="1"/>
  <c r="DO13" i="1"/>
  <c r="IE13" i="1" s="1"/>
  <c r="DO60" i="1"/>
  <c r="IE60" i="1" s="1"/>
  <c r="DO24" i="1"/>
  <c r="IE24" i="1" s="1"/>
  <c r="DO5" i="1"/>
  <c r="IE5" i="1" s="1"/>
  <c r="DO69" i="1"/>
  <c r="IE69" i="1" s="1"/>
  <c r="DO30" i="1"/>
  <c r="IE30" i="1" s="1"/>
  <c r="DO54" i="1"/>
  <c r="DO34" i="1"/>
  <c r="IE34" i="1" s="1"/>
  <c r="DO70" i="1"/>
  <c r="IE70" i="1" s="1"/>
  <c r="DO29" i="1"/>
  <c r="IE29" i="1" s="1"/>
  <c r="DO28" i="1"/>
  <c r="DO63" i="1"/>
  <c r="IE63" i="1" s="1"/>
  <c r="DO45" i="1"/>
  <c r="IE45" i="1" s="1"/>
  <c r="DO57" i="1"/>
  <c r="IE57" i="1" s="1"/>
  <c r="DO39" i="1"/>
  <c r="IE39" i="1" s="1"/>
  <c r="DO33" i="1"/>
  <c r="IE33" i="1" s="1"/>
  <c r="DO32" i="1"/>
  <c r="IE32" i="1" s="1"/>
  <c r="DO58" i="1"/>
  <c r="IE58" i="1" s="1"/>
  <c r="DO53" i="1"/>
  <c r="IE53" i="1" s="1"/>
  <c r="AE48" i="22"/>
  <c r="AF48" i="22" s="1"/>
  <c r="AA48" i="22"/>
  <c r="AB48" i="22" s="1"/>
  <c r="AG46" i="22"/>
  <c r="AF46" i="22"/>
  <c r="DO19" i="1"/>
  <c r="IE19" i="1" s="1"/>
  <c r="DO35" i="1"/>
  <c r="IE35" i="1" s="1"/>
  <c r="DO67" i="1"/>
  <c r="IE67" i="1" s="1"/>
  <c r="DO42" i="1"/>
  <c r="IE42" i="1" s="1"/>
  <c r="DO64" i="1"/>
  <c r="IE64" i="1" s="1"/>
  <c r="DO11" i="1"/>
  <c r="IE11" i="1" s="1"/>
  <c r="DO27" i="1"/>
  <c r="IE27" i="1" s="1"/>
  <c r="DO66" i="1"/>
  <c r="IE66" i="1" s="1"/>
  <c r="DO15" i="1"/>
  <c r="IE15" i="1" s="1"/>
  <c r="DO50" i="1"/>
  <c r="IE50" i="1" s="1"/>
  <c r="DO22" i="1"/>
  <c r="IE22" i="1" s="1"/>
  <c r="DO52" i="1"/>
  <c r="IE52" i="1" s="1"/>
  <c r="DO16" i="1"/>
  <c r="IE16" i="1" s="1"/>
  <c r="AC46" i="22"/>
  <c r="AB46" i="22"/>
  <c r="Q7" i="23"/>
  <c r="R7" i="23" s="1"/>
  <c r="Q2" i="23"/>
  <c r="R2" i="23" s="1"/>
  <c r="P8" i="23"/>
  <c r="Q8" i="23" s="1"/>
  <c r="R8" i="23" s="1"/>
  <c r="IL46" i="1"/>
  <c r="IM46" i="1" s="1"/>
  <c r="MC40" i="1"/>
  <c r="IN46" i="1"/>
  <c r="IO46" i="1" s="1"/>
  <c r="MC46" i="1"/>
  <c r="IL40" i="1"/>
  <c r="IM40" i="1" s="1"/>
  <c r="DO40" i="1"/>
  <c r="IE40" i="1" s="1"/>
  <c r="AE38" i="22"/>
  <c r="AA38" i="22"/>
  <c r="AC38" i="22" s="1"/>
  <c r="Z37" i="22"/>
  <c r="DN46" i="1"/>
  <c r="Z44" i="22" s="1"/>
  <c r="DA49" i="1"/>
  <c r="AW18" i="1"/>
  <c r="CM49" i="1"/>
  <c r="BK46" i="1"/>
  <c r="CM46" i="1"/>
  <c r="DA204" i="1"/>
  <c r="CM204" i="1"/>
  <c r="AA17" i="22"/>
  <c r="AB17" i="22" s="1"/>
  <c r="X38" i="22"/>
  <c r="Q18" i="23"/>
  <c r="R18" i="23" s="1"/>
  <c r="X1" i="1"/>
  <c r="Y1" i="1" s="1"/>
  <c r="AC6" i="22"/>
  <c r="IV40" i="1"/>
  <c r="IW40" i="1" s="1"/>
  <c r="Y6" i="22"/>
  <c r="X47" i="1"/>
  <c r="Y17" i="22"/>
  <c r="IV18" i="1"/>
  <c r="IW18" i="1" s="1"/>
  <c r="Q23" i="23"/>
  <c r="R23" i="23" s="1"/>
  <c r="EC49" i="1"/>
  <c r="EC204" i="1"/>
  <c r="IV19" i="1"/>
  <c r="IW19" i="1" s="1"/>
  <c r="BY49" i="1"/>
  <c r="BY204" i="1"/>
  <c r="AL1" i="1"/>
  <c r="AK2" i="1"/>
  <c r="AK3" i="1" s="1"/>
  <c r="AK14" i="1" s="1"/>
  <c r="JN14" i="1" s="1"/>
  <c r="AW46" i="1"/>
  <c r="AW47" i="1"/>
  <c r="BK50" i="1"/>
  <c r="BK49" i="1"/>
  <c r="BK204" i="1"/>
  <c r="JM14" i="1"/>
  <c r="BY46" i="1"/>
  <c r="AW49" i="1"/>
  <c r="AW204" i="1"/>
  <c r="AW50" i="1"/>
  <c r="AC5" i="22"/>
  <c r="AB5" i="22"/>
  <c r="C20" i="23"/>
  <c r="P20" i="23" s="1"/>
  <c r="Q20" i="23" s="1"/>
  <c r="R20" i="23" s="1"/>
  <c r="P19" i="23"/>
  <c r="Q14" i="23" s="1"/>
  <c r="R14" i="23" s="1"/>
  <c r="AF5" i="22"/>
  <c r="AG5" i="22"/>
  <c r="P9" i="23"/>
  <c r="Q9" i="23" s="1"/>
  <c r="R9" i="23" s="1"/>
  <c r="C10" i="23"/>
  <c r="P10" i="23" s="1"/>
  <c r="AG4" i="22"/>
  <c r="AF4" i="22"/>
  <c r="P30" i="23"/>
  <c r="Q30" i="23" s="1"/>
  <c r="R30" i="23" s="1"/>
  <c r="P24" i="23"/>
  <c r="Q24" i="23" s="1"/>
  <c r="R24" i="23" s="1"/>
  <c r="Q13" i="23"/>
  <c r="R13" i="23" s="1"/>
  <c r="AM47" i="1"/>
  <c r="JP47" i="1" s="1"/>
  <c r="AN8" i="1"/>
  <c r="AE47" i="22"/>
  <c r="AG47" i="22" s="1"/>
  <c r="AF17" i="22"/>
  <c r="AG17" i="22"/>
  <c r="AB47" i="22"/>
  <c r="AC47" i="22"/>
  <c r="AB4" i="22" l="1"/>
  <c r="Y4" i="22"/>
  <c r="AC17" i="22"/>
  <c r="DO204" i="1"/>
  <c r="X2" i="1"/>
  <c r="X3" i="1" s="1"/>
  <c r="X14" i="1" s="1"/>
  <c r="AB38" i="22"/>
  <c r="DO46" i="1"/>
  <c r="IE46" i="1" s="1"/>
  <c r="IE28" i="1"/>
  <c r="DO49" i="1"/>
  <c r="IE49" i="1" s="1"/>
  <c r="Q3" i="23"/>
  <c r="R3" i="23" s="1"/>
  <c r="AE44" i="22"/>
  <c r="AA44" i="22"/>
  <c r="AA37" i="22"/>
  <c r="AB37" i="22" s="1"/>
  <c r="AE37" i="22"/>
  <c r="AF37" i="22" s="1"/>
  <c r="AF38" i="22"/>
  <c r="AG38" i="22"/>
  <c r="Q25" i="23"/>
  <c r="R25" i="23" s="1"/>
  <c r="AL2" i="1"/>
  <c r="AL3" i="1" s="1"/>
  <c r="AL14" i="1" s="1"/>
  <c r="JO14" i="1" s="1"/>
  <c r="AM1" i="1"/>
  <c r="Y2" i="1"/>
  <c r="Y3" i="1" s="1"/>
  <c r="Y14" i="1" s="1"/>
  <c r="Q15" i="23"/>
  <c r="R15" i="23" s="1"/>
  <c r="AO8" i="1"/>
  <c r="AN47" i="1"/>
  <c r="JQ47" i="1" s="1"/>
  <c r="Q10" i="23"/>
  <c r="R10" i="23" s="1"/>
  <c r="Q5" i="23"/>
  <c r="R5" i="23" s="1"/>
  <c r="Q4" i="23"/>
  <c r="R4" i="23" s="1"/>
  <c r="Q19" i="23"/>
  <c r="R19" i="23" s="1"/>
  <c r="AF47" i="22"/>
  <c r="AC44" i="22" l="1"/>
  <c r="AB44" i="22"/>
  <c r="AG44" i="22"/>
  <c r="AF44" i="22"/>
  <c r="AN1" i="1"/>
  <c r="AM2" i="1"/>
  <c r="AM3" i="1" s="1"/>
  <c r="AM14" i="1" s="1"/>
  <c r="AP8" i="1"/>
  <c r="AO47" i="1"/>
  <c r="JR47" i="1" s="1"/>
  <c r="JP14" i="1" l="1"/>
  <c r="AN2" i="1"/>
  <c r="AN3" i="1" s="1"/>
  <c r="AN14" i="1" s="1"/>
  <c r="JQ14" i="1" s="1"/>
  <c r="AO1" i="1"/>
  <c r="AQ8" i="1"/>
  <c r="AP47" i="1"/>
  <c r="JS47" i="1" s="1"/>
  <c r="AO2" i="1" l="1"/>
  <c r="AO3" i="1" s="1"/>
  <c r="AO14" i="1" s="1"/>
  <c r="JR14" i="1" s="1"/>
  <c r="AP1" i="1"/>
  <c r="AQ47" i="1"/>
  <c r="JT47" i="1" s="1"/>
  <c r="AR8" i="1"/>
  <c r="AP2" i="1" l="1"/>
  <c r="AP3" i="1" s="1"/>
  <c r="AP14" i="1" s="1"/>
  <c r="JS14" i="1" s="1"/>
  <c r="AQ1" i="1"/>
  <c r="AR47" i="1"/>
  <c r="JU47" i="1" s="1"/>
  <c r="AS8" i="1"/>
  <c r="AR1" i="1" l="1"/>
  <c r="AQ2" i="1"/>
  <c r="AQ3" i="1" s="1"/>
  <c r="AQ14" i="1" s="1"/>
  <c r="JT14" i="1" s="1"/>
  <c r="AS47" i="1"/>
  <c r="JV47" i="1" s="1"/>
  <c r="AT8" i="1"/>
  <c r="AR2" i="1" l="1"/>
  <c r="AR3" i="1" s="1"/>
  <c r="AR14" i="1" s="1"/>
  <c r="JU14" i="1" s="1"/>
  <c r="AS1" i="1"/>
  <c r="AT47" i="1"/>
  <c r="JW47" i="1" s="1"/>
  <c r="AU8" i="1"/>
  <c r="AT1" i="1" l="1"/>
  <c r="AS2" i="1"/>
  <c r="AS3" i="1" s="1"/>
  <c r="AS14" i="1" s="1"/>
  <c r="JV14" i="1" s="1"/>
  <c r="AX8" i="1"/>
  <c r="BJ8" i="1"/>
  <c r="AU47" i="1"/>
  <c r="JX47" i="1" s="1"/>
  <c r="AT2" i="1" l="1"/>
  <c r="AT3" i="1" s="1"/>
  <c r="AT14" i="1" s="1"/>
  <c r="JW14" i="1" s="1"/>
  <c r="AU1" i="1"/>
  <c r="AY8" i="1"/>
  <c r="AX47" i="1"/>
  <c r="BK8" i="1"/>
  <c r="BK47" i="1" s="1"/>
  <c r="BJ47" i="1"/>
  <c r="AX1" i="1" l="1"/>
  <c r="AU2" i="1"/>
  <c r="AU3" i="1" s="1"/>
  <c r="AU14" i="1" s="1"/>
  <c r="ED47" i="1"/>
  <c r="EE47" i="1" s="1"/>
  <c r="JY47" i="1"/>
  <c r="AY47" i="1"/>
  <c r="AZ8" i="1"/>
  <c r="JX14" i="1" l="1"/>
  <c r="AW14" i="1"/>
  <c r="AX2" i="1"/>
  <c r="AX3" i="1" s="1"/>
  <c r="AX14" i="1" s="1"/>
  <c r="AY1" i="1"/>
  <c r="JZ47" i="1"/>
  <c r="EF47" i="1"/>
  <c r="EG47" i="1" s="1"/>
  <c r="AZ47" i="1"/>
  <c r="BA8" i="1"/>
  <c r="JY14" i="1" l="1"/>
  <c r="ED14" i="1"/>
  <c r="EE14" i="1" s="1"/>
  <c r="AZ1" i="1"/>
  <c r="AY2" i="1"/>
  <c r="AY3" i="1" s="1"/>
  <c r="AY14" i="1" s="1"/>
  <c r="KA47" i="1"/>
  <c r="EH47" i="1"/>
  <c r="EI47" i="1" s="1"/>
  <c r="BB8" i="1"/>
  <c r="BA47" i="1"/>
  <c r="EF14" i="1" l="1"/>
  <c r="EG14" i="1" s="1"/>
  <c r="JZ14" i="1"/>
  <c r="AZ2" i="1"/>
  <c r="AZ3" i="1" s="1"/>
  <c r="AZ14" i="1" s="1"/>
  <c r="BA1" i="1"/>
  <c r="EJ47" i="1"/>
  <c r="EK47" i="1" s="1"/>
  <c r="IR47" i="1" s="1"/>
  <c r="IS47" i="1" s="1"/>
  <c r="KB47" i="1"/>
  <c r="BB47" i="1"/>
  <c r="BC8" i="1"/>
  <c r="KA14" i="1" l="1"/>
  <c r="EH14" i="1"/>
  <c r="EI14" i="1" s="1"/>
  <c r="BB1" i="1"/>
  <c r="BA2" i="1"/>
  <c r="BA3" i="1" s="1"/>
  <c r="BA14" i="1" s="1"/>
  <c r="BD8" i="1"/>
  <c r="BC47" i="1"/>
  <c r="KC47" i="1"/>
  <c r="EL47" i="1"/>
  <c r="EM47" i="1" s="1"/>
  <c r="EJ14" i="1" l="1"/>
  <c r="EK14" i="1" s="1"/>
  <c r="IR14" i="1" s="1"/>
  <c r="IS14" i="1" s="1"/>
  <c r="KB14" i="1"/>
  <c r="BC1" i="1"/>
  <c r="BB2" i="1"/>
  <c r="BB3" i="1" s="1"/>
  <c r="BB14" i="1" s="1"/>
  <c r="EN47" i="1"/>
  <c r="EO47" i="1" s="1"/>
  <c r="KD47" i="1"/>
  <c r="BE8" i="1"/>
  <c r="BD47" i="1"/>
  <c r="KC14" i="1" l="1"/>
  <c r="EL14" i="1"/>
  <c r="EM14" i="1" s="1"/>
  <c r="BC2" i="1"/>
  <c r="BC3" i="1" s="1"/>
  <c r="BC14" i="1" s="1"/>
  <c r="BD1" i="1"/>
  <c r="EP47" i="1"/>
  <c r="EQ47" i="1" s="1"/>
  <c r="KE47" i="1"/>
  <c r="BE47" i="1"/>
  <c r="BF8" i="1"/>
  <c r="KD14" i="1" l="1"/>
  <c r="EN14" i="1"/>
  <c r="EO14" i="1" s="1"/>
  <c r="BD2" i="1"/>
  <c r="BD3" i="1" s="1"/>
  <c r="BD14" i="1" s="1"/>
  <c r="BE1" i="1"/>
  <c r="BG8" i="1"/>
  <c r="BF47" i="1"/>
  <c r="ER47" i="1"/>
  <c r="ES47" i="1" s="1"/>
  <c r="KF47" i="1"/>
  <c r="KE14" i="1" l="1"/>
  <c r="EP14" i="1"/>
  <c r="EQ14" i="1" s="1"/>
  <c r="BE2" i="1"/>
  <c r="BE3" i="1" s="1"/>
  <c r="BE14" i="1" s="1"/>
  <c r="BF1" i="1"/>
  <c r="ET47" i="1"/>
  <c r="EU47" i="1" s="1"/>
  <c r="KG47" i="1"/>
  <c r="BG47" i="1"/>
  <c r="BH8" i="1"/>
  <c r="KF14" i="1" l="1"/>
  <c r="ER14" i="1"/>
  <c r="ES14" i="1" s="1"/>
  <c r="BG1" i="1"/>
  <c r="BF2" i="1"/>
  <c r="BF3" i="1" s="1"/>
  <c r="BF14" i="1" s="1"/>
  <c r="BH47" i="1"/>
  <c r="BI8" i="1"/>
  <c r="EV47" i="1"/>
  <c r="EW47" i="1" s="1"/>
  <c r="KH47" i="1"/>
  <c r="KG14" i="1" l="1"/>
  <c r="ET14" i="1"/>
  <c r="EU14" i="1" s="1"/>
  <c r="BG2" i="1"/>
  <c r="BG3" i="1" s="1"/>
  <c r="BG14" i="1" s="1"/>
  <c r="BH1" i="1"/>
  <c r="BI47" i="1"/>
  <c r="BX8" i="1"/>
  <c r="BL8" i="1"/>
  <c r="KI47" i="1"/>
  <c r="EX47" i="1"/>
  <c r="EY47" i="1" s="1"/>
  <c r="KH14" i="1" l="1"/>
  <c r="EV14" i="1"/>
  <c r="EW14" i="1" s="1"/>
  <c r="BI1" i="1"/>
  <c r="BH2" i="1"/>
  <c r="BH3" i="1" s="1"/>
  <c r="BH14" i="1" s="1"/>
  <c r="BM8" i="1"/>
  <c r="BL47" i="1"/>
  <c r="BY8" i="1"/>
  <c r="BX47" i="1"/>
  <c r="KJ47" i="1"/>
  <c r="EZ47" i="1"/>
  <c r="FA47" i="1" s="1"/>
  <c r="BL1" i="1" l="1"/>
  <c r="BI2" i="1"/>
  <c r="BI3" i="1" s="1"/>
  <c r="BI14" i="1" s="1"/>
  <c r="KI14" i="1"/>
  <c r="EX14" i="1"/>
  <c r="EY14" i="1" s="1"/>
  <c r="FB47" i="1"/>
  <c r="FC47" i="1" s="1"/>
  <c r="KK47" i="1"/>
  <c r="BM47" i="1"/>
  <c r="BN8" i="1"/>
  <c r="KJ14" i="1" l="1"/>
  <c r="EZ14" i="1"/>
  <c r="FA14" i="1" s="1"/>
  <c r="BK14" i="1"/>
  <c r="BM1" i="1"/>
  <c r="BL2" i="1"/>
  <c r="BL3" i="1" s="1"/>
  <c r="BL14" i="1" s="1"/>
  <c r="KL47" i="1"/>
  <c r="FD47" i="1"/>
  <c r="FE47" i="1" s="1"/>
  <c r="BN47" i="1"/>
  <c r="BO8" i="1"/>
  <c r="KK14" i="1" l="1"/>
  <c r="FB14" i="1"/>
  <c r="FC14" i="1" s="1"/>
  <c r="BN1" i="1"/>
  <c r="BM2" i="1"/>
  <c r="BM3" i="1" s="1"/>
  <c r="BM14" i="1" s="1"/>
  <c r="FF47" i="1"/>
  <c r="FG47" i="1" s="1"/>
  <c r="KM47" i="1"/>
  <c r="BO47" i="1"/>
  <c r="BP8" i="1"/>
  <c r="KL14" i="1" l="1"/>
  <c r="FD14" i="1"/>
  <c r="FE14" i="1" s="1"/>
  <c r="BN2" i="1"/>
  <c r="BN3" i="1" s="1"/>
  <c r="BN14" i="1" s="1"/>
  <c r="BO1" i="1"/>
  <c r="FH47" i="1"/>
  <c r="FI47" i="1" s="1"/>
  <c r="KN47" i="1"/>
  <c r="BQ8" i="1"/>
  <c r="BP47" i="1"/>
  <c r="FF14" i="1" l="1"/>
  <c r="FG14" i="1" s="1"/>
  <c r="KM14" i="1"/>
  <c r="BP1" i="1"/>
  <c r="BO2" i="1"/>
  <c r="BO3" i="1" s="1"/>
  <c r="BO14" i="1" s="1"/>
  <c r="FJ47" i="1"/>
  <c r="FK47" i="1" s="1"/>
  <c r="KO47" i="1"/>
  <c r="BR8" i="1"/>
  <c r="BQ47" i="1"/>
  <c r="BQ1" i="1" l="1"/>
  <c r="BP2" i="1"/>
  <c r="BP3" i="1" s="1"/>
  <c r="BP14" i="1" s="1"/>
  <c r="KN14" i="1"/>
  <c r="FH14" i="1"/>
  <c r="FI14" i="1" s="1"/>
  <c r="FL47" i="1"/>
  <c r="FM47" i="1" s="1"/>
  <c r="KP47" i="1"/>
  <c r="BR47" i="1"/>
  <c r="BS8" i="1"/>
  <c r="FJ14" i="1" l="1"/>
  <c r="FK14" i="1" s="1"/>
  <c r="KO14" i="1"/>
  <c r="BQ2" i="1"/>
  <c r="BQ3" i="1" s="1"/>
  <c r="BQ14" i="1" s="1"/>
  <c r="BR1" i="1"/>
  <c r="BS47" i="1"/>
  <c r="BT8" i="1"/>
  <c r="KQ47" i="1"/>
  <c r="FN47" i="1"/>
  <c r="FO47" i="1" s="1"/>
  <c r="FL14" i="1" l="1"/>
  <c r="FM14" i="1" s="1"/>
  <c r="KP14" i="1"/>
  <c r="BR2" i="1"/>
  <c r="BR3" i="1" s="1"/>
  <c r="BR14" i="1" s="1"/>
  <c r="BS1" i="1"/>
  <c r="BT47" i="1"/>
  <c r="BU8" i="1"/>
  <c r="FP47" i="1"/>
  <c r="FQ47" i="1" s="1"/>
  <c r="KR47" i="1"/>
  <c r="FN14" i="1" l="1"/>
  <c r="FO14" i="1" s="1"/>
  <c r="KQ14" i="1"/>
  <c r="BS2" i="1"/>
  <c r="BS3" i="1" s="1"/>
  <c r="BS14" i="1" s="1"/>
  <c r="BT1" i="1"/>
  <c r="BU47" i="1"/>
  <c r="BV8" i="1"/>
  <c r="KS47" i="1"/>
  <c r="FR47" i="1"/>
  <c r="FS47" i="1" s="1"/>
  <c r="KR14" i="1" l="1"/>
  <c r="FP14" i="1"/>
  <c r="FQ14" i="1" s="1"/>
  <c r="BU1" i="1"/>
  <c r="BT2" i="1"/>
  <c r="BT3" i="1" s="1"/>
  <c r="BT14" i="1" s="1"/>
  <c r="BV47" i="1"/>
  <c r="BW8" i="1"/>
  <c r="KT47" i="1"/>
  <c r="FT47" i="1"/>
  <c r="FU47" i="1" s="1"/>
  <c r="BU2" i="1" l="1"/>
  <c r="BU3" i="1" s="1"/>
  <c r="BU14" i="1" s="1"/>
  <c r="BV1" i="1"/>
  <c r="FR14" i="1"/>
  <c r="FS14" i="1" s="1"/>
  <c r="KS14" i="1"/>
  <c r="BW47" i="1"/>
  <c r="CL8" i="1"/>
  <c r="BZ8" i="1"/>
  <c r="KU47" i="1"/>
  <c r="FV47" i="1"/>
  <c r="FW47" i="1" s="1"/>
  <c r="FT14" i="1" l="1"/>
  <c r="FU14" i="1" s="1"/>
  <c r="KT14" i="1"/>
  <c r="BV2" i="1"/>
  <c r="BV3" i="1" s="1"/>
  <c r="BV14" i="1" s="1"/>
  <c r="BW1" i="1"/>
  <c r="CL47" i="1"/>
  <c r="S45" i="22" s="1"/>
  <c r="T45" i="22" s="1"/>
  <c r="U45" i="22" s="1"/>
  <c r="S7" i="22"/>
  <c r="T7" i="22" s="1"/>
  <c r="U7" i="22" s="1"/>
  <c r="CM8" i="1"/>
  <c r="KV47" i="1"/>
  <c r="FX47" i="1"/>
  <c r="FY47" i="1" s="1"/>
  <c r="BY47" i="1"/>
  <c r="CA8" i="1"/>
  <c r="BZ47" i="1"/>
  <c r="KU14" i="1" l="1"/>
  <c r="FV14" i="1"/>
  <c r="FW14" i="1" s="1"/>
  <c r="BZ1" i="1"/>
  <c r="BW2" i="1"/>
  <c r="BW3" i="1" s="1"/>
  <c r="BW14" i="1" s="1"/>
  <c r="KW47" i="1"/>
  <c r="FZ47" i="1"/>
  <c r="GA47" i="1" s="1"/>
  <c r="CA47" i="1"/>
  <c r="CB8" i="1"/>
  <c r="CA1" i="1" l="1"/>
  <c r="BZ2" i="1"/>
  <c r="BZ3" i="1" s="1"/>
  <c r="BZ14" i="1" s="1"/>
  <c r="KV14" i="1"/>
  <c r="FX14" i="1"/>
  <c r="FY14" i="1" s="1"/>
  <c r="BY14" i="1"/>
  <c r="CB47" i="1"/>
  <c r="CC8" i="1"/>
  <c r="KX47" i="1"/>
  <c r="GB47" i="1"/>
  <c r="GC47" i="1" s="1"/>
  <c r="KW14" i="1" l="1"/>
  <c r="FZ14" i="1"/>
  <c r="GA14" i="1" s="1"/>
  <c r="CB1" i="1"/>
  <c r="CA2" i="1"/>
  <c r="CA3" i="1" s="1"/>
  <c r="CA14" i="1" s="1"/>
  <c r="CC47" i="1"/>
  <c r="CD8" i="1"/>
  <c r="KY47" i="1"/>
  <c r="GD47" i="1"/>
  <c r="GE47" i="1" s="1"/>
  <c r="GB14" i="1" l="1"/>
  <c r="GC14" i="1" s="1"/>
  <c r="KX14" i="1"/>
  <c r="CB2" i="1"/>
  <c r="CB3" i="1" s="1"/>
  <c r="CB14" i="1" s="1"/>
  <c r="CC1" i="1"/>
  <c r="CD47" i="1"/>
  <c r="CE8" i="1"/>
  <c r="KZ47" i="1"/>
  <c r="GF47" i="1"/>
  <c r="GG47" i="1" s="1"/>
  <c r="KY14" i="1" l="1"/>
  <c r="GD14" i="1"/>
  <c r="GE14" i="1" s="1"/>
  <c r="CC2" i="1"/>
  <c r="CC3" i="1" s="1"/>
  <c r="CC14" i="1" s="1"/>
  <c r="CD1" i="1"/>
  <c r="CE47" i="1"/>
  <c r="CF8" i="1"/>
  <c r="GH47" i="1"/>
  <c r="GI47" i="1" s="1"/>
  <c r="LA47" i="1"/>
  <c r="GF14" i="1" l="1"/>
  <c r="GG14" i="1" s="1"/>
  <c r="KZ14" i="1"/>
  <c r="CE1" i="1"/>
  <c r="CD2" i="1"/>
  <c r="CD3" i="1" s="1"/>
  <c r="CD14" i="1" s="1"/>
  <c r="CF47" i="1"/>
  <c r="CG8" i="1"/>
  <c r="LB47" i="1"/>
  <c r="GJ47" i="1"/>
  <c r="GK47" i="1" s="1"/>
  <c r="GH14" i="1" l="1"/>
  <c r="GI14" i="1" s="1"/>
  <c r="LA14" i="1"/>
  <c r="CF1" i="1"/>
  <c r="CE2" i="1"/>
  <c r="CE3" i="1" s="1"/>
  <c r="CE14" i="1" s="1"/>
  <c r="CG47" i="1"/>
  <c r="CH8" i="1"/>
  <c r="LC47" i="1"/>
  <c r="GL47" i="1"/>
  <c r="GM47" i="1" s="1"/>
  <c r="LB14" i="1" l="1"/>
  <c r="GJ14" i="1"/>
  <c r="GK14" i="1" s="1"/>
  <c r="CG1" i="1"/>
  <c r="CF2" i="1"/>
  <c r="CF3" i="1" s="1"/>
  <c r="CF14" i="1" s="1"/>
  <c r="CI8" i="1"/>
  <c r="CH47" i="1"/>
  <c r="GN47" i="1"/>
  <c r="GO47" i="1" s="1"/>
  <c r="LD47" i="1"/>
  <c r="CG2" i="1" l="1"/>
  <c r="CG3" i="1" s="1"/>
  <c r="CG14" i="1" s="1"/>
  <c r="CH1" i="1"/>
  <c r="GL14" i="1"/>
  <c r="GM14" i="1" s="1"/>
  <c r="LC14" i="1"/>
  <c r="LE47" i="1"/>
  <c r="GP47" i="1"/>
  <c r="GQ47" i="1" s="1"/>
  <c r="CI47" i="1"/>
  <c r="CJ8" i="1"/>
  <c r="CH2" i="1" l="1"/>
  <c r="CH3" i="1" s="1"/>
  <c r="CH14" i="1" s="1"/>
  <c r="CI1" i="1"/>
  <c r="GN14" i="1"/>
  <c r="GO14" i="1" s="1"/>
  <c r="LD14" i="1"/>
  <c r="CK8" i="1"/>
  <c r="CJ47" i="1"/>
  <c r="GR47" i="1"/>
  <c r="GS47" i="1" s="1"/>
  <c r="LF47" i="1"/>
  <c r="CI2" i="1" l="1"/>
  <c r="CI3" i="1" s="1"/>
  <c r="CI14" i="1" s="1"/>
  <c r="CJ1" i="1"/>
  <c r="LE14" i="1"/>
  <c r="GP14" i="1"/>
  <c r="GQ14" i="1" s="1"/>
  <c r="GT47" i="1"/>
  <c r="GU47" i="1" s="1"/>
  <c r="LG47" i="1"/>
  <c r="CZ8" i="1"/>
  <c r="CK47" i="1"/>
  <c r="CN8" i="1"/>
  <c r="GR14" i="1" l="1"/>
  <c r="GS14" i="1" s="1"/>
  <c r="LF14" i="1"/>
  <c r="CJ2" i="1"/>
  <c r="CJ3" i="1" s="1"/>
  <c r="CJ14" i="1" s="1"/>
  <c r="CK1" i="1"/>
  <c r="LH47" i="1"/>
  <c r="GV47" i="1"/>
  <c r="GW47" i="1" s="1"/>
  <c r="CM47" i="1"/>
  <c r="CZ47" i="1"/>
  <c r="V45" i="22" s="1"/>
  <c r="W45" i="22" s="1"/>
  <c r="V7" i="22"/>
  <c r="W7" i="22" s="1"/>
  <c r="DA8" i="1"/>
  <c r="CO8" i="1"/>
  <c r="CN47" i="1"/>
  <c r="GT14" i="1" l="1"/>
  <c r="GU14" i="1" s="1"/>
  <c r="LG14" i="1"/>
  <c r="CN1" i="1"/>
  <c r="CK2" i="1"/>
  <c r="CK3" i="1" s="1"/>
  <c r="CK14" i="1" s="1"/>
  <c r="LI47" i="1"/>
  <c r="GX47" i="1"/>
  <c r="GY47" i="1" s="1"/>
  <c r="X45" i="22"/>
  <c r="Y45" i="22"/>
  <c r="CO47" i="1"/>
  <c r="CP8" i="1"/>
  <c r="Y7" i="22"/>
  <c r="X7" i="22"/>
  <c r="LH14" i="1" l="1"/>
  <c r="GV14" i="1"/>
  <c r="GW14" i="1" s="1"/>
  <c r="CM14" i="1"/>
  <c r="CO1" i="1"/>
  <c r="CN2" i="1"/>
  <c r="CN3" i="1" s="1"/>
  <c r="CN14" i="1" s="1"/>
  <c r="CP47" i="1"/>
  <c r="CQ8" i="1"/>
  <c r="LJ47" i="1"/>
  <c r="GZ47" i="1"/>
  <c r="HA47" i="1" s="1"/>
  <c r="LI14" i="1" l="1"/>
  <c r="GX14" i="1"/>
  <c r="GY14" i="1" s="1"/>
  <c r="CP1" i="1"/>
  <c r="CO2" i="1"/>
  <c r="CO3" i="1" s="1"/>
  <c r="CO14" i="1" s="1"/>
  <c r="CR8" i="1"/>
  <c r="CQ47" i="1"/>
  <c r="HB47" i="1"/>
  <c r="HC47" i="1" s="1"/>
  <c r="LK47" i="1"/>
  <c r="LJ14" i="1" l="1"/>
  <c r="GZ14" i="1"/>
  <c r="HA14" i="1" s="1"/>
  <c r="CP2" i="1"/>
  <c r="CP3" i="1" s="1"/>
  <c r="CP14" i="1" s="1"/>
  <c r="CQ1" i="1"/>
  <c r="HD47" i="1"/>
  <c r="HE47" i="1" s="1"/>
  <c r="LL47" i="1"/>
  <c r="CR47" i="1"/>
  <c r="CS8" i="1"/>
  <c r="HB14" i="1" l="1"/>
  <c r="HC14" i="1" s="1"/>
  <c r="LK14" i="1"/>
  <c r="CR1" i="1"/>
  <c r="CQ2" i="1"/>
  <c r="CQ3" i="1" s="1"/>
  <c r="CQ14" i="1" s="1"/>
  <c r="HF47" i="1"/>
  <c r="HG47" i="1" s="1"/>
  <c r="LM47" i="1"/>
  <c r="CT8" i="1"/>
  <c r="CS47" i="1"/>
  <c r="HD14" i="1" l="1"/>
  <c r="HE14" i="1" s="1"/>
  <c r="LL14" i="1"/>
  <c r="CS1" i="1"/>
  <c r="CR2" i="1"/>
  <c r="CR3" i="1" s="1"/>
  <c r="CR14" i="1" s="1"/>
  <c r="LN47" i="1"/>
  <c r="HH47" i="1"/>
  <c r="HI47" i="1" s="1"/>
  <c r="CT47" i="1"/>
  <c r="CU8" i="1"/>
  <c r="HF14" i="1" l="1"/>
  <c r="HG14" i="1" s="1"/>
  <c r="LM14" i="1"/>
  <c r="CS2" i="1"/>
  <c r="CS3" i="1" s="1"/>
  <c r="CS14" i="1" s="1"/>
  <c r="CT1" i="1"/>
  <c r="LO47" i="1"/>
  <c r="HJ47" i="1"/>
  <c r="HK47" i="1" s="1"/>
  <c r="CU47" i="1"/>
  <c r="CV8" i="1"/>
  <c r="LN14" i="1" l="1"/>
  <c r="HH14" i="1"/>
  <c r="HI14" i="1" s="1"/>
  <c r="CU1" i="1"/>
  <c r="CT2" i="1"/>
  <c r="CT3" i="1" s="1"/>
  <c r="CT14" i="1" s="1"/>
  <c r="CV47" i="1"/>
  <c r="CW8" i="1"/>
  <c r="IT8" i="1" s="1"/>
  <c r="HL47" i="1"/>
  <c r="HM47" i="1" s="1"/>
  <c r="LP47" i="1"/>
  <c r="HJ14" i="1" l="1"/>
  <c r="HK14" i="1" s="1"/>
  <c r="LO14" i="1"/>
  <c r="CU2" i="1"/>
  <c r="CU3" i="1" s="1"/>
  <c r="CU14" i="1" s="1"/>
  <c r="CV1" i="1"/>
  <c r="LQ47" i="1"/>
  <c r="HN47" i="1"/>
  <c r="HO47" i="1" s="1"/>
  <c r="CW47" i="1"/>
  <c r="IT47" i="1" s="1"/>
  <c r="CX8" i="1"/>
  <c r="LP14" i="1" l="1"/>
  <c r="HL14" i="1"/>
  <c r="HM14" i="1" s="1"/>
  <c r="CV2" i="1"/>
  <c r="CV3" i="1" s="1"/>
  <c r="CV14" i="1" s="1"/>
  <c r="CW1" i="1"/>
  <c r="CX47" i="1"/>
  <c r="CY8" i="1"/>
  <c r="HP47" i="1"/>
  <c r="HQ47" i="1" s="1"/>
  <c r="LR47" i="1"/>
  <c r="HN14" i="1" l="1"/>
  <c r="HO14" i="1" s="1"/>
  <c r="LQ14" i="1"/>
  <c r="CX1" i="1"/>
  <c r="CW2" i="1"/>
  <c r="CW3" i="1" s="1"/>
  <c r="CW14" i="1" s="1"/>
  <c r="IT14" i="1" s="1"/>
  <c r="CY47" i="1"/>
  <c r="DB8" i="1"/>
  <c r="DN8" i="1"/>
  <c r="LS47" i="1"/>
  <c r="HR47" i="1"/>
  <c r="HS47" i="1" s="1"/>
  <c r="CY1" i="1" l="1"/>
  <c r="CX2" i="1"/>
  <c r="CX3" i="1" s="1"/>
  <c r="CX14" i="1" s="1"/>
  <c r="HP14" i="1"/>
  <c r="HQ14" i="1" s="1"/>
  <c r="LR14" i="1"/>
  <c r="DC8" i="1"/>
  <c r="DB47" i="1"/>
  <c r="LT47" i="1"/>
  <c r="HT47" i="1"/>
  <c r="HU47" i="1" s="1"/>
  <c r="DA47" i="1"/>
  <c r="DO8" i="1"/>
  <c r="DN47" i="1"/>
  <c r="Z45" i="22" s="1"/>
  <c r="Z7" i="22"/>
  <c r="HR14" i="1" l="1"/>
  <c r="HS14" i="1" s="1"/>
  <c r="LS14" i="1"/>
  <c r="CY2" i="1"/>
  <c r="CY3" i="1" s="1"/>
  <c r="CY14" i="1" s="1"/>
  <c r="DB1" i="1"/>
  <c r="LU47" i="1"/>
  <c r="HV47" i="1"/>
  <c r="HW47" i="1" s="1"/>
  <c r="DC47" i="1"/>
  <c r="DD8" i="1"/>
  <c r="AA7" i="22"/>
  <c r="AE7" i="22"/>
  <c r="AA45" i="22"/>
  <c r="AE45" i="22"/>
  <c r="HT14" i="1" l="1"/>
  <c r="HU14" i="1" s="1"/>
  <c r="LT14" i="1"/>
  <c r="DA14" i="1"/>
  <c r="DB2" i="1"/>
  <c r="DB3" i="1" s="1"/>
  <c r="DB14" i="1" s="1"/>
  <c r="DC1" i="1"/>
  <c r="AC7" i="22"/>
  <c r="AB7" i="22"/>
  <c r="AF45" i="22"/>
  <c r="AG45" i="22"/>
  <c r="DD47" i="1"/>
  <c r="DE8" i="1"/>
  <c r="AC45" i="22"/>
  <c r="AB45" i="22"/>
  <c r="HX47" i="1"/>
  <c r="HY47" i="1" s="1"/>
  <c r="LV47" i="1"/>
  <c r="AF7" i="22"/>
  <c r="AG7" i="22"/>
  <c r="HV14" i="1" l="1"/>
  <c r="HW14" i="1" s="1"/>
  <c r="LU14" i="1"/>
  <c r="DD1" i="1"/>
  <c r="DC2" i="1"/>
  <c r="DC3" i="1" s="1"/>
  <c r="DC14" i="1" s="1"/>
  <c r="DE47" i="1"/>
  <c r="DF8" i="1"/>
  <c r="LW47" i="1"/>
  <c r="HZ47" i="1"/>
  <c r="IA47" i="1" s="1"/>
  <c r="HX14" i="1" l="1"/>
  <c r="HY14" i="1" s="1"/>
  <c r="LV14" i="1"/>
  <c r="DE1" i="1"/>
  <c r="DD2" i="1"/>
  <c r="DD3" i="1" s="1"/>
  <c r="DD14" i="1" s="1"/>
  <c r="DF47" i="1"/>
  <c r="DG8" i="1"/>
  <c r="IB47" i="1"/>
  <c r="IC47" i="1" s="1"/>
  <c r="LX47" i="1"/>
  <c r="HZ14" i="1" l="1"/>
  <c r="IA14" i="1" s="1"/>
  <c r="LW14" i="1"/>
  <c r="DE2" i="1"/>
  <c r="DE3" i="1" s="1"/>
  <c r="DE14" i="1" s="1"/>
  <c r="DF1" i="1"/>
  <c r="DH8" i="1"/>
  <c r="DG47" i="1"/>
  <c r="LY47" i="1"/>
  <c r="ID47" i="1"/>
  <c r="LX14" i="1" l="1"/>
  <c r="IB14" i="1"/>
  <c r="IC14" i="1" s="1"/>
  <c r="DG1" i="1"/>
  <c r="DF2" i="1"/>
  <c r="DF3" i="1" s="1"/>
  <c r="DF14" i="1" s="1"/>
  <c r="LZ47" i="1"/>
  <c r="IF47" i="1"/>
  <c r="IG47" i="1" s="1"/>
  <c r="DI8" i="1"/>
  <c r="DH47" i="1"/>
  <c r="LY14" i="1" l="1"/>
  <c r="ID14" i="1"/>
  <c r="DG2" i="1"/>
  <c r="DG3" i="1" s="1"/>
  <c r="DG14" i="1" s="1"/>
  <c r="DH1" i="1"/>
  <c r="DJ8" i="1"/>
  <c r="DI47" i="1"/>
  <c r="IH47" i="1"/>
  <c r="II47" i="1" s="1"/>
  <c r="MA47" i="1"/>
  <c r="LZ14" i="1" l="1"/>
  <c r="IF14" i="1"/>
  <c r="IG14" i="1" s="1"/>
  <c r="DH2" i="1"/>
  <c r="DH3" i="1" s="1"/>
  <c r="DH14" i="1" s="1"/>
  <c r="DI1" i="1"/>
  <c r="IJ47" i="1"/>
  <c r="IK47" i="1" s="1"/>
  <c r="MB47" i="1"/>
  <c r="DJ47" i="1"/>
  <c r="DK8" i="1"/>
  <c r="DL8" i="1" l="1"/>
  <c r="DM8" i="1" s="1"/>
  <c r="DK47" i="1"/>
  <c r="DO47" i="1" s="1"/>
  <c r="IE47" i="1" s="1"/>
  <c r="IU8" i="1"/>
  <c r="IH14" i="1"/>
  <c r="II14" i="1" s="1"/>
  <c r="MA14" i="1"/>
  <c r="DJ1" i="1"/>
  <c r="DI2" i="1"/>
  <c r="DI3" i="1" s="1"/>
  <c r="DI14" i="1" s="1"/>
  <c r="IL47" i="1"/>
  <c r="IM47" i="1" s="1"/>
  <c r="MC47" i="1"/>
  <c r="DP8" i="1"/>
  <c r="DQ8" i="1" s="1"/>
  <c r="DR8" i="1" s="1"/>
  <c r="DS8" i="1" s="1"/>
  <c r="DT8" i="1" s="1"/>
  <c r="DU8" i="1" s="1"/>
  <c r="DV8" i="1" s="1"/>
  <c r="DW8" i="1" s="1"/>
  <c r="DX8" i="1" s="1"/>
  <c r="DY8" i="1" s="1"/>
  <c r="DZ8" i="1" s="1"/>
  <c r="EA8" i="1" s="1"/>
  <c r="EB8" i="1"/>
  <c r="IN47" i="1" l="1"/>
  <c r="IO47" i="1" s="1"/>
  <c r="IU47" i="1"/>
  <c r="IV47" i="1" s="1"/>
  <c r="IW47" i="1" s="1"/>
  <c r="MD47" i="1"/>
  <c r="IP47" i="1"/>
  <c r="IQ47" i="1" s="1"/>
  <c r="MB14" i="1"/>
  <c r="IJ14" i="1"/>
  <c r="IK14" i="1" s="1"/>
  <c r="DK1" i="1"/>
  <c r="DJ2" i="1"/>
  <c r="DJ3" i="1" s="1"/>
  <c r="DJ14" i="1" s="1"/>
  <c r="EB47" i="1"/>
  <c r="EC8" i="1"/>
  <c r="MC14" i="1" l="1"/>
  <c r="IL14" i="1"/>
  <c r="IM14" i="1" s="1"/>
  <c r="DL1" i="1"/>
  <c r="DK2" i="1"/>
  <c r="DK3" i="1" s="1"/>
  <c r="DK14" i="1" s="1"/>
  <c r="IN14" i="1" s="1"/>
  <c r="IO14" i="1" s="1"/>
  <c r="IU14" i="1" l="1"/>
  <c r="IV14" i="1" s="1"/>
  <c r="IW14" i="1" s="1"/>
  <c r="MD14" i="1"/>
  <c r="IP14" i="1"/>
  <c r="IQ14" i="1" s="1"/>
  <c r="DO14" i="1"/>
  <c r="IE14" i="1" s="1"/>
  <c r="DM1" i="1"/>
  <c r="DL2" i="1"/>
  <c r="DL3" i="1" s="1"/>
  <c r="DM2" i="1" l="1"/>
  <c r="DM3" i="1" s="1"/>
  <c r="DP1" i="1"/>
  <c r="DP2" i="1" l="1"/>
  <c r="DP3" i="1" s="1"/>
  <c r="DQ1" i="1"/>
  <c r="DR1" i="1" l="1"/>
  <c r="DQ2" i="1"/>
  <c r="DQ3" i="1" s="1"/>
  <c r="DS1" i="1" l="1"/>
  <c r="DR2" i="1"/>
  <c r="DR3" i="1" s="1"/>
  <c r="DT1" i="1" l="1"/>
  <c r="DS2" i="1"/>
  <c r="DS3" i="1" s="1"/>
  <c r="DT2" i="1" l="1"/>
  <c r="DT3" i="1" s="1"/>
  <c r="DU1" i="1"/>
  <c r="DV1" i="1" l="1"/>
  <c r="DU2" i="1"/>
  <c r="DU3" i="1" s="1"/>
  <c r="DW1" i="1" l="1"/>
  <c r="DV2" i="1"/>
  <c r="DV3" i="1" s="1"/>
  <c r="DX1" i="1" l="1"/>
  <c r="DW2" i="1"/>
  <c r="DW3" i="1" s="1"/>
  <c r="DX2" i="1" l="1"/>
  <c r="DX3" i="1" s="1"/>
  <c r="DY1" i="1"/>
  <c r="DZ1" i="1" l="1"/>
  <c r="DY2" i="1"/>
  <c r="DY3" i="1" s="1"/>
  <c r="DZ2" i="1" l="1"/>
  <c r="DZ3" i="1" s="1"/>
  <c r="EA1" i="1"/>
  <c r="EA2" i="1" l="1"/>
  <c r="EA3" i="1" s="1"/>
</calcChain>
</file>

<file path=xl/comments1.xml><?xml version="1.0" encoding="utf-8"?>
<comments xmlns="http://schemas.openxmlformats.org/spreadsheetml/2006/main">
  <authors>
    <author>RBarnette</author>
  </authors>
  <commentList>
    <comment ref="C22" authorId="0" shapeId="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authors>
    <author>Ritchie B</author>
    <author>RBarnette</author>
  </authors>
  <commentList>
    <comment ref="ED2" authorId="0" shapeId="0">
      <text>
        <r>
          <rPr>
            <b/>
            <sz val="8"/>
            <color indexed="81"/>
            <rFont val="Tahoma"/>
            <family val="2"/>
          </rPr>
          <t>Ritchie B:</t>
        </r>
        <r>
          <rPr>
            <sz val="8"/>
            <color indexed="81"/>
            <rFont val="Tahoma"/>
            <family val="2"/>
          </rPr>
          <t xml:space="preserve">
</t>
        </r>
      </text>
    </comment>
    <comment ref="JA10" authorId="1" shapeId="0">
      <text>
        <r>
          <rPr>
            <b/>
            <sz val="8"/>
            <color indexed="81"/>
            <rFont val="Tahoma"/>
            <family val="2"/>
          </rPr>
          <t>Yellow shaded items = FY1517 Strategic Plan Metric</t>
        </r>
        <r>
          <rPr>
            <sz val="8"/>
            <color indexed="81"/>
            <rFont val="Tahoma"/>
            <family val="2"/>
          </rPr>
          <t xml:space="preserve">
</t>
        </r>
      </text>
    </comment>
    <comment ref="CB32" authorId="1" shapeId="0">
      <text>
        <r>
          <rPr>
            <sz val="8"/>
            <color indexed="81"/>
            <rFont val="Tahoma"/>
            <family val="2"/>
          </rPr>
          <t xml:space="preserve">
Temp Staff for open enrollment, Benefits Focus setup for SHP</t>
        </r>
      </text>
    </comment>
    <comment ref="E34" authorId="1" shapeId="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1" shapeId="0">
      <text>
        <r>
          <rPr>
            <b/>
            <sz val="8"/>
            <color indexed="81"/>
            <rFont val="Tahoma"/>
            <family val="2"/>
          </rPr>
          <t>RBarnette:</t>
        </r>
        <r>
          <rPr>
            <sz val="8"/>
            <color indexed="81"/>
            <rFont val="Tahoma"/>
            <family val="2"/>
          </rPr>
          <t xml:space="preserve">
12,000 NG delimited each of the biweekly PP thus 24,000 monthly decrease</t>
        </r>
      </text>
    </comment>
    <comment ref="BI42" authorId="1" shapeId="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1" shapeId="0">
      <text>
        <r>
          <rPr>
            <sz val="8"/>
            <color indexed="81"/>
            <rFont val="Tahoma"/>
            <family val="2"/>
          </rPr>
          <t xml:space="preserve">
Does not Include $4,000,000 loan to NC Department of Revenue for tax refunds, that is to be reimubrsed by FY end.
</t>
        </r>
      </text>
    </comment>
    <comment ref="BA45" authorId="1" shapeId="0">
      <text>
        <r>
          <rPr>
            <b/>
            <sz val="8"/>
            <color indexed="81"/>
            <rFont val="Tahoma"/>
            <family val="2"/>
          </rPr>
          <t>includes costs for SAP Bi Bus Obj Lic, temp sol Sep + Oct, ITS inv Sep + Oct</t>
        </r>
        <r>
          <rPr>
            <sz val="8"/>
            <color indexed="81"/>
            <rFont val="Tahoma"/>
            <family val="2"/>
          </rPr>
          <t xml:space="preserve">
</t>
        </r>
      </text>
    </comment>
    <comment ref="CC45" authorId="1" shapeId="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1" shapeId="0">
      <text>
        <r>
          <rPr>
            <b/>
            <sz val="8"/>
            <color indexed="81"/>
            <rFont val="Tahoma"/>
            <family val="2"/>
          </rPr>
          <t>RBarnette:</t>
        </r>
        <r>
          <rPr>
            <sz val="8"/>
            <color indexed="81"/>
            <rFont val="Tahoma"/>
            <family val="2"/>
          </rPr>
          <t xml:space="preserve">
Beginning May 2014, section 7.5 changed from Costs/Call to Costs/Ticket</t>
        </r>
      </text>
    </comment>
    <comment ref="AY67" authorId="1" shapeId="0">
      <text>
        <r>
          <rPr>
            <sz val="8"/>
            <color indexed="81"/>
            <rFont val="Tahoma"/>
            <family val="2"/>
          </rPr>
          <t xml:space="preserve">
</t>
        </r>
        <r>
          <rPr>
            <b/>
            <sz val="8"/>
            <color indexed="81"/>
            <rFont val="Tahoma"/>
            <family val="2"/>
          </rPr>
          <t>Outage due to ITS Network Issues</t>
        </r>
      </text>
    </comment>
    <comment ref="AY69" authorId="1" shapeId="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<sst xmlns="http://schemas.openxmlformats.org/spreadsheetml/2006/main" count="913" uniqueCount="302">
  <si>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</si>
  <si>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</si>
  <si>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</si>
  <si>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</si>
  <si>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</si>
  <si>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</si>
  <si>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</si>
  <si>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</si>
  <si>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</si>
  <si>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</si>
  <si>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</si>
  <si>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</si>
  <si>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</si>
  <si>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</si>
  <si>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</si>
  <si>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</si>
  <si>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</si>
  <si>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</si>
  <si>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</si>
  <si>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</si>
  <si>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</si>
  <si>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</si>
  <si>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</si>
  <si>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</si>
  <si>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</si>
  <si>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</si>
  <si>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</si>
  <si>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</si>
  <si>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</si>
  <si>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</si>
  <si>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</si>
  <si>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</si>
  <si>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</si>
  <si>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</si>
  <si>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</si>
  <si>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</si>
  <si>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</si>
  <si>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</si>
  <si>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</si>
  <si>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</si>
  <si>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</si>
  <si>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</si>
  <si>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</si>
  <si>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</si>
  <si>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</si>
  <si>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</si>
  <si>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</si>
  <si>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</si>
  <si>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</si>
  <si>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</si>
  <si>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</si>
  <si>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</si>
  <si>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</si>
  <si>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</si>
  <si>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</si>
  <si>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</si>
  <si>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</si>
  <si>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</si>
  <si>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</si>
  <si>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</si>
  <si>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</si>
  <si>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</si>
  <si>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</si>
  <si>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</si>
  <si>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</si>
  <si>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</si>
  <si>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</si>
  <si>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</si>
  <si>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</si>
  <si>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</si>
  <si>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</si>
  <si>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</si>
  <si>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</si>
  <si>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</si>
  <si>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</si>
  <si>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</si>
  <si>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</si>
  <si>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</si>
  <si>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</si>
  <si>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</si>
  <si>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</si>
  <si>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</si>
  <si>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</si>
  <si>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</si>
  <si>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</si>
  <si>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</si>
  <si>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</si>
  <si>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</si>
  <si>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</si>
  <si>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</si>
  <si>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</si>
  <si>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</si>
  <si>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</si>
  <si>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</si>
  <si>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</si>
  <si>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</si>
  <si>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</si>
  <si>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</si>
  <si>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</si>
  <si>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</si>
  <si>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</si>
  <si>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</si>
  <si>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</si>
  <si>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</si>
  <si>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</si>
  <si>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</si>
  <si>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</si>
  <si>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</si>
  <si>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</si>
  <si>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</si>
  <si>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</si>
  <si>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</si>
  <si>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</si>
  <si>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</si>
  <si>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</si>
  <si>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</si>
  <si>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</si>
  <si>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</si>
  <si>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</si>
  <si>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</si>
  <si>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</si>
  <si>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</si>
  <si>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</si>
  <si>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</si>
  <si>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</si>
  <si>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</si>
  <si>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</si>
  <si>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</si>
  <si>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</si>
  <si>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</si>
  <si>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</si>
  <si>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</si>
  <si>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</si>
  <si>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</si>
  <si>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</si>
  <si>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</si>
  <si>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</si>
  <si>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</si>
  <si>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</si>
  <si>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</si>
  <si>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</si>
  <si>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</si>
  <si>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</si>
  <si>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</si>
  <si>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</si>
  <si>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</si>
  <si>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</si>
  <si>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</si>
  <si>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</si>
  <si>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</si>
  <si>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</si>
  <si>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</si>
  <si>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</si>
  <si>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</si>
  <si>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</si>
  <si>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</si>
  <si>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</si>
  <si>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</si>
  <si>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</si>
  <si>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</si>
  <si>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</si>
  <si>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</si>
  <si>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</si>
  <si>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</si>
  <si>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</si>
  <si>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</si>
  <si>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</si>
  <si>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</si>
  <si>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</si>
  <si>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</si>
  <si>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</si>
  <si>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</si>
  <si>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</si>
  <si>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</si>
  <si>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</si>
  <si>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</si>
  <si>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</si>
  <si>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</si>
  <si>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 ^ Prior FY</t>
  </si>
  <si>
    <t>^ Prior FY</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</si>
  <si>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</si>
  <si>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</si>
  <si>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</si>
  <si>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</si>
  <si>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</si>
  <si>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</si>
  <si>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</si>
  <si>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</si>
  <si>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</si>
  <si>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</si>
  <si>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</si>
  <si>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</si>
  <si>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</si>
  <si>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</si>
  <si>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</si>
  <si>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</si>
  <si>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</si>
  <si>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</si>
  <si>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</si>
  <si>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</si>
  <si>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</si>
  <si>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</si>
  <si>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</si>
  <si>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</si>
  <si>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</si>
  <si>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</si>
  <si>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</si>
  <si>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</si>
  <si>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</si>
  <si>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</si>
  <si>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</si>
  <si>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</si>
  <si>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</si>
  <si>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</si>
  <si>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</si>
  <si>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</si>
  <si>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</si>
  <si>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</si>
  <si>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</si>
  <si>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</si>
  <si>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</si>
  <si>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</si>
  <si>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</si>
  <si>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</si>
  <si>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</si>
  <si>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</si>
  <si>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</si>
  <si>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</si>
  <si>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</si>
  <si>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</si>
  <si>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</si>
  <si>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</si>
  <si>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</si>
  <si>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</si>
  <si>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</si>
  <si>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</si>
  <si>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</si>
  <si>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</si>
  <si>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</si>
  <si>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</si>
  <si>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</si>
  <si>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</si>
  <si>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</si>
  <si>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</si>
  <si>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</si>
  <si>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</si>
  <si>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</si>
  <si>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</si>
  <si>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</si>
  <si>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</si>
  <si>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</si>
  <si>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</si>
  <si>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</si>
  <si>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</si>
  <si>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</si>
  <si>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</si>
  <si>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</si>
  <si>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</si>
  <si>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</si>
  <si>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</si>
  <si>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</si>
  <si>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</si>
  <si>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</si>
  <si>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</si>
  <si>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</si>
  <si>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</si>
  <si>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</si>
  <si>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</si>
  <si>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</si>
  <si>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</si>
  <si>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</si>
  <si>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16-17</t>
  </si>
  <si>
    <t>Oct vc Sep</t>
  </si>
  <si>
    <t>FY 1617</t>
  </si>
  <si>
    <t>1-17</t>
  </si>
  <si>
    <t>Feb 17</t>
  </si>
  <si>
    <t>See Notes Tab                   Ref # 1-17</t>
  </si>
  <si>
    <t>Line Item 7.1 Total ERP Costs of $2.74M includes $1.99M annual SAP maintenance invoice payment</t>
  </si>
  <si>
    <t>1718 YTD Total</t>
  </si>
  <si>
    <t>1718 YTD Average</t>
  </si>
  <si>
    <t>17-18</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</si>
  <si>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</si>
  <si>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</si>
  <si>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</si>
  <si>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</si>
  <si>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</si>
  <si>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</si>
  <si>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t>
  </si>
  <si>
    <t>FY 1718 vs FY 1617</t>
  </si>
  <si>
    <t xml:space="preserve">                          </t>
  </si>
  <si>
    <t>1819 YTD Total</t>
  </si>
  <si>
    <t>1819 YTD Average</t>
  </si>
  <si>
    <t>FY 17-19</t>
  </si>
  <si>
    <t>FY 17-20</t>
  </si>
  <si>
    <t>FY 18-19</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</si>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</sst>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0.00000_);[Red]\(#,##0.00000\)"/>
  </numFmts>
  <fonts count="61"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s>
  <fills count="31">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CCCCFF"/>
        <bgColor indexed="64"/>
      </patternFill>
    </fill>
    <fill>
      <patternFill patternType="solid">
        <fgColor rgb="FFAEFA48"/>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258">
    <xf numFmtId="0" fontId="0" fillId="0" borderId="0" xfId="0"/>
    <xf numFmtId="0" fontId="0" fillId="0" borderId="1" xfId="0" applyBorder="1"/>
    <xf numFmtId="0" fontId="0" fillId="0" borderId="0"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15" fillId="0" borderId="0" xfId="0" applyFont="1" applyBorder="1"/>
    <xf numFmtId="0" fontId="0" fillId="0" borderId="0" xfId="0" applyBorder="1" applyAlignment="1">
      <alignment horizontal="right"/>
    </xf>
    <xf numFmtId="0" fontId="17" fillId="0" borderId="0" xfId="0" applyFont="1" applyBorder="1"/>
    <xf numFmtId="0" fontId="17" fillId="0" borderId="1" xfId="0" applyFont="1" applyBorder="1" applyAlignment="1">
      <alignment horizontal="center" vertical="center" wrapText="1"/>
    </xf>
    <xf numFmtId="0" fontId="18" fillId="0" borderId="0" xfId="0" applyFont="1" applyFill="1" applyBorder="1" applyAlignment="1">
      <alignment horizontal="right"/>
    </xf>
    <xf numFmtId="0" fontId="0" fillId="0" borderId="0" xfId="0" applyFont="1"/>
    <xf numFmtId="0" fontId="19" fillId="0" borderId="0" xfId="0" applyFont="1" applyBorder="1"/>
    <xf numFmtId="0" fontId="19" fillId="0" borderId="1" xfId="0" applyFont="1" applyBorder="1"/>
    <xf numFmtId="0" fontId="20" fillId="0" borderId="0" xfId="0" applyFont="1"/>
    <xf numFmtId="0" fontId="21" fillId="0" borderId="3" xfId="0" applyFont="1" applyFill="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Font="1" applyBorder="1"/>
    <xf numFmtId="0" fontId="0" fillId="0" borderId="3" xfId="0" applyFon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Font="1" applyBorder="1"/>
    <xf numFmtId="166" fontId="13" fillId="0" borderId="9" xfId="1" applyNumberFormat="1" applyFont="1" applyBorder="1"/>
    <xf numFmtId="10" fontId="15" fillId="0" borderId="0" xfId="3" applyNumberFormat="1" applyFont="1" applyBorder="1"/>
    <xf numFmtId="10" fontId="13" fillId="0" borderId="0" xfId="3" applyNumberFormat="1" applyFont="1"/>
    <xf numFmtId="0" fontId="0" fillId="0" borderId="3" xfId="0" applyFill="1" applyBorder="1" applyAlignment="1">
      <alignment horizontal="right"/>
    </xf>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Fill="1" applyBorder="1" applyAlignment="1">
      <alignment horizontal="left"/>
    </xf>
    <xf numFmtId="0" fontId="23" fillId="0" borderId="2" xfId="0" applyFont="1" applyFill="1" applyBorder="1" applyAlignment="1">
      <alignment horizontal="right"/>
    </xf>
    <xf numFmtId="0" fontId="21" fillId="0" borderId="5" xfId="0" applyFont="1" applyFill="1" applyBorder="1" applyAlignment="1">
      <alignment horizontal="right"/>
    </xf>
    <xf numFmtId="0" fontId="18" fillId="0" borderId="2" xfId="0" applyFont="1" applyFill="1" applyBorder="1" applyAlignment="1">
      <alignment horizontal="right"/>
    </xf>
    <xf numFmtId="0" fontId="15" fillId="0" borderId="0" xfId="0" applyFont="1" applyFill="1" applyBorder="1" applyAlignment="1">
      <alignment horizontal="left"/>
    </xf>
    <xf numFmtId="0" fontId="23" fillId="0" borderId="0" xfId="0" applyFont="1" applyFill="1" applyBorder="1" applyAlignment="1">
      <alignment horizontal="right"/>
    </xf>
    <xf numFmtId="0" fontId="15" fillId="0" borderId="1" xfId="0" applyFont="1" applyFill="1" applyBorder="1" applyAlignment="1">
      <alignment horizontal="left"/>
    </xf>
    <xf numFmtId="0" fontId="23" fillId="0" borderId="1" xfId="0" applyFont="1" applyFill="1" applyBorder="1" applyAlignment="1">
      <alignment horizontal="right"/>
    </xf>
    <xf numFmtId="166" fontId="25" fillId="0" borderId="4" xfId="0" applyNumberFormat="1" applyFont="1" applyFill="1" applyBorder="1" applyAlignment="1">
      <alignment horizontal="right"/>
    </xf>
    <xf numFmtId="0" fontId="26" fillId="0" borderId="0" xfId="0" applyFont="1" applyBorder="1"/>
    <xf numFmtId="0" fontId="26" fillId="0" borderId="1" xfId="0" applyFont="1" applyBorder="1"/>
    <xf numFmtId="0" fontId="26" fillId="0" borderId="6" xfId="0" applyFont="1" applyBorder="1"/>
    <xf numFmtId="165" fontId="24" fillId="0" borderId="3" xfId="0" applyNumberFormat="1" applyFont="1" applyFill="1" applyBorder="1" applyAlignment="1">
      <alignment horizontal="center"/>
    </xf>
    <xf numFmtId="0" fontId="20" fillId="0" borderId="3" xfId="0" applyFont="1" applyFill="1" applyBorder="1" applyAlignment="1">
      <alignment horizontal="center"/>
    </xf>
    <xf numFmtId="7" fontId="13" fillId="3" borderId="3" xfId="2" applyNumberFormat="1" applyFon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ont="1" applyFill="1" applyBorder="1" applyAlignment="1">
      <alignment horizontal="right"/>
    </xf>
    <xf numFmtId="5" fontId="22" fillId="3" borderId="3" xfId="1" applyNumberFormat="1" applyFont="1" applyFill="1" applyBorder="1" applyAlignment="1">
      <alignment horizontal="right"/>
    </xf>
    <xf numFmtId="0" fontId="0" fillId="3" borderId="3" xfId="0" applyFont="1" applyFill="1" applyBorder="1" applyAlignment="1">
      <alignment horizontal="right"/>
    </xf>
    <xf numFmtId="10" fontId="22" fillId="3" borderId="3" xfId="3" applyNumberFormat="1" applyFont="1" applyFill="1" applyBorder="1" applyAlignment="1">
      <alignment horizontal="right"/>
    </xf>
    <xf numFmtId="0" fontId="0" fillId="0" borderId="5" xfId="0" applyFill="1" applyBorder="1" applyAlignment="1">
      <alignment horizontal="right"/>
    </xf>
    <xf numFmtId="0" fontId="26" fillId="0" borderId="7" xfId="0" applyFont="1" applyBorder="1"/>
    <xf numFmtId="166" fontId="13" fillId="3" borderId="3" xfId="1" applyNumberFormat="1" applyFon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applyFont="1"/>
    <xf numFmtId="0" fontId="29" fillId="0" borderId="0" xfId="0" applyFont="1" applyBorder="1"/>
    <xf numFmtId="0" fontId="30" fillId="0" borderId="0" xfId="0" applyFont="1" applyBorder="1"/>
    <xf numFmtId="0" fontId="31" fillId="0" borderId="0" xfId="0" applyFont="1" applyBorder="1"/>
    <xf numFmtId="7" fontId="31" fillId="0" borderId="3" xfId="1" applyNumberFormat="1" applyFont="1" applyBorder="1"/>
    <xf numFmtId="7" fontId="31" fillId="3" borderId="3" xfId="1" applyNumberFormat="1" applyFont="1" applyFill="1" applyBorder="1" applyAlignment="1">
      <alignment horizontal="right"/>
    </xf>
    <xf numFmtId="43" fontId="22" fillId="0" borderId="3" xfId="1" applyFont="1" applyFill="1" applyBorder="1"/>
    <xf numFmtId="43" fontId="31" fillId="0" borderId="3" xfId="1" applyFont="1" applyFill="1" applyBorder="1"/>
    <xf numFmtId="43" fontId="31" fillId="3" borderId="3" xfId="1" applyFont="1" applyFill="1" applyBorder="1" applyAlignment="1">
      <alignment horizontal="right"/>
    </xf>
    <xf numFmtId="0" fontId="31" fillId="0" borderId="0" xfId="0" applyFont="1"/>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ont="1" applyFill="1" applyBorder="1"/>
    <xf numFmtId="10" fontId="13" fillId="0" borderId="8" xfId="3" applyNumberFormat="1" applyFon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on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Font="1" applyBorder="1"/>
    <xf numFmtId="10" fontId="13" fillId="0" borderId="14" xfId="3" applyNumberFormat="1" applyFont="1" applyBorder="1"/>
    <xf numFmtId="10" fontId="13" fillId="0" borderId="16" xfId="3" applyNumberFormat="1" applyFont="1" applyFill="1" applyBorder="1"/>
    <xf numFmtId="40" fontId="0" fillId="0" borderId="13" xfId="0" applyNumberFormat="1" applyBorder="1"/>
    <xf numFmtId="10" fontId="13" fillId="0" borderId="17" xfId="3" applyNumberFormat="1" applyFon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Font="1" applyBorder="1" applyAlignment="1">
      <alignment horizontal="right"/>
    </xf>
    <xf numFmtId="10" fontId="13" fillId="0" borderId="18" xfId="3" applyNumberFormat="1" applyFont="1" applyBorder="1"/>
    <xf numFmtId="40" fontId="0" fillId="0" borderId="13" xfId="0" applyNumberFormat="1" applyFont="1" applyBorder="1"/>
    <xf numFmtId="0" fontId="15" fillId="0" borderId="0" xfId="0" applyFont="1" applyFill="1" applyBorder="1"/>
    <xf numFmtId="0" fontId="15" fillId="0" borderId="6" xfId="0" applyFont="1" applyFill="1" applyBorder="1"/>
    <xf numFmtId="0" fontId="32" fillId="4" borderId="0" xfId="0" applyFont="1" applyFill="1" applyBorder="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Font="1" applyBorder="1"/>
    <xf numFmtId="38" fontId="13" fillId="0" borderId="15" xfId="1" applyNumberFormat="1" applyFon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on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ont="1" applyFill="1" applyBorder="1" applyAlignment="1">
      <alignment horizontal="right"/>
    </xf>
    <xf numFmtId="0" fontId="0" fillId="5" borderId="3" xfId="0" applyFill="1" applyBorder="1" applyAlignment="1">
      <alignment horizontal="right"/>
    </xf>
    <xf numFmtId="5" fontId="13" fillId="5" borderId="3" xfId="1" applyNumberFormat="1" applyFont="1" applyFill="1" applyBorder="1" applyAlignment="1">
      <alignment horizontal="right"/>
    </xf>
    <xf numFmtId="7" fontId="13" fillId="5" borderId="3" xfId="2" applyNumberFormat="1" applyFont="1" applyFill="1" applyBorder="1" applyAlignment="1">
      <alignment horizontal="right"/>
    </xf>
    <xf numFmtId="10" fontId="13" fillId="5" borderId="8" xfId="3" applyNumberFormat="1" applyFon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ont="1" applyFill="1" applyBorder="1" applyAlignment="1">
      <alignment horizontal="right"/>
    </xf>
    <xf numFmtId="166" fontId="13" fillId="5" borderId="8" xfId="1" applyNumberFormat="1" applyFont="1" applyFill="1" applyBorder="1" applyAlignment="1">
      <alignment horizontal="right"/>
    </xf>
    <xf numFmtId="166" fontId="13" fillId="5" borderId="4" xfId="1" applyNumberFormat="1" applyFont="1" applyFill="1" applyBorder="1" applyAlignment="1">
      <alignment horizontal="right"/>
    </xf>
    <xf numFmtId="0" fontId="0" fillId="5" borderId="3" xfId="0" applyFon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ont="1" applyFill="1" applyBorder="1" applyAlignment="1">
      <alignment horizontal="right"/>
    </xf>
    <xf numFmtId="10" fontId="13" fillId="6" borderId="3" xfId="3" applyNumberFormat="1" applyFont="1" applyFill="1" applyBorder="1" applyAlignment="1">
      <alignment horizontal="right"/>
    </xf>
    <xf numFmtId="43" fontId="13" fillId="6" borderId="4" xfId="1" applyFont="1" applyFill="1" applyBorder="1" applyAlignment="1">
      <alignment horizontal="right"/>
    </xf>
    <xf numFmtId="168" fontId="13" fillId="6" borderId="3" xfId="1" applyNumberFormat="1" applyFon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ont="1" applyFill="1" applyBorder="1" applyAlignment="1">
      <alignment horizontal="right"/>
    </xf>
    <xf numFmtId="10" fontId="13" fillId="6" borderId="4" xfId="3" applyNumberFormat="1" applyFont="1" applyFill="1" applyBorder="1" applyAlignment="1">
      <alignment horizontal="right"/>
    </xf>
    <xf numFmtId="5" fontId="13" fillId="6" borderId="3" xfId="1" applyNumberFormat="1" applyFont="1" applyFill="1" applyBorder="1" applyAlignment="1">
      <alignment horizontal="right"/>
    </xf>
    <xf numFmtId="10" fontId="13" fillId="6" borderId="8" xfId="3" applyNumberFormat="1" applyFon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ont="1" applyFill="1" applyBorder="1" applyAlignment="1">
      <alignment horizontal="right"/>
    </xf>
    <xf numFmtId="166" fontId="13" fillId="6" borderId="8" xfId="1" applyNumberFormat="1" applyFont="1" applyFill="1" applyBorder="1" applyAlignment="1">
      <alignment horizontal="right"/>
    </xf>
    <xf numFmtId="166" fontId="13" fillId="6" borderId="4" xfId="1" applyNumberFormat="1" applyFont="1" applyFill="1" applyBorder="1" applyAlignment="1">
      <alignment horizontal="right"/>
    </xf>
    <xf numFmtId="0" fontId="0" fillId="6" borderId="3" xfId="0" applyFon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Fill="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Border="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Fon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Fill="1" applyBorder="1" applyAlignment="1">
      <alignment horizontal="center"/>
    </xf>
    <xf numFmtId="0" fontId="34" fillId="0" borderId="5" xfId="0" applyFont="1" applyFill="1" applyBorder="1" applyAlignment="1">
      <alignment horizontal="right"/>
    </xf>
    <xf numFmtId="0" fontId="34" fillId="0" borderId="3" xfId="0" applyFont="1" applyFill="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Fill="1" applyBorder="1" applyAlignment="1">
      <alignment horizontal="right"/>
    </xf>
    <xf numFmtId="166" fontId="34" fillId="0" borderId="3" xfId="1" applyNumberFormat="1" applyFont="1" applyFill="1" applyBorder="1" applyAlignment="1">
      <alignment horizontal="right"/>
    </xf>
    <xf numFmtId="5" fontId="0" fillId="3" borderId="3" xfId="0" applyNumberFormat="1" applyFill="1" applyBorder="1" applyAlignment="1">
      <alignment horizontal="right"/>
    </xf>
    <xf numFmtId="10" fontId="13" fillId="3" borderId="4" xfId="3" applyNumberFormat="1" applyFont="1" applyFill="1" applyBorder="1"/>
    <xf numFmtId="10" fontId="13" fillId="0" borderId="4" xfId="3" applyNumberFormat="1" applyFont="1" applyBorder="1"/>
    <xf numFmtId="167" fontId="13" fillId="3" borderId="4" xfId="3" applyNumberFormat="1" applyFont="1" applyFill="1" applyBorder="1"/>
    <xf numFmtId="10" fontId="13" fillId="6" borderId="4" xfId="3" applyNumberFormat="1" applyFont="1" applyFill="1" applyBorder="1" applyAlignment="1">
      <alignment horizontal="right"/>
    </xf>
    <xf numFmtId="10" fontId="13" fillId="0" borderId="16" xfId="3" applyNumberFormat="1" applyFont="1" applyBorder="1"/>
    <xf numFmtId="0" fontId="0" fillId="0" borderId="1" xfId="0" applyFont="1" applyBorder="1"/>
    <xf numFmtId="0" fontId="0" fillId="0" borderId="0" xfId="0" applyAlignment="1">
      <alignment horizontal="center"/>
    </xf>
    <xf numFmtId="0" fontId="15" fillId="7" borderId="0" xfId="0" applyFont="1" applyFill="1" applyAlignment="1">
      <alignment horizontal="center"/>
    </xf>
    <xf numFmtId="0" fontId="35" fillId="3" borderId="5" xfId="0" applyFont="1" applyFill="1" applyBorder="1" applyAlignment="1">
      <alignment horizontal="center" vertical="center" wrapText="1"/>
    </xf>
    <xf numFmtId="43" fontId="22" fillId="0" borderId="3" xfId="1" applyFont="1" applyFill="1" applyBorder="1" applyAlignment="1">
      <alignment horizontal="right"/>
    </xf>
    <xf numFmtId="40" fontId="13" fillId="6" borderId="4" xfId="1" applyNumberFormat="1" applyFon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ont="1" applyFill="1" applyBorder="1"/>
    <xf numFmtId="0" fontId="26" fillId="0" borderId="13" xfId="0" applyFont="1" applyBorder="1" applyAlignment="1">
      <alignment horizontal="right" vertical="top"/>
    </xf>
    <xf numFmtId="0" fontId="19" fillId="0" borderId="0" xfId="0" applyFont="1" applyBorder="1" applyAlignment="1">
      <alignment vertical="top"/>
    </xf>
    <xf numFmtId="0" fontId="36" fillId="0" borderId="0" xfId="0" applyFont="1" applyBorder="1" applyAlignment="1">
      <alignment vertical="top"/>
    </xf>
    <xf numFmtId="0" fontId="36" fillId="0" borderId="0" xfId="0" applyFont="1" applyAlignment="1">
      <alignment vertical="top"/>
    </xf>
    <xf numFmtId="0" fontId="35" fillId="0" borderId="5" xfId="0" applyFont="1" applyFill="1" applyBorder="1" applyAlignment="1">
      <alignment horizontal="center" vertical="center" wrapText="1"/>
    </xf>
    <xf numFmtId="166" fontId="22" fillId="0" borderId="3" xfId="1" applyNumberFormat="1" applyFont="1" applyFill="1" applyBorder="1" applyAlignment="1">
      <alignment horizontal="right"/>
    </xf>
    <xf numFmtId="166" fontId="28" fillId="0" borderId="3" xfId="1" applyNumberFormat="1" applyFont="1" applyFill="1" applyBorder="1"/>
    <xf numFmtId="10" fontId="13" fillId="0" borderId="3" xfId="3" applyNumberFormat="1" applyFont="1" applyFill="1" applyBorder="1"/>
    <xf numFmtId="40" fontId="13" fillId="0" borderId="4" xfId="1" applyNumberFormat="1" applyFont="1" applyFill="1" applyBorder="1"/>
    <xf numFmtId="166" fontId="28" fillId="0" borderId="3" xfId="1" applyNumberFormat="1" applyFont="1" applyFill="1" applyBorder="1" applyAlignment="1">
      <alignment horizontal="right"/>
    </xf>
    <xf numFmtId="166" fontId="22" fillId="0" borderId="8" xfId="1" applyNumberFormat="1" applyFont="1" applyFill="1" applyBorder="1" applyAlignment="1">
      <alignment horizontal="right"/>
    </xf>
    <xf numFmtId="168" fontId="22" fillId="0" borderId="3" xfId="1" applyNumberFormat="1" applyFont="1" applyFill="1" applyBorder="1" applyAlignment="1">
      <alignment horizontal="right"/>
    </xf>
    <xf numFmtId="166" fontId="22" fillId="0" borderId="4" xfId="1" applyNumberFormat="1" applyFont="1" applyFill="1" applyBorder="1" applyAlignment="1">
      <alignment horizontal="right"/>
    </xf>
    <xf numFmtId="2" fontId="22" fillId="0" borderId="3" xfId="0" applyNumberFormat="1" applyFont="1" applyFill="1" applyBorder="1" applyAlignment="1">
      <alignment horizontal="right"/>
    </xf>
    <xf numFmtId="43" fontId="31" fillId="0" borderId="3" xfId="1" applyFont="1" applyFill="1" applyBorder="1" applyAlignment="1">
      <alignment horizontal="right"/>
    </xf>
    <xf numFmtId="43" fontId="31" fillId="0" borderId="4" xfId="1" applyFont="1" applyFill="1" applyBorder="1" applyAlignment="1">
      <alignment horizontal="right"/>
    </xf>
    <xf numFmtId="166" fontId="13" fillId="0" borderId="9" xfId="1" applyNumberFormat="1" applyFont="1" applyFill="1" applyBorder="1" applyAlignment="1">
      <alignment horizontal="right"/>
    </xf>
    <xf numFmtId="5" fontId="0" fillId="0" borderId="3" xfId="0" applyNumberFormat="1" applyFill="1" applyBorder="1" applyAlignment="1">
      <alignment horizontal="right"/>
    </xf>
    <xf numFmtId="5" fontId="22" fillId="0" borderId="3" xfId="1" applyNumberFormat="1" applyFont="1" applyFill="1" applyBorder="1" applyAlignment="1">
      <alignment horizontal="right"/>
    </xf>
    <xf numFmtId="10" fontId="13" fillId="0" borderId="8" xfId="3" applyNumberFormat="1" applyFont="1" applyFill="1" applyBorder="1"/>
    <xf numFmtId="7" fontId="31" fillId="0" borderId="3" xfId="1" applyNumberFormat="1" applyFont="1" applyFill="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Fill="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Border="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Fon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Border="1" applyAlignment="1">
      <alignment horizontal="center" vertical="center"/>
    </xf>
    <xf numFmtId="0" fontId="42" fillId="4" borderId="0" xfId="0" applyFont="1" applyFill="1" applyBorder="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on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Fon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2" xfId="0" applyFill="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Fon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Fill="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40"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Fill="1" applyBorder="1" applyAlignment="1">
      <alignment horizontal="left" vertical="top"/>
    </xf>
    <xf numFmtId="0" fontId="36" fillId="0" borderId="21" xfId="0" applyFont="1" applyFill="1" applyBorder="1" applyAlignment="1">
      <alignment horizontal="left" vertical="top"/>
    </xf>
    <xf numFmtId="0" fontId="36" fillId="0" borderId="0" xfId="0" applyFont="1" applyBorder="1" applyAlignment="1">
      <alignment horizontal="left" vertical="top"/>
    </xf>
    <xf numFmtId="0" fontId="36" fillId="0" borderId="21" xfId="0" applyFont="1" applyBorder="1" applyAlignment="1">
      <alignment horizontal="left" vertical="top"/>
    </xf>
    <xf numFmtId="0" fontId="26" fillId="0" borderId="0" xfId="0" applyFont="1" applyBorder="1" applyAlignment="1">
      <alignment vertical="top"/>
    </xf>
    <xf numFmtId="0" fontId="15" fillId="0" borderId="0" xfId="0" applyFont="1" applyBorder="1" applyAlignment="1">
      <alignment vertical="top"/>
    </xf>
    <xf numFmtId="0" fontId="0" fillId="0" borderId="0" xfId="0" applyFill="1" applyBorder="1" applyAlignment="1">
      <alignment horizontal="left" vertical="top"/>
    </xf>
    <xf numFmtId="0" fontId="0" fillId="0" borderId="0" xfId="0" applyBorder="1"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Border="1" applyAlignment="1">
      <alignment vertical="top"/>
    </xf>
    <xf numFmtId="10" fontId="36" fillId="0" borderId="0" xfId="3" applyNumberFormat="1" applyFont="1" applyFill="1" applyBorder="1" applyAlignment="1">
      <alignment horizontal="left" vertical="top"/>
    </xf>
    <xf numFmtId="10" fontId="36" fillId="0" borderId="21" xfId="3" applyNumberFormat="1" applyFont="1" applyFill="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Fill="1" applyBorder="1" applyAlignment="1">
      <alignment horizontal="left" vertical="top"/>
    </xf>
    <xf numFmtId="10" fontId="36" fillId="0" borderId="34" xfId="3" applyNumberFormat="1" applyFont="1" applyFill="1" applyBorder="1" applyAlignment="1">
      <alignment horizontal="left" vertical="top"/>
    </xf>
    <xf numFmtId="0" fontId="26" fillId="0" borderId="0" xfId="0" applyFont="1" applyBorder="1" applyAlignment="1">
      <alignment horizontal="right" vertical="top"/>
    </xf>
    <xf numFmtId="43" fontId="19" fillId="0" borderId="0" xfId="1" applyFont="1" applyBorder="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Border="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0" fontId="0" fillId="2" borderId="0" xfId="0"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0" fontId="15" fillId="0" borderId="0" xfId="0" applyFont="1" applyAlignment="1">
      <alignment vertical="top"/>
    </xf>
    <xf numFmtId="0" fontId="0" fillId="0" borderId="0" xfId="0" applyBorder="1" applyAlignment="1">
      <alignment vertical="top"/>
    </xf>
    <xf numFmtId="165" fontId="36" fillId="0" borderId="0" xfId="0" applyNumberFormat="1" applyFont="1" applyBorder="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Fill="1" applyBorder="1"/>
    <xf numFmtId="43" fontId="22" fillId="0" borderId="21" xfId="1" applyFont="1" applyBorder="1"/>
    <xf numFmtId="43" fontId="22" fillId="0" borderId="21" xfId="1" applyFont="1" applyFill="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Fon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22" fillId="0" borderId="21" xfId="1" applyFont="1" applyFill="1" applyBorder="1"/>
    <xf numFmtId="43" fontId="31" fillId="0" borderId="21" xfId="1" applyFont="1" applyFill="1" applyBorder="1"/>
    <xf numFmtId="43" fontId="31" fillId="0" borderId="34" xfId="1" applyFont="1" applyBorder="1"/>
    <xf numFmtId="166" fontId="13" fillId="0" borderId="38" xfId="1" applyNumberFormat="1" applyFont="1" applyBorder="1"/>
    <xf numFmtId="10" fontId="13" fillId="0" borderId="34" xfId="3" applyNumberFormat="1" applyFon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Font="1" applyBorder="1"/>
    <xf numFmtId="10" fontId="13" fillId="0" borderId="37" xfId="3" applyNumberFormat="1" applyFont="1" applyBorder="1"/>
    <xf numFmtId="7" fontId="31" fillId="0" borderId="21" xfId="1" applyNumberFormat="1" applyFont="1" applyBorder="1"/>
    <xf numFmtId="0" fontId="0" fillId="0" borderId="21" xfId="0" applyFont="1" applyBorder="1"/>
    <xf numFmtId="10" fontId="22" fillId="0" borderId="21" xfId="3" applyNumberFormat="1" applyFont="1" applyBorder="1"/>
    <xf numFmtId="10" fontId="22" fillId="0" borderId="37" xfId="3" applyNumberFormat="1" applyFont="1" applyBorder="1"/>
    <xf numFmtId="7" fontId="13" fillId="6" borderId="39" xfId="2" applyNumberFormat="1" applyFon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14" xfId="3" applyNumberFormat="1" applyFont="1" applyBorder="1"/>
    <xf numFmtId="171" fontId="28" fillId="0" borderId="10" xfId="3" applyNumberFormat="1" applyFont="1" applyBorder="1"/>
    <xf numFmtId="171" fontId="28" fillId="0" borderId="12" xfId="3" applyNumberFormat="1" applyFont="1" applyBorder="1"/>
    <xf numFmtId="171" fontId="28" fillId="0" borderId="14" xfId="3" applyNumberFormat="1" applyFont="1" applyBorder="1"/>
    <xf numFmtId="171" fontId="28" fillId="0" borderId="16" xfId="3" applyNumberFormat="1" applyFont="1" applyFill="1" applyBorder="1"/>
    <xf numFmtId="171" fontId="28" fillId="0" borderId="18" xfId="3" applyNumberFormat="1" applyFont="1" applyBorder="1"/>
    <xf numFmtId="171" fontId="28" fillId="0" borderId="16" xfId="3" applyNumberFormat="1" applyFont="1" applyBorder="1"/>
    <xf numFmtId="171" fontId="28" fillId="0" borderId="17" xfId="3" applyNumberFormat="1" applyFont="1" applyBorder="1"/>
    <xf numFmtId="171" fontId="28" fillId="0" borderId="32" xfId="3" applyNumberFormat="1" applyFont="1" applyBorder="1"/>
    <xf numFmtId="171" fontId="28" fillId="0" borderId="14" xfId="3" applyNumberFormat="1" applyFont="1" applyBorder="1" applyAlignment="1">
      <alignment horizontal="right"/>
    </xf>
    <xf numFmtId="171" fontId="43" fillId="0" borderId="18" xfId="3" applyNumberFormat="1" applyFont="1" applyBorder="1"/>
    <xf numFmtId="171" fontId="13" fillId="0" borderId="0" xfId="3" applyNumberFormat="1" applyFon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ont="1" applyFill="1" applyBorder="1"/>
    <xf numFmtId="165" fontId="45" fillId="0" borderId="0" xfId="0" applyNumberFormat="1" applyFont="1" applyFill="1" applyBorder="1" applyAlignment="1"/>
    <xf numFmtId="171" fontId="45" fillId="0" borderId="0" xfId="3" applyNumberFormat="1" applyFont="1" applyFill="1" applyBorder="1" applyAlignment="1"/>
    <xf numFmtId="0" fontId="45" fillId="0" borderId="0" xfId="0" applyFont="1" applyFill="1" applyBorder="1" applyAlignment="1"/>
    <xf numFmtId="166" fontId="9" fillId="0" borderId="0" xfId="0" applyNumberFormat="1" applyFont="1" applyFill="1" applyBorder="1" applyAlignment="1"/>
    <xf numFmtId="171" fontId="9" fillId="0" borderId="0" xfId="3" applyNumberFormat="1" applyFont="1" applyFill="1" applyBorder="1" applyAlignment="1"/>
    <xf numFmtId="0" fontId="45" fillId="0" borderId="0" xfId="0" applyFont="1" applyFill="1" applyBorder="1" applyAlignment="1">
      <alignment vertical="center"/>
    </xf>
    <xf numFmtId="171" fontId="45" fillId="0" borderId="0" xfId="3" applyNumberFormat="1" applyFont="1" applyFill="1" applyBorder="1" applyAlignment="1">
      <alignment vertical="center"/>
    </xf>
    <xf numFmtId="164" fontId="45" fillId="0" borderId="0" xfId="0" applyNumberFormat="1" applyFont="1" applyFill="1" applyBorder="1" applyAlignment="1">
      <alignment vertical="center" wrapText="1"/>
    </xf>
    <xf numFmtId="171" fontId="45" fillId="0" borderId="0" xfId="3" applyNumberFormat="1" applyFont="1" applyFill="1" applyBorder="1" applyAlignment="1">
      <alignment vertical="center" wrapText="1"/>
    </xf>
    <xf numFmtId="3" fontId="45" fillId="0" borderId="0" xfId="1" applyNumberFormat="1" applyFont="1" applyFill="1" applyBorder="1" applyAlignment="1"/>
    <xf numFmtId="3" fontId="45" fillId="0" borderId="0" xfId="0" applyNumberFormat="1" applyFont="1" applyFill="1" applyBorder="1" applyAlignment="1"/>
    <xf numFmtId="166" fontId="45" fillId="0" borderId="0" xfId="1" applyNumberFormat="1" applyFont="1" applyFill="1" applyBorder="1" applyAlignment="1"/>
    <xf numFmtId="43" fontId="45" fillId="0" borderId="0" xfId="1" applyFont="1" applyFill="1" applyBorder="1" applyAlignment="1"/>
    <xf numFmtId="40" fontId="45" fillId="0" borderId="0" xfId="1" applyNumberFormat="1" applyFont="1" applyFill="1" applyBorder="1" applyAlignment="1"/>
    <xf numFmtId="168" fontId="45" fillId="0" borderId="0" xfId="1" applyNumberFormat="1" applyFont="1" applyFill="1" applyBorder="1" applyAlignment="1"/>
    <xf numFmtId="37" fontId="45" fillId="0" borderId="0" xfId="1" applyNumberFormat="1" applyFont="1" applyFill="1" applyBorder="1" applyAlignment="1"/>
    <xf numFmtId="10" fontId="45" fillId="0" borderId="0" xfId="3" applyNumberFormat="1" applyFont="1" applyFill="1" applyBorder="1" applyAlignment="1"/>
    <xf numFmtId="5" fontId="45" fillId="0" borderId="0" xfId="1" applyNumberFormat="1" applyFont="1" applyFill="1" applyBorder="1" applyAlignment="1"/>
    <xf numFmtId="7" fontId="45" fillId="0" borderId="0" xfId="2" applyNumberFormat="1" applyFont="1" applyFill="1" applyBorder="1" applyAlignment="1"/>
    <xf numFmtId="7" fontId="45" fillId="0" borderId="0" xfId="1" applyNumberFormat="1" applyFont="1" applyFill="1" applyBorder="1" applyAlignment="1"/>
    <xf numFmtId="170" fontId="45" fillId="0" borderId="0" xfId="1" applyNumberFormat="1" applyFont="1" applyFill="1" applyBorder="1" applyAlignment="1"/>
    <xf numFmtId="172" fontId="45" fillId="0" borderId="0" xfId="0" applyNumberFormat="1" applyFont="1" applyFill="1" applyBorder="1" applyAlignment="1"/>
    <xf numFmtId="0" fontId="36" fillId="0" borderId="0" xfId="0" applyFont="1"/>
    <xf numFmtId="5" fontId="28" fillId="0" borderId="3" xfId="1" applyNumberFormat="1" applyFont="1" applyFill="1" applyBorder="1" applyAlignment="1">
      <alignment horizontal="right"/>
    </xf>
    <xf numFmtId="40" fontId="45" fillId="0" borderId="0" xfId="0" applyNumberFormat="1" applyFont="1" applyFill="1" applyBorder="1" applyAlignment="1"/>
    <xf numFmtId="40" fontId="9" fillId="0" borderId="0" xfId="0" applyNumberFormat="1" applyFont="1" applyFill="1" applyBorder="1" applyAlignment="1"/>
    <xf numFmtId="40" fontId="45" fillId="0" borderId="0" xfId="0" applyNumberFormat="1" applyFont="1" applyFill="1" applyBorder="1" applyAlignment="1">
      <alignment vertical="center"/>
    </xf>
    <xf numFmtId="40" fontId="45" fillId="0" borderId="0" xfId="0" applyNumberFormat="1" applyFont="1" applyFill="1" applyBorder="1" applyAlignment="1">
      <alignment vertical="center" wrapText="1"/>
    </xf>
    <xf numFmtId="40" fontId="45" fillId="0" borderId="0" xfId="3" applyNumberFormat="1" applyFont="1" applyFill="1" applyBorder="1" applyAlignment="1"/>
    <xf numFmtId="40" fontId="45" fillId="0" borderId="0" xfId="2" applyNumberFormat="1" applyFont="1" applyFill="1" applyBorder="1" applyAlignment="1"/>
    <xf numFmtId="0" fontId="19" fillId="0" borderId="0" xfId="0" applyFont="1" applyFill="1" applyBorder="1"/>
    <xf numFmtId="0" fontId="19" fillId="0" borderId="1" xfId="0" applyFont="1" applyFill="1" applyBorder="1"/>
    <xf numFmtId="0" fontId="17" fillId="0" borderId="2" xfId="0" applyFont="1" applyFill="1" applyBorder="1"/>
    <xf numFmtId="0" fontId="15" fillId="0" borderId="7" xfId="0" applyFont="1" applyFill="1" applyBorder="1"/>
    <xf numFmtId="0" fontId="15" fillId="0" borderId="1" xfId="0" applyFont="1" applyFill="1" applyBorder="1"/>
    <xf numFmtId="0" fontId="17" fillId="0" borderId="0" xfId="0" applyFont="1" applyFill="1" applyBorder="1"/>
    <xf numFmtId="0" fontId="0" fillId="0" borderId="0" xfId="0" applyFill="1" applyBorder="1"/>
    <xf numFmtId="0" fontId="31" fillId="0" borderId="0" xfId="0" applyFont="1" applyFill="1" applyBorder="1"/>
    <xf numFmtId="0" fontId="31" fillId="0" borderId="1" xfId="0" applyFont="1" applyFill="1" applyBorder="1"/>
    <xf numFmtId="0" fontId="26" fillId="0" borderId="0" xfId="0" applyFont="1" applyFill="1" applyBorder="1"/>
    <xf numFmtId="0" fontId="26" fillId="0" borderId="1" xfId="0" applyFont="1" applyFill="1" applyBorder="1"/>
    <xf numFmtId="0" fontId="30" fillId="0" borderId="0" xfId="0" applyFont="1" applyFill="1" applyBorder="1"/>
    <xf numFmtId="0" fontId="0" fillId="0" borderId="0" xfId="0" applyFont="1" applyFill="1" applyBorder="1"/>
    <xf numFmtId="10" fontId="15" fillId="0" borderId="0" xfId="3" applyNumberFormat="1" applyFont="1" applyFill="1" applyBorder="1"/>
    <xf numFmtId="10" fontId="15" fillId="0" borderId="7" xfId="3" applyNumberFormat="1" applyFont="1" applyFill="1" applyBorder="1"/>
    <xf numFmtId="170" fontId="15" fillId="0" borderId="1" xfId="1" applyNumberFormat="1" applyFont="1" applyFill="1" applyBorder="1"/>
    <xf numFmtId="0" fontId="15" fillId="0" borderId="2" xfId="0" applyFont="1" applyFill="1" applyBorder="1"/>
    <xf numFmtId="0" fontId="15" fillId="0" borderId="0" xfId="0" applyFont="1" applyFill="1"/>
    <xf numFmtId="0" fontId="0" fillId="0" borderId="0" xfId="0" applyFill="1"/>
    <xf numFmtId="165" fontId="27" fillId="0" borderId="0" xfId="0" quotePrefix="1" applyNumberFormat="1" applyFont="1" applyFill="1" applyAlignment="1">
      <alignment horizontal="center"/>
    </xf>
    <xf numFmtId="0" fontId="16" fillId="0" borderId="0" xfId="0" applyFont="1" applyFill="1"/>
    <xf numFmtId="8" fontId="28" fillId="0" borderId="13" xfId="1" applyNumberFormat="1" applyFont="1" applyBorder="1"/>
    <xf numFmtId="43" fontId="13" fillId="0" borderId="4" xfId="1" applyFont="1" applyBorder="1"/>
    <xf numFmtId="43" fontId="13" fillId="3" borderId="4" xfId="1" applyFont="1" applyFill="1" applyBorder="1" applyAlignment="1">
      <alignment horizontal="right"/>
    </xf>
    <xf numFmtId="171" fontId="13" fillId="0" borderId="16" xfId="3" applyNumberFormat="1" applyFont="1" applyBorder="1"/>
    <xf numFmtId="16" fontId="0" fillId="0" borderId="0" xfId="0" quotePrefix="1" applyNumberFormat="1" applyBorder="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3" fillId="0" borderId="14" xfId="3" applyNumberFormat="1" applyFont="1" applyBorder="1"/>
    <xf numFmtId="43" fontId="13" fillId="0" borderId="4" xfId="1" applyFont="1" applyBorder="1"/>
    <xf numFmtId="43" fontId="13" fillId="3" borderId="4" xfId="1" applyFont="1" applyFill="1" applyBorder="1" applyAlignment="1">
      <alignment horizontal="right"/>
    </xf>
    <xf numFmtId="164" fontId="37" fillId="3" borderId="20" xfId="0" applyNumberFormat="1" applyFont="1" applyFill="1" applyBorder="1" applyAlignment="1">
      <alignment horizontal="center" vertical="center" wrapText="1"/>
    </xf>
    <xf numFmtId="171" fontId="33" fillId="12" borderId="0" xfId="3" applyNumberFormat="1" applyFont="1" applyFill="1" applyBorder="1" applyAlignment="1">
      <alignment horizontal="center" wrapText="1"/>
    </xf>
    <xf numFmtId="165" fontId="24" fillId="12" borderId="0" xfId="0" applyNumberFormat="1" applyFont="1" applyFill="1" applyAlignment="1">
      <alignment horizontal="center"/>
    </xf>
    <xf numFmtId="0" fontId="20" fillId="12" borderId="0" xfId="0" applyFont="1" applyFill="1" applyAlignment="1">
      <alignment horizontal="center"/>
    </xf>
    <xf numFmtId="171" fontId="33" fillId="12" borderId="1" xfId="3" applyNumberFormat="1" applyFont="1" applyFill="1" applyBorder="1" applyAlignment="1">
      <alignment horizontal="center" wrapText="1"/>
    </xf>
    <xf numFmtId="0" fontId="20" fillId="12" borderId="1" xfId="0" applyFont="1" applyFill="1" applyBorder="1" applyAlignment="1">
      <alignment horizontal="center"/>
    </xf>
    <xf numFmtId="164" fontId="32" fillId="4" borderId="43" xfId="0" applyNumberFormat="1" applyFont="1" applyFill="1" applyBorder="1" applyAlignment="1">
      <alignment horizontal="center" vertical="center"/>
    </xf>
    <xf numFmtId="171" fontId="32" fillId="4" borderId="0" xfId="3" quotePrefix="1" applyNumberFormat="1" applyFont="1" applyFill="1" applyBorder="1" applyAlignment="1">
      <alignment horizontal="center" vertical="center"/>
    </xf>
    <xf numFmtId="164" fontId="32" fillId="4" borderId="0" xfId="0" applyNumberFormat="1" applyFont="1" applyFill="1" applyBorder="1" applyAlignment="1">
      <alignment horizontal="center" vertical="center"/>
    </xf>
    <xf numFmtId="0" fontId="0" fillId="0" borderId="13" xfId="0" applyBorder="1"/>
    <xf numFmtId="171" fontId="45" fillId="0" borderId="21" xfId="3" applyNumberFormat="1" applyFont="1" applyFill="1" applyBorder="1" applyAlignment="1"/>
    <xf numFmtId="0" fontId="0" fillId="0" borderId="13" xfId="0" applyBorder="1" applyAlignment="1">
      <alignment horizontal="left" indent="2"/>
    </xf>
    <xf numFmtId="166" fontId="45" fillId="0" borderId="1" xfId="1" applyNumberFormat="1" applyFont="1" applyFill="1" applyBorder="1" applyAlignment="1"/>
    <xf numFmtId="40" fontId="45" fillId="0" borderId="1" xfId="1" applyNumberFormat="1" applyFont="1" applyFill="1" applyBorder="1" applyAlignment="1"/>
    <xf numFmtId="171" fontId="45" fillId="0" borderId="1" xfId="3" applyNumberFormat="1" applyFont="1" applyFill="1" applyBorder="1" applyAlignment="1"/>
    <xf numFmtId="171" fontId="45" fillId="0" borderId="34" xfId="3" applyNumberFormat="1" applyFont="1" applyFill="1" applyBorder="1" applyAlignment="1"/>
    <xf numFmtId="0" fontId="45" fillId="0" borderId="44" xfId="0" applyFont="1" applyFill="1" applyBorder="1" applyAlignment="1"/>
    <xf numFmtId="166" fontId="9" fillId="0" borderId="44" xfId="0" applyNumberFormat="1" applyFont="1" applyFill="1" applyBorder="1" applyAlignment="1"/>
    <xf numFmtId="0" fontId="45" fillId="0" borderId="44" xfId="0" applyFont="1" applyFill="1" applyBorder="1" applyAlignment="1">
      <alignment vertical="center"/>
    </xf>
    <xf numFmtId="164" fontId="45" fillId="0" borderId="44" xfId="0" applyNumberFormat="1" applyFont="1" applyFill="1" applyBorder="1" applyAlignment="1">
      <alignment vertical="center" wrapText="1"/>
    </xf>
    <xf numFmtId="3" fontId="45" fillId="0" borderId="44" xfId="1" applyNumberFormat="1" applyFont="1" applyFill="1" applyBorder="1" applyAlignment="1"/>
    <xf numFmtId="3" fontId="45" fillId="0" borderId="44" xfId="0" applyNumberFormat="1" applyFont="1" applyFill="1" applyBorder="1" applyAlignment="1"/>
    <xf numFmtId="166" fontId="45" fillId="0" borderId="44" xfId="1" applyNumberFormat="1" applyFont="1" applyFill="1" applyBorder="1" applyAlignment="1"/>
    <xf numFmtId="43" fontId="45" fillId="0" borderId="44" xfId="1" applyFont="1" applyFill="1" applyBorder="1" applyAlignment="1"/>
    <xf numFmtId="10" fontId="45" fillId="0" borderId="44" xfId="3" applyNumberFormat="1" applyFont="1" applyFill="1" applyBorder="1" applyAlignment="1"/>
    <xf numFmtId="40" fontId="45" fillId="0" borderId="44" xfId="1" applyNumberFormat="1" applyFont="1" applyFill="1" applyBorder="1" applyAlignment="1"/>
    <xf numFmtId="168" fontId="45" fillId="0" borderId="44" xfId="1" applyNumberFormat="1" applyFont="1" applyFill="1" applyBorder="1" applyAlignment="1"/>
    <xf numFmtId="37" fontId="45" fillId="0" borderId="44" xfId="1" applyNumberFormat="1" applyFont="1" applyFill="1" applyBorder="1" applyAlignment="1"/>
    <xf numFmtId="5" fontId="45" fillId="0" borderId="44" xfId="1" applyNumberFormat="1" applyFont="1" applyFill="1" applyBorder="1" applyAlignment="1"/>
    <xf numFmtId="7" fontId="45" fillId="0" borderId="44" xfId="2" applyNumberFormat="1" applyFont="1" applyFill="1" applyBorder="1" applyAlignment="1"/>
    <xf numFmtId="7" fontId="45" fillId="0" borderId="44" xfId="1" applyNumberFormat="1" applyFont="1" applyFill="1" applyBorder="1" applyAlignment="1"/>
    <xf numFmtId="166" fontId="45" fillId="0" borderId="45" xfId="1" applyNumberFormat="1" applyFont="1" applyFill="1" applyBorder="1" applyAlignment="1"/>
    <xf numFmtId="40" fontId="45" fillId="0" borderId="40" xfId="0" applyNumberFormat="1" applyFont="1" applyFill="1" applyBorder="1" applyAlignment="1"/>
    <xf numFmtId="10" fontId="45" fillId="0" borderId="40" xfId="3" applyNumberFormat="1" applyFont="1" applyFill="1" applyBorder="1" applyAlignment="1"/>
    <xf numFmtId="38" fontId="45" fillId="0" borderId="40" xfId="0" applyNumberFormat="1" applyFont="1" applyFill="1" applyBorder="1" applyAlignment="1"/>
    <xf numFmtId="38" fontId="45" fillId="0" borderId="42" xfId="0" applyNumberFormat="1" applyFont="1" applyFill="1" applyBorder="1" applyAlignment="1"/>
    <xf numFmtId="38" fontId="45" fillId="0" borderId="41" xfId="0" applyNumberFormat="1" applyFont="1" applyFill="1" applyBorder="1" applyAlignment="1"/>
    <xf numFmtId="6" fontId="45" fillId="0" borderId="40" xfId="1" applyNumberFormat="1" applyFont="1" applyFill="1" applyBorder="1" applyAlignment="1"/>
    <xf numFmtId="8" fontId="45" fillId="0" borderId="40" xfId="2" applyNumberFormat="1" applyFont="1" applyFill="1" applyBorder="1" applyAlignment="1"/>
    <xf numFmtId="8" fontId="45" fillId="0" borderId="40" xfId="1" applyNumberFormat="1" applyFont="1" applyFill="1" applyBorder="1" applyAlignment="1"/>
    <xf numFmtId="7" fontId="45" fillId="0" borderId="0" xfId="0" applyNumberFormat="1" applyFont="1" applyFill="1" applyBorder="1" applyAlignment="1"/>
    <xf numFmtId="0" fontId="47" fillId="4" borderId="0" xfId="0" applyFont="1" applyFill="1" applyBorder="1" applyAlignment="1">
      <alignment horizontal="center" vertical="center"/>
    </xf>
    <xf numFmtId="0" fontId="19" fillId="0" borderId="0" xfId="0" applyFont="1"/>
    <xf numFmtId="0" fontId="19" fillId="0" borderId="0" xfId="0" applyFont="1" applyFill="1"/>
    <xf numFmtId="0" fontId="36" fillId="0" borderId="0" xfId="0" applyFont="1" applyFill="1"/>
    <xf numFmtId="7" fontId="36" fillId="0" borderId="3" xfId="0" applyNumberFormat="1" applyFont="1" applyBorder="1" applyAlignment="1">
      <alignment horizontal="right"/>
    </xf>
    <xf numFmtId="171" fontId="36" fillId="0" borderId="0" xfId="3" applyNumberFormat="1" applyFont="1"/>
    <xf numFmtId="0" fontId="0" fillId="0" borderId="0" xfId="0" applyFont="1" applyFill="1"/>
    <xf numFmtId="0" fontId="36" fillId="0" borderId="0" xfId="0" applyFont="1" applyAlignment="1">
      <alignment vertical="center"/>
    </xf>
    <xf numFmtId="0" fontId="19" fillId="0" borderId="0" xfId="0" applyFont="1" applyAlignment="1">
      <alignment horizontal="left" indent="1"/>
    </xf>
    <xf numFmtId="166" fontId="36" fillId="0" borderId="47" xfId="1" applyNumberFormat="1" applyFont="1" applyFill="1" applyBorder="1" applyAlignment="1">
      <alignment vertical="center"/>
    </xf>
    <xf numFmtId="166" fontId="36" fillId="0" borderId="44" xfId="1" applyNumberFormat="1" applyFont="1" applyFill="1" applyBorder="1" applyAlignment="1">
      <alignment vertical="center"/>
    </xf>
    <xf numFmtId="166" fontId="36" fillId="0" borderId="0" xfId="1" applyNumberFormat="1" applyFont="1" applyFill="1" applyBorder="1" applyAlignment="1">
      <alignment vertical="center"/>
    </xf>
    <xf numFmtId="10" fontId="36" fillId="0" borderId="47" xfId="3" applyNumberFormat="1" applyFont="1" applyFill="1" applyBorder="1" applyAlignment="1">
      <alignment vertical="center"/>
    </xf>
    <xf numFmtId="10" fontId="36" fillId="0" borderId="44" xfId="3" applyNumberFormat="1" applyFont="1" applyFill="1" applyBorder="1" applyAlignment="1">
      <alignment vertical="center"/>
    </xf>
    <xf numFmtId="10" fontId="36" fillId="0" borderId="0" xfId="3" applyNumberFormat="1" applyFont="1" applyFill="1" applyBorder="1" applyAlignment="1">
      <alignment vertical="center"/>
    </xf>
    <xf numFmtId="10" fontId="36" fillId="0" borderId="48" xfId="0" applyNumberFormat="1" applyFont="1" applyFill="1" applyBorder="1" applyAlignment="1">
      <alignment vertical="center"/>
    </xf>
    <xf numFmtId="10" fontId="36" fillId="0" borderId="49" xfId="0" applyNumberFormat="1" applyFont="1" applyFill="1" applyBorder="1" applyAlignment="1">
      <alignment vertical="center"/>
    </xf>
    <xf numFmtId="10" fontId="36" fillId="0" borderId="50" xfId="0" applyNumberFormat="1" applyFont="1" applyFill="1" applyBorder="1" applyAlignment="1">
      <alignment vertical="center"/>
    </xf>
    <xf numFmtId="10" fontId="36" fillId="0" borderId="44" xfId="3" applyNumberFormat="1" applyFont="1" applyFill="1" applyBorder="1" applyAlignment="1">
      <alignment horizontal="right" vertical="center"/>
    </xf>
    <xf numFmtId="10" fontId="36" fillId="0" borderId="45" xfId="0" applyNumberFormat="1" applyFont="1" applyFill="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51"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51"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51"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2" xfId="1" applyNumberFormat="1" applyFont="1" applyFill="1" applyBorder="1" applyAlignment="1">
      <alignment vertical="center"/>
    </xf>
    <xf numFmtId="10" fontId="36" fillId="0" borderId="52" xfId="3" applyNumberFormat="1" applyFont="1" applyFill="1" applyBorder="1" applyAlignment="1">
      <alignment vertical="center"/>
    </xf>
    <xf numFmtId="10" fontId="36" fillId="0" borderId="53" xfId="0" applyNumberFormat="1" applyFont="1" applyFill="1" applyBorder="1" applyAlignment="1">
      <alignment vertical="center"/>
    </xf>
    <xf numFmtId="10" fontId="36" fillId="0" borderId="52" xfId="3" applyNumberFormat="1" applyFont="1" applyFill="1" applyBorder="1" applyAlignment="1">
      <alignment horizontal="right" vertical="center"/>
    </xf>
    <xf numFmtId="10" fontId="36" fillId="0" borderId="54" xfId="0" applyNumberFormat="1" applyFont="1" applyFill="1" applyBorder="1" applyAlignment="1">
      <alignment horizontal="right" vertical="center"/>
    </xf>
    <xf numFmtId="166" fontId="36" fillId="0" borderId="55" xfId="0" applyNumberFormat="1" applyFont="1" applyFill="1" applyBorder="1" applyAlignment="1">
      <alignment vertical="center"/>
    </xf>
    <xf numFmtId="10" fontId="36" fillId="0" borderId="55" xfId="3" applyNumberFormat="1" applyFont="1" applyFill="1" applyBorder="1" applyAlignment="1">
      <alignment vertical="center"/>
    </xf>
    <xf numFmtId="10" fontId="36" fillId="0" borderId="56" xfId="3" applyNumberFormat="1" applyFont="1" applyFill="1" applyBorder="1" applyAlignment="1">
      <alignment vertical="center"/>
    </xf>
    <xf numFmtId="10" fontId="36" fillId="0" borderId="57" xfId="3" applyNumberFormat="1" applyFont="1" applyFill="1" applyBorder="1" applyAlignment="1">
      <alignment vertical="center"/>
    </xf>
    <xf numFmtId="10" fontId="36" fillId="0" borderId="40" xfId="3" applyNumberFormat="1" applyFont="1" applyFill="1" applyBorder="1" applyAlignment="1">
      <alignment horizontal="right" vertical="center"/>
    </xf>
    <xf numFmtId="10" fontId="36" fillId="0" borderId="42" xfId="0" applyNumberFormat="1" applyFont="1" applyFill="1" applyBorder="1" applyAlignment="1">
      <alignment horizontal="right" vertical="center"/>
    </xf>
    <xf numFmtId="166" fontId="36" fillId="0" borderId="58" xfId="0" applyNumberFormat="1" applyFont="1" applyFill="1" applyBorder="1" applyAlignment="1">
      <alignment vertical="center"/>
    </xf>
    <xf numFmtId="166" fontId="36" fillId="0" borderId="58" xfId="1" applyNumberFormat="1" applyFont="1" applyFill="1" applyBorder="1" applyAlignment="1">
      <alignment vertical="center"/>
    </xf>
    <xf numFmtId="10" fontId="36" fillId="0" borderId="58" xfId="3" applyNumberFormat="1" applyFont="1" applyFill="1" applyBorder="1" applyAlignment="1">
      <alignment vertical="center"/>
    </xf>
    <xf numFmtId="10" fontId="36" fillId="0" borderId="59" xfId="0" applyNumberFormat="1" applyFont="1" applyFill="1" applyBorder="1" applyAlignment="1">
      <alignment vertical="center"/>
    </xf>
    <xf numFmtId="166" fontId="36" fillId="0" borderId="59" xfId="0" applyNumberFormat="1" applyFont="1" applyFill="1" applyBorder="1" applyAlignment="1">
      <alignment vertical="center"/>
    </xf>
    <xf numFmtId="16" fontId="19" fillId="0" borderId="0" xfId="0" applyNumberFormat="1" applyFont="1" applyFill="1" applyBorder="1" applyAlignment="1">
      <alignment horizontal="left" vertical="center"/>
    </xf>
    <xf numFmtId="0" fontId="19" fillId="0" borderId="0" xfId="0" applyFont="1" applyFill="1" applyBorder="1" applyAlignment="1">
      <alignment horizontal="left" vertical="center"/>
    </xf>
    <xf numFmtId="0" fontId="19" fillId="0" borderId="50" xfId="0" applyFont="1" applyFill="1" applyBorder="1" applyAlignment="1">
      <alignment horizontal="left" vertical="center"/>
    </xf>
    <xf numFmtId="0" fontId="19" fillId="0" borderId="1" xfId="0" applyFont="1" applyFill="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60" xfId="0" quotePrefix="1" applyNumberFormat="1" applyFont="1" applyFill="1" applyBorder="1" applyAlignment="1">
      <alignment horizontal="center" vertical="center" wrapText="1"/>
    </xf>
    <xf numFmtId="164" fontId="24" fillId="7" borderId="61" xfId="0" quotePrefix="1" applyNumberFormat="1" applyFont="1" applyFill="1" applyBorder="1" applyAlignment="1">
      <alignment horizontal="center" vertical="center" wrapText="1"/>
    </xf>
    <xf numFmtId="164" fontId="24" fillId="7" borderId="62"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3" xfId="0" applyNumberFormat="1" applyFont="1" applyFill="1" applyBorder="1" applyAlignment="1">
      <alignment horizontal="center" vertical="center" wrapText="1"/>
    </xf>
    <xf numFmtId="0" fontId="24" fillId="0" borderId="0" xfId="0" applyFont="1" applyFill="1" applyBorder="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Border="1" applyAlignment="1">
      <alignment horizontal="left" vertical="center"/>
    </xf>
    <xf numFmtId="164" fontId="24" fillId="13" borderId="52" xfId="0" quotePrefix="1" applyNumberFormat="1" applyFont="1" applyFill="1" applyBorder="1" applyAlignment="1">
      <alignment horizontal="center" vertical="center" wrapText="1"/>
    </xf>
    <xf numFmtId="164" fontId="24" fillId="13" borderId="44" xfId="0" quotePrefix="1" applyNumberFormat="1" applyFont="1" applyFill="1" applyBorder="1" applyAlignment="1">
      <alignment horizontal="center" vertical="center" wrapText="1"/>
    </xf>
    <xf numFmtId="164" fontId="24" fillId="13" borderId="47" xfId="0" quotePrefix="1" applyNumberFormat="1" applyFont="1" applyFill="1" applyBorder="1" applyAlignment="1">
      <alignment horizontal="center" vertical="center" wrapText="1"/>
    </xf>
    <xf numFmtId="164" fontId="24" fillId="13" borderId="0" xfId="0" quotePrefix="1" applyNumberFormat="1" applyFont="1" applyFill="1" applyBorder="1" applyAlignment="1">
      <alignment horizontal="center" vertical="center" wrapText="1"/>
    </xf>
    <xf numFmtId="164" fontId="24" fillId="13" borderId="58" xfId="0" quotePrefix="1" applyNumberFormat="1" applyFont="1" applyFill="1" applyBorder="1" applyAlignment="1">
      <alignment horizontal="center" vertical="center" wrapText="1"/>
    </xf>
    <xf numFmtId="164" fontId="24" fillId="13" borderId="55" xfId="0" quotePrefix="1" applyNumberFormat="1" applyFont="1" applyFill="1" applyBorder="1" applyAlignment="1">
      <alignment horizontal="center" vertical="center" wrapText="1"/>
    </xf>
    <xf numFmtId="0" fontId="24" fillId="0" borderId="0" xfId="0" applyFont="1" applyAlignment="1">
      <alignment vertical="center"/>
    </xf>
    <xf numFmtId="16" fontId="24" fillId="14" borderId="13" xfId="0" applyNumberFormat="1" applyFont="1" applyFill="1" applyBorder="1" applyAlignment="1">
      <alignment horizontal="left" vertical="center" indent="1"/>
    </xf>
    <xf numFmtId="16" fontId="24" fillId="14" borderId="0" xfId="0" applyNumberFormat="1" applyFont="1" applyFill="1" applyBorder="1" applyAlignment="1">
      <alignment horizontal="left" vertical="center"/>
    </xf>
    <xf numFmtId="164" fontId="24" fillId="14" borderId="52" xfId="0" quotePrefix="1" applyNumberFormat="1" applyFont="1" applyFill="1" applyBorder="1" applyAlignment="1">
      <alignment horizontal="center" vertical="center" wrapText="1"/>
    </xf>
    <xf numFmtId="164" fontId="24" fillId="14" borderId="44" xfId="0" quotePrefix="1" applyNumberFormat="1" applyFont="1" applyFill="1" applyBorder="1" applyAlignment="1">
      <alignment horizontal="center" vertical="center" wrapText="1"/>
    </xf>
    <xf numFmtId="164" fontId="24" fillId="14" borderId="47" xfId="0" quotePrefix="1" applyNumberFormat="1" applyFont="1" applyFill="1" applyBorder="1" applyAlignment="1">
      <alignment horizontal="center" vertical="center" wrapText="1"/>
    </xf>
    <xf numFmtId="164" fontId="24" fillId="14" borderId="0" xfId="0" quotePrefix="1" applyNumberFormat="1" applyFont="1" applyFill="1" applyBorder="1" applyAlignment="1">
      <alignment horizontal="center" vertical="center" wrapText="1"/>
    </xf>
    <xf numFmtId="164" fontId="24" fillId="14" borderId="58" xfId="0" quotePrefix="1" applyNumberFormat="1" applyFont="1" applyFill="1" applyBorder="1" applyAlignment="1">
      <alignment horizontal="center" vertical="center" wrapText="1"/>
    </xf>
    <xf numFmtId="164" fontId="24" fillId="14" borderId="55"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Border="1" applyAlignment="1">
      <alignment horizontal="left" vertical="center"/>
    </xf>
    <xf numFmtId="164" fontId="24" fillId="11" borderId="52" xfId="0" quotePrefix="1" applyNumberFormat="1" applyFont="1" applyFill="1" applyBorder="1" applyAlignment="1">
      <alignment horizontal="center" vertical="center" wrapText="1"/>
    </xf>
    <xf numFmtId="164" fontId="24" fillId="11" borderId="44" xfId="0" quotePrefix="1" applyNumberFormat="1" applyFont="1" applyFill="1" applyBorder="1" applyAlignment="1">
      <alignment horizontal="center" vertical="center" wrapText="1"/>
    </xf>
    <xf numFmtId="164" fontId="24" fillId="11" borderId="47" xfId="0" quotePrefix="1" applyNumberFormat="1" applyFont="1" applyFill="1" applyBorder="1" applyAlignment="1">
      <alignment horizontal="center" vertical="center" wrapText="1"/>
    </xf>
    <xf numFmtId="164" fontId="24" fillId="11" borderId="44" xfId="0" applyNumberFormat="1" applyFont="1" applyFill="1" applyBorder="1" applyAlignment="1">
      <alignment horizontal="center" vertical="center" wrapText="1"/>
    </xf>
    <xf numFmtId="164" fontId="24" fillId="11" borderId="0" xfId="0" quotePrefix="1" applyNumberFormat="1" applyFont="1" applyFill="1" applyBorder="1" applyAlignment="1">
      <alignment horizontal="center" vertical="center" wrapText="1"/>
    </xf>
    <xf numFmtId="164" fontId="24" fillId="11" borderId="58" xfId="0" quotePrefix="1" applyNumberFormat="1" applyFont="1" applyFill="1" applyBorder="1" applyAlignment="1">
      <alignment horizontal="center" vertical="center" wrapText="1"/>
    </xf>
    <xf numFmtId="164" fontId="24" fillId="11" borderId="55" xfId="0" quotePrefix="1" applyNumberFormat="1" applyFont="1" applyFill="1" applyBorder="1" applyAlignment="1">
      <alignment horizontal="center" vertical="center" wrapText="1"/>
    </xf>
    <xf numFmtId="166" fontId="36" fillId="0" borderId="44" xfId="1" applyNumberFormat="1" applyFont="1" applyFill="1" applyBorder="1" applyAlignment="1">
      <alignment horizontal="right" vertical="center"/>
    </xf>
    <xf numFmtId="166" fontId="36" fillId="0" borderId="0" xfId="1" applyNumberFormat="1" applyFont="1" applyFill="1" applyBorder="1" applyAlignment="1">
      <alignment horizontal="right" vertical="center"/>
    </xf>
    <xf numFmtId="167" fontId="36" fillId="0" borderId="44" xfId="3" applyNumberFormat="1" applyFont="1" applyFill="1" applyBorder="1" applyAlignment="1">
      <alignment vertical="center"/>
    </xf>
    <xf numFmtId="167" fontId="36" fillId="0" borderId="49" xfId="0" applyNumberFormat="1" applyFont="1" applyFill="1" applyBorder="1" applyAlignment="1">
      <alignment vertical="center"/>
    </xf>
    <xf numFmtId="0" fontId="20" fillId="0" borderId="11"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21" xfId="0" applyFont="1" applyFill="1" applyBorder="1" applyAlignment="1">
      <alignment horizontal="center" vertical="center" wrapText="1"/>
    </xf>
    <xf numFmtId="38" fontId="36" fillId="0" borderId="13" xfId="0" applyNumberFormat="1" applyFont="1" applyFill="1" applyBorder="1" applyAlignment="1">
      <alignment vertical="center"/>
    </xf>
    <xf numFmtId="167" fontId="36" fillId="0" borderId="13" xfId="3" applyNumberFormat="1" applyFont="1" applyFill="1" applyBorder="1" applyAlignment="1">
      <alignment vertical="center"/>
    </xf>
    <xf numFmtId="167" fontId="36" fillId="0" borderId="51" xfId="3" applyNumberFormat="1" applyFont="1" applyFill="1" applyBorder="1" applyAlignment="1">
      <alignment vertical="center"/>
    </xf>
    <xf numFmtId="167" fontId="36" fillId="0" borderId="15" xfId="3" applyNumberFormat="1" applyFont="1" applyFill="1" applyBorder="1" applyAlignment="1">
      <alignment vertical="center"/>
    </xf>
    <xf numFmtId="10" fontId="36" fillId="0" borderId="64" xfId="0" applyNumberFormat="1" applyFont="1" applyFill="1" applyBorder="1" applyAlignment="1">
      <alignment vertical="center"/>
    </xf>
    <xf numFmtId="164" fontId="24" fillId="7" borderId="65" xfId="0" applyNumberFormat="1" applyFont="1" applyFill="1" applyBorder="1" applyAlignment="1">
      <alignment horizontal="center" vertical="center" wrapText="1"/>
    </xf>
    <xf numFmtId="171" fontId="43" fillId="0" borderId="14" xfId="3" applyNumberFormat="1" applyFont="1" applyFill="1" applyBorder="1"/>
    <xf numFmtId="10" fontId="13" fillId="3" borderId="4" xfId="3" applyNumberFormat="1" applyFont="1" applyFill="1" applyBorder="1" applyAlignment="1">
      <alignment horizontal="right"/>
    </xf>
    <xf numFmtId="10" fontId="13" fillId="3" borderId="3" xfId="3" applyNumberFormat="1" applyFont="1" applyFill="1" applyBorder="1" applyAlignment="1">
      <alignment horizontal="right"/>
    </xf>
    <xf numFmtId="40" fontId="13" fillId="3" borderId="4" xfId="1" applyNumberFormat="1" applyFon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0" fontId="0" fillId="0" borderId="5" xfId="0" applyBorder="1" applyAlignment="1">
      <alignment horizontal="right"/>
    </xf>
    <xf numFmtId="166" fontId="13" fillId="0" borderId="3" xfId="1" applyNumberFormat="1" applyFont="1" applyBorder="1" applyAlignment="1">
      <alignment horizontal="right"/>
    </xf>
    <xf numFmtId="166" fontId="22"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166" fontId="0" fillId="0" borderId="3" xfId="0" applyNumberFormat="1" applyBorder="1" applyAlignment="1">
      <alignment horizontal="right"/>
    </xf>
    <xf numFmtId="43" fontId="31" fillId="0" borderId="4" xfId="1" applyFont="1" applyBorder="1" applyAlignment="1">
      <alignment horizontal="right"/>
    </xf>
    <xf numFmtId="43" fontId="0" fillId="0" borderId="3" xfId="0" applyNumberFormat="1" applyBorder="1" applyAlignment="1">
      <alignment horizontal="right"/>
    </xf>
    <xf numFmtId="166" fontId="13" fillId="0" borderId="9" xfId="1" applyNumberFormat="1" applyFont="1" applyBorder="1" applyAlignment="1">
      <alignment horizontal="right"/>
    </xf>
    <xf numFmtId="10" fontId="13" fillId="0" borderId="4" xfId="3" applyNumberFormat="1" applyFont="1" applyBorder="1" applyAlignment="1">
      <alignment horizontal="right"/>
    </xf>
    <xf numFmtId="2" fontId="22" fillId="0" borderId="3" xfId="0" applyNumberFormat="1" applyFont="1" applyBorder="1" applyAlignment="1">
      <alignment horizontal="right"/>
    </xf>
    <xf numFmtId="2" fontId="0" fillId="0" borderId="4" xfId="0" applyNumberFormat="1" applyBorder="1" applyAlignment="1">
      <alignment horizontal="right"/>
    </xf>
    <xf numFmtId="43" fontId="13" fillId="0" borderId="4" xfId="1" applyFont="1" applyBorder="1" applyAlignment="1">
      <alignment horizontal="right"/>
    </xf>
    <xf numFmtId="5" fontId="13" fillId="3" borderId="3" xfId="2" applyNumberFormat="1" applyFont="1" applyFill="1" applyBorder="1" applyAlignment="1">
      <alignment horizontal="right"/>
    </xf>
    <xf numFmtId="7" fontId="13" fillId="0" borderId="3" xfId="2" applyNumberFormat="1" applyFont="1" applyBorder="1" applyAlignment="1">
      <alignment horizontal="right"/>
    </xf>
    <xf numFmtId="7" fontId="13" fillId="3" borderId="3" xfId="2" applyNumberFormat="1" applyFont="1" applyFill="1" applyBorder="1" applyAlignment="1">
      <alignment horizontal="right"/>
    </xf>
    <xf numFmtId="10" fontId="13" fillId="0" borderId="8" xfId="3" applyNumberFormat="1" applyFont="1" applyBorder="1" applyAlignment="1">
      <alignment horizontal="right"/>
    </xf>
    <xf numFmtId="10" fontId="13" fillId="3" borderId="8" xfId="3" applyNumberFormat="1" applyFont="1" applyFill="1" applyBorder="1" applyAlignment="1">
      <alignment horizontal="right"/>
    </xf>
    <xf numFmtId="7" fontId="31" fillId="0" borderId="3" xfId="1" applyNumberFormat="1" applyFont="1" applyBorder="1" applyAlignment="1">
      <alignment horizontal="right"/>
    </xf>
    <xf numFmtId="0" fontId="0" fillId="0" borderId="3" xfId="0" applyFont="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Fill="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Fill="1" applyBorder="1" applyAlignment="1">
      <alignment vertical="center"/>
    </xf>
    <xf numFmtId="10" fontId="36" fillId="0" borderId="66" xfId="3" applyNumberFormat="1" applyFont="1" applyFill="1" applyBorder="1" applyAlignment="1">
      <alignment vertical="center"/>
    </xf>
    <xf numFmtId="10" fontId="20" fillId="0" borderId="21" xfId="0" applyNumberFormat="1" applyFont="1" applyFill="1" applyBorder="1" applyAlignment="1">
      <alignment horizontal="center" vertical="center" wrapText="1"/>
    </xf>
    <xf numFmtId="10" fontId="36" fillId="0" borderId="34" xfId="3" applyNumberFormat="1" applyFont="1" applyFill="1" applyBorder="1" applyAlignment="1">
      <alignment vertical="center"/>
    </xf>
    <xf numFmtId="0" fontId="49" fillId="0" borderId="0" xfId="0" applyFont="1" applyBorder="1" applyAlignment="1">
      <alignment horizontal="center"/>
    </xf>
    <xf numFmtId="0" fontId="49" fillId="12" borderId="0" xfId="0" applyFont="1" applyFill="1" applyBorder="1" applyAlignment="1">
      <alignment horizontal="center"/>
    </xf>
    <xf numFmtId="10" fontId="35" fillId="3" borderId="5" xfId="0" applyNumberFormat="1" applyFont="1" applyFill="1" applyBorder="1" applyAlignment="1">
      <alignment horizontal="center" vertical="center" wrapText="1"/>
    </xf>
    <xf numFmtId="38" fontId="0" fillId="0" borderId="15" xfId="0" applyNumberFormat="1" applyFont="1" applyBorder="1"/>
    <xf numFmtId="171" fontId="13" fillId="0" borderId="10" xfId="3" applyNumberFormat="1" applyFont="1" applyBorder="1"/>
    <xf numFmtId="40" fontId="0" fillId="0" borderId="11" xfId="0" applyNumberFormat="1" applyFont="1" applyBorder="1"/>
    <xf numFmtId="171" fontId="13" fillId="0" borderId="12" xfId="3" applyNumberFormat="1" applyFont="1" applyBorder="1"/>
    <xf numFmtId="38" fontId="13" fillId="0" borderId="13" xfId="1" applyNumberFormat="1" applyFont="1" applyBorder="1"/>
    <xf numFmtId="171" fontId="13" fillId="0" borderId="14" xfId="3" applyNumberFormat="1" applyFont="1" applyBorder="1"/>
    <xf numFmtId="40" fontId="13" fillId="0" borderId="13" xfId="1" applyNumberFormat="1" applyFont="1" applyBorder="1"/>
    <xf numFmtId="40" fontId="13" fillId="0" borderId="13" xfId="3" applyNumberFormat="1" applyFont="1" applyBorder="1"/>
    <xf numFmtId="40" fontId="13" fillId="0" borderId="15" xfId="1" applyNumberFormat="1" applyFont="1" applyFill="1" applyBorder="1"/>
    <xf numFmtId="171" fontId="13" fillId="0" borderId="16" xfId="3" applyNumberFormat="1" applyFont="1" applyFill="1" applyBorder="1"/>
    <xf numFmtId="38" fontId="13" fillId="0" borderId="19" xfId="1" applyNumberFormat="1" applyFont="1" applyBorder="1"/>
    <xf numFmtId="171" fontId="13" fillId="0" borderId="18" xfId="3" applyNumberFormat="1" applyFont="1" applyBorder="1"/>
    <xf numFmtId="169" fontId="13" fillId="0" borderId="13" xfId="1" applyNumberFormat="1" applyFont="1" applyBorder="1"/>
    <xf numFmtId="38" fontId="13" fillId="0" borderId="15" xfId="1" applyNumberFormat="1" applyFont="1" applyBorder="1"/>
    <xf numFmtId="171" fontId="13" fillId="0" borderId="16" xfId="3" applyNumberFormat="1" applyFont="1" applyBorder="1"/>
    <xf numFmtId="40" fontId="13" fillId="0" borderId="15" xfId="1" applyNumberFormat="1" applyFont="1" applyBorder="1"/>
    <xf numFmtId="38" fontId="0" fillId="0" borderId="13" xfId="0" applyNumberFormat="1" applyFont="1" applyBorder="1"/>
    <xf numFmtId="38" fontId="0" fillId="0" borderId="22" xfId="0" applyNumberFormat="1" applyFont="1" applyBorder="1"/>
    <xf numFmtId="171" fontId="13" fillId="0" borderId="17" xfId="3" applyNumberFormat="1" applyFont="1" applyBorder="1"/>
    <xf numFmtId="40" fontId="13" fillId="0" borderId="33" xfId="3" applyNumberFormat="1" applyFont="1" applyBorder="1"/>
    <xf numFmtId="171" fontId="13" fillId="0" borderId="32" xfId="3" applyNumberFormat="1" applyFont="1" applyBorder="1"/>
    <xf numFmtId="40" fontId="0" fillId="0" borderId="15" xfId="0" applyNumberFormat="1" applyFont="1" applyBorder="1"/>
    <xf numFmtId="6" fontId="13" fillId="0" borderId="13" xfId="1" applyNumberFormat="1" applyFont="1" applyBorder="1"/>
    <xf numFmtId="8" fontId="13" fillId="0" borderId="13" xfId="1" applyNumberFormat="1" applyFont="1" applyBorder="1"/>
    <xf numFmtId="40" fontId="13" fillId="0" borderId="19" xfId="3" applyNumberFormat="1" applyFont="1" applyBorder="1"/>
    <xf numFmtId="40" fontId="13" fillId="0" borderId="15" xfId="3" applyNumberFormat="1" applyFont="1" applyBorder="1"/>
    <xf numFmtId="40" fontId="0" fillId="0" borderId="13" xfId="0" applyNumberFormat="1" applyFont="1" applyBorder="1" applyAlignment="1">
      <alignment horizontal="right"/>
    </xf>
    <xf numFmtId="171" fontId="13" fillId="0" borderId="14" xfId="3" applyNumberFormat="1" applyFont="1" applyBorder="1" applyAlignment="1">
      <alignment horizontal="right"/>
    </xf>
    <xf numFmtId="38" fontId="0" fillId="0" borderId="19" xfId="0" applyNumberFormat="1" applyFont="1" applyBorder="1"/>
    <xf numFmtId="171" fontId="13" fillId="0" borderId="46" xfId="3" applyNumberFormat="1" applyFont="1" applyBorder="1"/>
    <xf numFmtId="171" fontId="13" fillId="0" borderId="21" xfId="3" applyNumberFormat="1" applyFont="1" applyBorder="1"/>
    <xf numFmtId="2" fontId="13" fillId="0" borderId="19" xfId="3" applyNumberFormat="1" applyFont="1" applyBorder="1"/>
    <xf numFmtId="2" fontId="13" fillId="0" borderId="13" xfId="3" applyNumberFormat="1" applyFont="1" applyBorder="1"/>
    <xf numFmtId="173" fontId="13" fillId="0" borderId="15" xfId="1" applyNumberFormat="1" applyFont="1" applyBorder="1"/>
    <xf numFmtId="40" fontId="17" fillId="0" borderId="0" xfId="0" applyNumberFormat="1" applyFont="1" applyBorder="1" applyAlignment="1">
      <alignment horizontal="center" vertical="center" wrapText="1"/>
    </xf>
    <xf numFmtId="171" fontId="13" fillId="0" borderId="0" xfId="3" applyNumberFormat="1" applyFont="1" applyBorder="1"/>
    <xf numFmtId="171" fontId="13" fillId="0" borderId="1" xfId="3" applyNumberFormat="1" applyFont="1" applyBorder="1"/>
    <xf numFmtId="40" fontId="17" fillId="0" borderId="1" xfId="0" applyNumberFormat="1" applyFont="1" applyBorder="1" applyAlignment="1">
      <alignment horizontal="center" vertical="center" wrapText="1"/>
    </xf>
    <xf numFmtId="171" fontId="28" fillId="0" borderId="1" xfId="3" applyNumberFormat="1" applyFont="1" applyBorder="1"/>
    <xf numFmtId="171" fontId="28" fillId="0" borderId="2" xfId="3" applyNumberFormat="1" applyFont="1" applyBorder="1"/>
    <xf numFmtId="171" fontId="28" fillId="0" borderId="0" xfId="3" applyNumberFormat="1" applyFont="1" applyBorder="1"/>
    <xf numFmtId="171" fontId="28" fillId="0" borderId="1" xfId="3" applyNumberFormat="1" applyFont="1" applyFill="1" applyBorder="1"/>
    <xf numFmtId="171" fontId="28" fillId="0" borderId="6" xfId="3" applyNumberFormat="1" applyFont="1" applyBorder="1"/>
    <xf numFmtId="171" fontId="28" fillId="0" borderId="0" xfId="3" applyNumberFormat="1" applyFont="1" applyBorder="1" applyAlignment="1">
      <alignment horizontal="right"/>
    </xf>
    <xf numFmtId="171" fontId="28" fillId="0" borderId="7" xfId="3" applyNumberFormat="1" applyFont="1" applyBorder="1"/>
    <xf numFmtId="171" fontId="43" fillId="0" borderId="7" xfId="3" applyNumberFormat="1" applyFont="1" applyBorder="1"/>
    <xf numFmtId="43" fontId="27" fillId="0" borderId="1" xfId="0" applyNumberFormat="1" applyFont="1" applyFill="1" applyBorder="1" applyAlignment="1">
      <alignment horizontal="right"/>
    </xf>
    <xf numFmtId="0" fontId="27" fillId="0" borderId="34" xfId="0" applyFont="1" applyFill="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Border="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Border="1" applyAlignment="1">
      <alignment horizontal="center"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43" fontId="13" fillId="0" borderId="4" xfId="1" applyFont="1" applyFill="1" applyBorder="1" applyAlignment="1">
      <alignment horizontal="right"/>
    </xf>
    <xf numFmtId="43" fontId="13" fillId="3" borderId="4" xfId="1" applyFont="1" applyFill="1" applyBorder="1" applyAlignment="1">
      <alignment horizontal="right"/>
    </xf>
    <xf numFmtId="38" fontId="23" fillId="2" borderId="3" xfId="0" applyNumberFormat="1" applyFont="1" applyFill="1" applyBorder="1" applyAlignment="1">
      <alignment horizontal="center"/>
    </xf>
    <xf numFmtId="7" fontId="13" fillId="6" borderId="13" xfId="2" applyNumberFormat="1" applyFont="1" applyFill="1" applyBorder="1" applyAlignment="1">
      <alignment horizontal="right"/>
    </xf>
    <xf numFmtId="7" fontId="13" fillId="6" borderId="3" xfId="2" applyNumberFormat="1" applyFont="1" applyFill="1" applyBorder="1" applyAlignment="1">
      <alignment horizontal="right"/>
    </xf>
    <xf numFmtId="0" fontId="36" fillId="0" borderId="13" xfId="0" applyFont="1" applyFill="1" applyBorder="1" applyAlignment="1">
      <alignment horizontal="center" vertical="center"/>
    </xf>
    <xf numFmtId="0" fontId="36" fillId="0" borderId="21" xfId="0" applyFont="1" applyFill="1" applyBorder="1" applyAlignment="1">
      <alignment horizontal="center" vertical="center"/>
    </xf>
    <xf numFmtId="0" fontId="36" fillId="0" borderId="51" xfId="0" applyFont="1" applyFill="1" applyBorder="1" applyAlignment="1">
      <alignment horizontal="center" vertical="center"/>
    </xf>
    <xf numFmtId="43" fontId="36" fillId="0" borderId="66" xfId="0" applyNumberFormat="1" applyFont="1" applyFill="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60"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64" fontId="24" fillId="15" borderId="62" xfId="0" quotePrefix="1" applyNumberFormat="1" applyFont="1" applyFill="1" applyBorder="1" applyAlignment="1">
      <alignment horizontal="center" vertical="center" wrapText="1"/>
    </xf>
    <xf numFmtId="164" fontId="24" fillId="15" borderId="61"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5"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0" fontId="20" fillId="0" borderId="36" xfId="0" applyNumberFormat="1" applyFont="1" applyFill="1" applyBorder="1" applyAlignment="1">
      <alignment horizontal="center" vertical="center" wrapText="1"/>
    </xf>
    <xf numFmtId="0" fontId="0" fillId="16" borderId="11" xfId="0" applyFill="1" applyBorder="1"/>
    <xf numFmtId="0" fontId="46" fillId="16" borderId="61"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5"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4" xfId="0" applyNumberFormat="1" applyFont="1" applyFill="1" applyBorder="1" applyAlignment="1"/>
    <xf numFmtId="171" fontId="48" fillId="0" borderId="14" xfId="3" applyNumberFormat="1" applyFont="1" applyBorder="1"/>
    <xf numFmtId="171" fontId="48" fillId="0" borderId="18" xfId="3" applyNumberFormat="1" applyFont="1" applyBorder="1"/>
    <xf numFmtId="8" fontId="13" fillId="0" borderId="47" xfId="1" applyNumberFormat="1" applyFont="1" applyBorder="1"/>
    <xf numFmtId="0" fontId="42" fillId="4" borderId="35" xfId="0" applyFont="1" applyFill="1" applyBorder="1" applyAlignment="1">
      <alignment horizontal="right" vertical="center"/>
    </xf>
    <xf numFmtId="164" fontId="32" fillId="4" borderId="70" xfId="0" applyNumberFormat="1" applyFont="1" applyFill="1" applyBorder="1" applyAlignment="1">
      <alignment horizontal="center" vertical="center"/>
    </xf>
    <xf numFmtId="171" fontId="43" fillId="0" borderId="21" xfId="3" applyNumberFormat="1" applyFont="1" applyBorder="1"/>
    <xf numFmtId="0" fontId="24" fillId="2" borderId="0" xfId="0" applyFont="1" applyFill="1" applyBorder="1" applyAlignment="1">
      <alignment horizontal="center"/>
    </xf>
    <xf numFmtId="0" fontId="24" fillId="2" borderId="1" xfId="0" applyFont="1" applyFill="1" applyBorder="1" applyAlignment="1">
      <alignment horizontal="center"/>
    </xf>
    <xf numFmtId="0" fontId="24" fillId="0" borderId="2" xfId="0" applyFont="1" applyFill="1" applyBorder="1" applyAlignment="1">
      <alignment horizontal="right"/>
    </xf>
    <xf numFmtId="0" fontId="24" fillId="0" borderId="0" xfId="0" applyFont="1" applyFill="1" applyBorder="1" applyAlignment="1">
      <alignment horizontal="right"/>
    </xf>
    <xf numFmtId="0" fontId="24" fillId="0" borderId="1" xfId="0" applyFont="1" applyFill="1" applyBorder="1" applyAlignment="1">
      <alignment horizontal="right"/>
    </xf>
    <xf numFmtId="0" fontId="45" fillId="4" borderId="0" xfId="0" applyFont="1" applyFill="1" applyBorder="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43" fontId="13" fillId="3" borderId="4" xfId="1" applyFont="1" applyFill="1" applyBorder="1" applyAlignment="1">
      <alignment horizontal="right"/>
    </xf>
    <xf numFmtId="43" fontId="13" fillId="0" borderId="4" xfId="1" applyFont="1" applyBorder="1" applyAlignment="1">
      <alignment horizontal="right"/>
    </xf>
    <xf numFmtId="0" fontId="42" fillId="4" borderId="71"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NumberFormat="1" applyFont="1" applyBorder="1" applyAlignment="1">
      <alignment horizontal="left" vertical="top" wrapText="1"/>
    </xf>
    <xf numFmtId="10" fontId="13" fillId="0" borderId="10" xfId="3" applyNumberFormat="1" applyFont="1" applyBorder="1"/>
    <xf numFmtId="10" fontId="13" fillId="0" borderId="21" xfId="3" applyNumberFormat="1" applyFont="1" applyBorder="1"/>
    <xf numFmtId="0" fontId="0" fillId="0" borderId="7" xfId="0" applyFill="1" applyBorder="1" applyAlignment="1">
      <alignment horizontal="left"/>
    </xf>
    <xf numFmtId="0" fontId="0" fillId="0" borderId="37" xfId="0" applyFill="1" applyBorder="1" applyAlignment="1">
      <alignment horizontal="left"/>
    </xf>
    <xf numFmtId="0" fontId="36" fillId="0" borderId="0" xfId="0" applyNumberFormat="1" applyFont="1" applyBorder="1" applyAlignment="1">
      <alignment horizontal="left" vertical="top"/>
    </xf>
    <xf numFmtId="43" fontId="22" fillId="0" borderId="37" xfId="1" applyFont="1" applyFill="1" applyBorder="1"/>
    <xf numFmtId="2" fontId="22" fillId="3" borderId="8" xfId="0" applyNumberFormat="1" applyFont="1" applyFill="1" applyBorder="1" applyAlignment="1">
      <alignment horizontal="right"/>
    </xf>
    <xf numFmtId="43" fontId="22" fillId="0" borderId="8" xfId="1" applyFont="1" applyFill="1" applyBorder="1"/>
    <xf numFmtId="43" fontId="13" fillId="6" borderId="8" xfId="1" applyFont="1" applyFill="1" applyBorder="1" applyAlignment="1">
      <alignment horizontal="right"/>
    </xf>
    <xf numFmtId="43" fontId="22" fillId="0" borderId="8" xfId="1" applyFont="1" applyFill="1" applyBorder="1" applyAlignment="1">
      <alignment horizontal="right"/>
    </xf>
    <xf numFmtId="40" fontId="28" fillId="0" borderId="19" xfId="1" applyNumberFormat="1" applyFont="1" applyBorder="1"/>
    <xf numFmtId="40" fontId="13" fillId="0" borderId="19" xfId="1" applyNumberFormat="1" applyFont="1" applyBorder="1"/>
    <xf numFmtId="2" fontId="22" fillId="0" borderId="8" xfId="0" applyNumberFormat="1" applyFont="1" applyFill="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Fill="1" applyBorder="1" applyAlignment="1">
      <alignment horizontal="right"/>
    </xf>
    <xf numFmtId="0" fontId="0" fillId="0" borderId="37" xfId="0" applyBorder="1"/>
    <xf numFmtId="5" fontId="0" fillId="0" borderId="3" xfId="0" applyNumberFormat="1" applyBorder="1" applyAlignment="1">
      <alignment horizontal="right"/>
    </xf>
    <xf numFmtId="0" fontId="0" fillId="0" borderId="13" xfId="0" applyBorder="1" applyAlignment="1">
      <alignment horizontal="left"/>
    </xf>
    <xf numFmtId="0" fontId="0" fillId="0" borderId="13" xfId="0" applyBorder="1" applyAlignment="1"/>
    <xf numFmtId="0" fontId="0" fillId="0" borderId="76" xfId="0" applyBorder="1" applyAlignment="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Fill="1" applyBorder="1" applyAlignment="1"/>
    <xf numFmtId="171" fontId="45" fillId="0" borderId="16" xfId="3" applyNumberFormat="1" applyFont="1" applyFill="1" applyBorder="1" applyAlignment="1"/>
    <xf numFmtId="0" fontId="46" fillId="16" borderId="78" xfId="0" applyFont="1" applyFill="1" applyBorder="1" applyAlignment="1">
      <alignment horizontal="center"/>
    </xf>
    <xf numFmtId="38" fontId="45" fillId="0" borderId="77" xfId="0" applyNumberFormat="1" applyFont="1" applyFill="1" applyBorder="1" applyAlignment="1"/>
    <xf numFmtId="38" fontId="45" fillId="0" borderId="23" xfId="0" applyNumberFormat="1" applyFont="1" applyFill="1" applyBorder="1" applyAlignment="1"/>
    <xf numFmtId="40" fontId="45" fillId="0" borderId="23" xfId="0" applyNumberFormat="1" applyFont="1" applyFill="1" applyBorder="1" applyAlignment="1"/>
    <xf numFmtId="10" fontId="45" fillId="0" borderId="23" xfId="3" applyNumberFormat="1" applyFont="1" applyFill="1" applyBorder="1" applyAlignment="1"/>
    <xf numFmtId="6" fontId="45" fillId="0" borderId="23" xfId="1" applyNumberFormat="1" applyFont="1" applyFill="1" applyBorder="1" applyAlignment="1"/>
    <xf numFmtId="8" fontId="45" fillId="0" borderId="23" xfId="2" applyNumberFormat="1" applyFont="1" applyFill="1" applyBorder="1" applyAlignment="1"/>
    <xf numFmtId="8" fontId="45" fillId="0" borderId="23" xfId="1" applyNumberFormat="1" applyFont="1" applyFill="1" applyBorder="1" applyAlignment="1"/>
    <xf numFmtId="38" fontId="45" fillId="0" borderId="78" xfId="0" applyNumberFormat="1" applyFont="1" applyFill="1" applyBorder="1" applyAlignment="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60"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4" fontId="24" fillId="18" borderId="62" xfId="0" quotePrefix="1" applyNumberFormat="1" applyFont="1" applyFill="1" applyBorder="1" applyAlignment="1">
      <alignment horizontal="center" vertical="center" wrapText="1"/>
    </xf>
    <xf numFmtId="164" fontId="24" fillId="18" borderId="61"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5"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6" fontId="36" fillId="0" borderId="23" xfId="1" applyNumberFormat="1" applyFont="1" applyFill="1" applyBorder="1" applyAlignment="1">
      <alignment vertical="center"/>
    </xf>
    <xf numFmtId="166" fontId="36" fillId="0" borderId="40" xfId="1" applyNumberFormat="1" applyFont="1" applyFill="1" applyBorder="1" applyAlignment="1">
      <alignment horizontal="right" vertical="center"/>
    </xf>
    <xf numFmtId="166" fontId="36" fillId="0" borderId="40" xfId="1" applyNumberFormat="1" applyFont="1" applyFill="1" applyBorder="1" applyAlignment="1">
      <alignment vertical="center"/>
    </xf>
    <xf numFmtId="166" fontId="48" fillId="0" borderId="3" xfId="1" applyNumberFormat="1" applyFont="1" applyBorder="1"/>
    <xf numFmtId="44" fontId="31" fillId="0" borderId="34" xfId="2" applyFont="1" applyBorder="1"/>
    <xf numFmtId="0" fontId="0" fillId="0" borderId="34" xfId="0" applyFill="1" applyBorder="1"/>
    <xf numFmtId="10" fontId="13" fillId="0" borderId="0" xfId="3" applyNumberFormat="1" applyFont="1" applyFill="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Fill="1" applyBorder="1" applyAlignment="1">
      <alignment horizontal="center"/>
    </xf>
    <xf numFmtId="43" fontId="31" fillId="0" borderId="4" xfId="1" applyFont="1" applyBorder="1" applyAlignment="1">
      <alignment horizontal="center"/>
    </xf>
    <xf numFmtId="0" fontId="0" fillId="0" borderId="0" xfId="0" applyBorder="1" applyAlignment="1">
      <alignment horizontal="left" vertical="top"/>
    </xf>
    <xf numFmtId="175" fontId="48" fillId="0" borderId="3" xfId="1" applyNumberFormat="1" applyFont="1" applyFill="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43" fontId="22" fillId="3" borderId="3" xfId="1" applyNumberFormat="1" applyFont="1" applyFill="1" applyBorder="1" applyAlignment="1">
      <alignment horizontal="right"/>
    </xf>
    <xf numFmtId="0" fontId="0" fillId="0" borderId="0" xfId="0" applyBorder="1" applyAlignment="1">
      <alignment horizontal="left" vertical="top"/>
    </xf>
    <xf numFmtId="2" fontId="26" fillId="0" borderId="0" xfId="0" applyNumberFormat="1" applyFont="1" applyBorder="1"/>
    <xf numFmtId="43" fontId="22" fillId="0" borderId="3" xfId="1" applyNumberFormat="1" applyFont="1" applyFill="1" applyBorder="1" applyAlignment="1">
      <alignment horizontal="right"/>
    </xf>
    <xf numFmtId="176" fontId="28" fillId="0" borderId="13" xfId="3" applyNumberFormat="1" applyFont="1" applyBorder="1"/>
    <xf numFmtId="176" fontId="28" fillId="0" borderId="19" xfId="3" applyNumberFormat="1" applyFont="1" applyBorder="1"/>
    <xf numFmtId="3" fontId="28" fillId="5" borderId="8" xfId="1" quotePrefix="1" applyNumberFormat="1" applyFont="1" applyFill="1" applyBorder="1" applyAlignment="1">
      <alignment horizontal="center"/>
    </xf>
    <xf numFmtId="10" fontId="48" fillId="0" borderId="14" xfId="3" applyNumberFormat="1" applyFont="1" applyBorder="1"/>
    <xf numFmtId="0" fontId="24" fillId="12" borderId="0" xfId="0" applyNumberFormat="1" applyFont="1" applyFill="1" applyAlignment="1">
      <alignment horizontal="center"/>
    </xf>
    <xf numFmtId="0" fontId="20" fillId="12" borderId="0" xfId="0" applyNumberFormat="1" applyFont="1" applyFill="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24" fillId="19" borderId="0" xfId="0" applyNumberFormat="1" applyFont="1" applyFill="1" applyAlignment="1">
      <alignment horizontal="center"/>
    </xf>
    <xf numFmtId="171" fontId="33" fillId="19" borderId="0" xfId="3" applyNumberFormat="1" applyFont="1" applyFill="1" applyBorder="1" applyAlignment="1">
      <alignment horizontal="center" wrapText="1"/>
    </xf>
    <xf numFmtId="0" fontId="20" fillId="19" borderId="0" xfId="0" applyFont="1" applyFill="1" applyAlignment="1">
      <alignment horizontal="center"/>
    </xf>
    <xf numFmtId="0" fontId="20" fillId="19" borderId="1" xfId="0" applyFont="1" applyFill="1" applyBorder="1" applyAlignment="1">
      <alignment horizontal="center"/>
    </xf>
    <xf numFmtId="171" fontId="33" fillId="19" borderId="1" xfId="3" applyNumberFormat="1" applyFont="1" applyFill="1" applyBorder="1" applyAlignment="1">
      <alignment horizontal="center" wrapText="1"/>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Border="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60"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64" fontId="24" fillId="20" borderId="62" xfId="0" quotePrefix="1" applyNumberFormat="1" applyFont="1" applyFill="1" applyBorder="1" applyAlignment="1">
      <alignment horizontal="center" vertical="center" wrapText="1"/>
    </xf>
    <xf numFmtId="164" fontId="24" fillId="20" borderId="61"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5"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0" fontId="0" fillId="0" borderId="1" xfId="0" applyFont="1" applyFill="1" applyBorder="1"/>
    <xf numFmtId="0" fontId="0" fillId="0" borderId="3" xfId="0" applyFill="1" applyBorder="1"/>
    <xf numFmtId="171" fontId="13" fillId="0" borderId="36" xfId="3" applyNumberFormat="1" applyFont="1" applyFill="1" applyBorder="1"/>
    <xf numFmtId="171" fontId="13" fillId="0" borderId="2" xfId="3" applyNumberFormat="1" applyFont="1" applyFill="1" applyBorder="1"/>
    <xf numFmtId="10" fontId="0" fillId="0" borderId="2" xfId="0" applyNumberFormat="1" applyFill="1" applyBorder="1"/>
    <xf numFmtId="0" fontId="36" fillId="0" borderId="5" xfId="0" applyFont="1" applyFill="1" applyBorder="1" applyAlignment="1">
      <alignment horizontal="right"/>
    </xf>
    <xf numFmtId="171" fontId="13" fillId="0" borderId="21" xfId="3" applyNumberFormat="1" applyFont="1" applyFill="1" applyBorder="1"/>
    <xf numFmtId="171" fontId="13" fillId="0" borderId="0" xfId="3" applyNumberFormat="1" applyFont="1" applyFill="1"/>
    <xf numFmtId="10" fontId="0" fillId="0" borderId="0" xfId="0" applyNumberFormat="1" applyFill="1"/>
    <xf numFmtId="0" fontId="36" fillId="0" borderId="3" xfId="0" applyFont="1" applyFill="1" applyBorder="1" applyAlignment="1">
      <alignment horizontal="right"/>
    </xf>
    <xf numFmtId="171" fontId="13" fillId="0" borderId="0" xfId="3" applyNumberFormat="1" applyFont="1" applyFill="1" applyBorder="1"/>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7" fontId="28" fillId="0" borderId="33" xfId="3" applyNumberFormat="1" applyFont="1" applyBorder="1"/>
    <xf numFmtId="171" fontId="57" fillId="0" borderId="14" xfId="3" applyNumberFormat="1" applyFont="1" applyFill="1" applyBorder="1" applyAlignment="1"/>
    <xf numFmtId="166" fontId="21" fillId="0" borderId="5" xfId="0" applyNumberFormat="1" applyFont="1" applyFill="1" applyBorder="1" applyAlignment="1">
      <alignment horizontal="right"/>
    </xf>
    <xf numFmtId="10" fontId="13" fillId="0" borderId="14" xfId="3" applyNumberFormat="1" applyFont="1" applyFill="1" applyBorder="1"/>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ont="1" applyFill="1" applyBorder="1" applyAlignment="1">
      <alignment horizontal="right"/>
    </xf>
    <xf numFmtId="6" fontId="45" fillId="0" borderId="13" xfId="1" applyNumberFormat="1" applyFont="1" applyBorder="1"/>
    <xf numFmtId="16" fontId="0" fillId="0" borderId="0" xfId="0" quotePrefix="1" applyNumberFormat="1" applyBorder="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Border="1" applyAlignment="1">
      <alignment horizontal="center" vertical="center"/>
    </xf>
    <xf numFmtId="166" fontId="35" fillId="3" borderId="5" xfId="0" applyNumberFormat="1" applyFont="1" applyFill="1" applyBorder="1" applyAlignment="1">
      <alignment horizontal="center" vertical="center" wrapText="1"/>
    </xf>
    <xf numFmtId="165" fontId="24" fillId="22" borderId="0" xfId="0" applyNumberFormat="1" applyFont="1" applyFill="1" applyAlignment="1">
      <alignment horizontal="center"/>
    </xf>
    <xf numFmtId="171" fontId="33" fillId="22" borderId="0" xfId="3" applyNumberFormat="1" applyFont="1" applyFill="1" applyBorder="1" applyAlignment="1">
      <alignment horizontal="center" wrapText="1"/>
    </xf>
    <xf numFmtId="0" fontId="20" fillId="22" borderId="0" xfId="0" applyFont="1" applyFill="1" applyAlignment="1">
      <alignment horizontal="center"/>
    </xf>
    <xf numFmtId="0" fontId="20" fillId="22" borderId="1" xfId="0" applyFont="1" applyFill="1" applyBorder="1" applyAlignment="1">
      <alignment horizontal="center"/>
    </xf>
    <xf numFmtId="171" fontId="33" fillId="22" borderId="1" xfId="3" applyNumberFormat="1" applyFont="1" applyFill="1" applyBorder="1" applyAlignment="1">
      <alignment horizont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60"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4" fontId="24" fillId="23" borderId="62" xfId="0" quotePrefix="1" applyNumberFormat="1" applyFont="1" applyFill="1" applyBorder="1" applyAlignment="1">
      <alignment horizontal="center" vertical="center" wrapText="1"/>
    </xf>
    <xf numFmtId="164" fontId="24" fillId="23" borderId="61"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5"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Fill="1" applyBorder="1" applyAlignment="1"/>
    <xf numFmtId="171" fontId="45" fillId="0" borderId="42" xfId="3" applyNumberFormat="1" applyFont="1" applyFill="1" applyBorder="1" applyAlignment="1"/>
    <xf numFmtId="38" fontId="45" fillId="0" borderId="2" xfId="0" applyNumberFormat="1" applyFont="1" applyFill="1" applyBorder="1" applyAlignment="1"/>
    <xf numFmtId="38" fontId="45" fillId="0" borderId="0" xfId="0" applyNumberFormat="1" applyFont="1" applyFill="1" applyBorder="1" applyAlignment="1"/>
    <xf numFmtId="6" fontId="45" fillId="0" borderId="0" xfId="1" applyNumberFormat="1" applyFont="1" applyFill="1" applyBorder="1" applyAlignment="1"/>
    <xf numFmtId="8" fontId="45" fillId="0" borderId="0" xfId="2" applyNumberFormat="1" applyFont="1" applyFill="1" applyBorder="1" applyAlignment="1"/>
    <xf numFmtId="8" fontId="45" fillId="0" borderId="0" xfId="1" applyNumberFormat="1" applyFont="1" applyFill="1" applyBorder="1" applyAlignment="1"/>
    <xf numFmtId="38" fontId="45" fillId="0" borderId="1" xfId="0" applyNumberFormat="1" applyFont="1" applyFill="1" applyBorder="1" applyAlignment="1"/>
    <xf numFmtId="0" fontId="32" fillId="22" borderId="0" xfId="0" applyFont="1" applyFill="1" applyBorder="1" applyAlignment="1">
      <alignment horizontal="center" vertical="center"/>
    </xf>
    <xf numFmtId="0" fontId="42" fillId="22" borderId="0" xfId="0" applyFont="1" applyFill="1" applyBorder="1" applyAlignment="1">
      <alignment horizontal="right" vertical="center"/>
    </xf>
    <xf numFmtId="0" fontId="42" fillId="22" borderId="35" xfId="0" applyFont="1" applyFill="1" applyBorder="1" applyAlignment="1">
      <alignment horizontal="right" vertical="center"/>
    </xf>
    <xf numFmtId="43" fontId="28" fillId="0" borderId="3" xfId="1" applyNumberFormat="1" applyFont="1" applyBorder="1"/>
    <xf numFmtId="43" fontId="28" fillId="3" borderId="3" xfId="1" applyNumberFormat="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on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13" fillId="5" borderId="8" xfId="1" applyNumberFormat="1" applyFont="1" applyFill="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ont="1" applyFill="1" applyBorder="1" applyAlignment="1">
      <alignment horizontal="right"/>
    </xf>
    <xf numFmtId="166" fontId="22" fillId="0" borderId="3" xfId="1" applyNumberFormat="1" applyFont="1" applyFill="1" applyBorder="1"/>
    <xf numFmtId="10" fontId="13" fillId="0" borderId="3" xfId="3" applyNumberFormat="1" applyFont="1" applyFill="1" applyBorder="1" applyAlignment="1">
      <alignment horizontal="right"/>
    </xf>
    <xf numFmtId="40" fontId="13" fillId="0" borderId="4" xfId="1" applyNumberFormat="1" applyFont="1" applyFill="1" applyBorder="1" applyAlignment="1">
      <alignment horizontal="right"/>
    </xf>
    <xf numFmtId="10" fontId="13" fillId="0" borderId="4" xfId="3" applyNumberFormat="1" applyFont="1" applyFill="1" applyBorder="1" applyAlignment="1">
      <alignment horizontal="right"/>
    </xf>
    <xf numFmtId="7" fontId="13" fillId="0" borderId="3" xfId="2" applyNumberFormat="1" applyFont="1" applyFill="1" applyBorder="1" applyAlignment="1">
      <alignment horizontal="right"/>
    </xf>
    <xf numFmtId="166" fontId="13" fillId="0" borderId="3" xfId="1" applyNumberFormat="1" applyFont="1" applyFill="1" applyBorder="1" applyAlignment="1">
      <alignment horizontal="right"/>
    </xf>
    <xf numFmtId="0" fontId="32" fillId="24" borderId="0" xfId="0" applyFont="1" applyFill="1" applyBorder="1" applyAlignment="1">
      <alignment horizontal="center" vertical="center"/>
    </xf>
    <xf numFmtId="0" fontId="42" fillId="24" borderId="0" xfId="0" applyFont="1" applyFill="1" applyBorder="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Border="1" applyAlignment="1">
      <alignment horizontal="center" wrapText="1"/>
    </xf>
    <xf numFmtId="171" fontId="33" fillId="24" borderId="1" xfId="3" applyNumberFormat="1" applyFont="1" applyFill="1" applyBorder="1" applyAlignment="1">
      <alignment horizontal="center" wrapText="1"/>
    </xf>
    <xf numFmtId="165" fontId="24" fillId="24" borderId="0" xfId="0" applyNumberFormat="1" applyFont="1" applyFill="1" applyAlignment="1">
      <alignment horizontal="center"/>
    </xf>
    <xf numFmtId="0" fontId="20" fillId="24" borderId="0" xfId="0" applyFont="1" applyFill="1" applyAlignment="1">
      <alignment horizontal="center"/>
    </xf>
    <xf numFmtId="0" fontId="20" fillId="24" borderId="1" xfId="0" applyFont="1" applyFill="1" applyBorder="1" applyAlignment="1">
      <alignment horizontal="center"/>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60"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5"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71"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40" fontId="28" fillId="26" borderId="4" xfId="1"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on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ont="1" applyFill="1" applyBorder="1" applyAlignment="1">
      <alignment horizontal="right"/>
    </xf>
    <xf numFmtId="10" fontId="13" fillId="26" borderId="4" xfId="3" applyNumberFormat="1" applyFont="1" applyFill="1" applyBorder="1" applyAlignment="1">
      <alignment horizontal="right"/>
    </xf>
    <xf numFmtId="2" fontId="22" fillId="26" borderId="3" xfId="0" applyNumberFormat="1" applyFont="1" applyFill="1" applyBorder="1" applyAlignment="1">
      <alignment horizontal="right"/>
    </xf>
    <xf numFmtId="43" fontId="13" fillId="26" borderId="4" xfId="1" applyFont="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ont="1" applyFill="1" applyBorder="1" applyAlignment="1">
      <alignment horizontal="right"/>
    </xf>
    <xf numFmtId="10" fontId="13" fillId="26" borderId="8" xfId="3" applyNumberFormat="1" applyFon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0" fontId="0" fillId="26" borderId="3" xfId="0"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71" fontId="13" fillId="26" borderId="0" xfId="3" applyNumberFormat="1" applyFont="1" applyFill="1" applyBorder="1"/>
    <xf numFmtId="166" fontId="25" fillId="26" borderId="4" xfId="0" applyNumberFormat="1" applyFont="1" applyFill="1" applyBorder="1" applyAlignment="1">
      <alignment horizontal="right"/>
    </xf>
    <xf numFmtId="3" fontId="13" fillId="26" borderId="20" xfId="3" quotePrefix="1" applyNumberFormat="1" applyFont="1" applyFill="1" applyBorder="1" applyAlignment="1">
      <alignment horizontal="center" vertical="center" wrapText="1"/>
    </xf>
    <xf numFmtId="10" fontId="28" fillId="0" borderId="13" xfId="3" applyNumberFormat="1" applyFont="1" applyBorder="1"/>
    <xf numFmtId="10" fontId="28" fillId="0" borderId="19" xfId="3" applyNumberFormat="1" applyFont="1" applyBorder="1"/>
    <xf numFmtId="0" fontId="60" fillId="0" borderId="0" xfId="0" applyFont="1" applyFill="1" applyBorder="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ont="1" applyFill="1" applyBorder="1"/>
    <xf numFmtId="40" fontId="13" fillId="26" borderId="4" xfId="1" applyNumberFormat="1" applyFont="1" applyFill="1" applyBorder="1"/>
    <xf numFmtId="2" fontId="22" fillId="26" borderId="8" xfId="0" applyNumberFormat="1" applyFont="1" applyFill="1" applyBorder="1" applyAlignment="1">
      <alignment horizontal="right"/>
    </xf>
    <xf numFmtId="10" fontId="13" fillId="26" borderId="4" xfId="3" applyNumberFormat="1" applyFon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ont="1" applyFill="1" applyBorder="1"/>
    <xf numFmtId="10" fontId="13" fillId="26" borderId="8" xfId="3" applyNumberFormat="1" applyFont="1" applyFill="1" applyBorder="1"/>
    <xf numFmtId="5" fontId="48" fillId="26" borderId="3" xfId="2" applyNumberFormat="1" applyFont="1" applyFill="1" applyBorder="1"/>
    <xf numFmtId="38" fontId="13" fillId="0" borderId="3" xfId="1" applyNumberFormat="1" applyFont="1" applyBorder="1" applyAlignment="1">
      <alignment horizontal="right"/>
    </xf>
    <xf numFmtId="38" fontId="13" fillId="26" borderId="3" xfId="1" applyNumberFormat="1" applyFont="1" applyFill="1" applyBorder="1" applyAlignment="1">
      <alignment horizontal="right"/>
    </xf>
    <xf numFmtId="38" fontId="13" fillId="3" borderId="3" xfId="1" applyNumberFormat="1" applyFont="1" applyFill="1" applyBorder="1" applyAlignment="1">
      <alignment horizontal="right"/>
    </xf>
    <xf numFmtId="38" fontId="13" fillId="5" borderId="3" xfId="1" applyNumberFormat="1" applyFont="1" applyFill="1" applyBorder="1" applyAlignment="1">
      <alignment horizontal="right"/>
    </xf>
    <xf numFmtId="38" fontId="13" fillId="6" borderId="3" xfId="1" applyNumberFormat="1" applyFon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ont="1" applyFill="1" applyBorder="1" applyAlignment="1">
      <alignment horizontal="right"/>
    </xf>
    <xf numFmtId="38" fontId="13" fillId="6" borderId="8" xfId="1" applyNumberFormat="1" applyFon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ont="1" applyFill="1" applyBorder="1" applyAlignment="1">
      <alignment horizontal="right"/>
    </xf>
    <xf numFmtId="38" fontId="13" fillId="6" borderId="4" xfId="1" applyNumberFormat="1" applyFont="1" applyFill="1" applyBorder="1" applyAlignment="1">
      <alignment horizontal="right"/>
    </xf>
    <xf numFmtId="0" fontId="0" fillId="0" borderId="0" xfId="0" applyBorder="1" applyAlignment="1">
      <alignment horizontal="left" vertical="top"/>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Font="1" applyBorder="1" applyAlignment="1">
      <alignment horizontal="right"/>
    </xf>
    <xf numFmtId="1" fontId="13" fillId="3" borderId="3" xfId="1" applyNumberFormat="1" applyFont="1" applyFill="1" applyBorder="1" applyAlignment="1">
      <alignment horizontal="right"/>
    </xf>
    <xf numFmtId="1" fontId="13" fillId="0" borderId="3" xfId="1" applyNumberFormat="1" applyFont="1" applyBorder="1"/>
    <xf numFmtId="1" fontId="13" fillId="0" borderId="3" xfId="1" applyNumberFormat="1" applyFont="1" applyFill="1" applyBorder="1" applyAlignment="1">
      <alignment horizontal="right"/>
    </xf>
    <xf numFmtId="5" fontId="48" fillId="0" borderId="3" xfId="2" applyNumberFormat="1" applyFont="1" applyFill="1" applyBorder="1"/>
    <xf numFmtId="0" fontId="32" fillId="27" borderId="0" xfId="0" applyFont="1" applyFill="1" applyBorder="1" applyAlignment="1">
      <alignment horizontal="center" vertical="center"/>
    </xf>
    <xf numFmtId="0" fontId="42" fillId="27" borderId="0" xfId="0" applyFont="1" applyFill="1" applyBorder="1" applyAlignment="1">
      <alignment horizontal="right" vertical="center"/>
    </xf>
    <xf numFmtId="0" fontId="42" fillId="27" borderId="35" xfId="0" applyFont="1" applyFill="1" applyBorder="1" applyAlignment="1">
      <alignment horizontal="right" vertical="center"/>
    </xf>
    <xf numFmtId="16" fontId="24" fillId="28" borderId="11" xfId="0" applyNumberFormat="1" applyFont="1" applyFill="1" applyBorder="1" applyAlignment="1">
      <alignment horizontal="left" vertical="center" indent="1"/>
    </xf>
    <xf numFmtId="16" fontId="19" fillId="28" borderId="13" xfId="0" applyNumberFormat="1" applyFont="1" applyFill="1" applyBorder="1" applyAlignment="1">
      <alignment horizontal="left" vertical="center" indent="1"/>
    </xf>
    <xf numFmtId="0" fontId="19" fillId="28" borderId="13" xfId="0" applyFont="1" applyFill="1" applyBorder="1" applyAlignment="1">
      <alignment horizontal="left" vertical="center" indent="1"/>
    </xf>
    <xf numFmtId="0" fontId="19" fillId="28" borderId="15" xfId="0" applyFont="1" applyFill="1" applyBorder="1" applyAlignment="1">
      <alignment horizontal="left" vertical="center" indent="1"/>
    </xf>
    <xf numFmtId="16" fontId="24" fillId="28" borderId="2" xfId="0" applyNumberFormat="1" applyFont="1" applyFill="1" applyBorder="1" applyAlignment="1">
      <alignment horizontal="left" vertical="center"/>
    </xf>
    <xf numFmtId="164" fontId="24" fillId="28" borderId="60" xfId="0" quotePrefix="1" applyNumberFormat="1" applyFont="1" applyFill="1" applyBorder="1" applyAlignment="1">
      <alignment horizontal="center" vertical="center" wrapText="1"/>
    </xf>
    <xf numFmtId="164" fontId="24" fillId="28" borderId="61" xfId="0" quotePrefix="1" applyNumberFormat="1" applyFont="1" applyFill="1" applyBorder="1" applyAlignment="1">
      <alignment horizontal="center" vertical="center" wrapText="1"/>
    </xf>
    <xf numFmtId="164" fontId="24" fillId="28" borderId="2" xfId="0" quotePrefix="1" applyNumberFormat="1" applyFont="1" applyFill="1" applyBorder="1" applyAlignment="1">
      <alignment horizontal="center" vertical="center" wrapText="1"/>
    </xf>
    <xf numFmtId="164" fontId="24" fillId="28" borderId="41" xfId="0" quotePrefix="1" applyNumberFormat="1" applyFont="1" applyFill="1" applyBorder="1" applyAlignment="1">
      <alignment horizontal="center" vertical="center" wrapText="1"/>
    </xf>
    <xf numFmtId="164" fontId="24" fillId="28" borderId="65" xfId="0" quotePrefix="1" applyNumberFormat="1" applyFont="1" applyFill="1" applyBorder="1" applyAlignment="1">
      <alignment horizontal="center" vertical="center" wrapText="1"/>
    </xf>
    <xf numFmtId="164" fontId="24" fillId="28" borderId="63" xfId="0" quotePrefix="1" applyNumberFormat="1" applyFont="1" applyFill="1" applyBorder="1" applyAlignment="1">
      <alignment horizontal="center" vertical="center" wrapText="1"/>
    </xf>
    <xf numFmtId="0" fontId="0" fillId="0" borderId="0" xfId="0" applyFill="1" applyBorder="1" applyAlignment="1">
      <alignment horizontal="left"/>
    </xf>
    <xf numFmtId="0" fontId="0" fillId="0" borderId="21" xfId="0" applyFill="1" applyBorder="1" applyAlignment="1">
      <alignment horizontal="left"/>
    </xf>
    <xf numFmtId="165" fontId="24" fillId="0" borderId="0" xfId="0" applyNumberFormat="1" applyFont="1" applyFill="1" applyAlignment="1">
      <alignment horizontal="center"/>
    </xf>
    <xf numFmtId="0" fontId="20" fillId="0" borderId="0" xfId="0" applyFont="1" applyFill="1" applyAlignment="1">
      <alignment horizontal="center"/>
    </xf>
    <xf numFmtId="0" fontId="20" fillId="0" borderId="1" xfId="0" applyFont="1" applyFill="1" applyBorder="1" applyAlignment="1">
      <alignment horizontal="center"/>
    </xf>
    <xf numFmtId="0" fontId="46" fillId="29" borderId="0" xfId="0" applyFont="1" applyFill="1" applyBorder="1" applyAlignment="1">
      <alignment horizontal="center" vertical="center"/>
    </xf>
    <xf numFmtId="164" fontId="19" fillId="29" borderId="20" xfId="0" applyNumberFormat="1" applyFont="1" applyFill="1" applyBorder="1" applyAlignment="1">
      <alignment horizontal="center" vertical="center" wrapText="1"/>
    </xf>
    <xf numFmtId="166" fontId="40" fillId="29" borderId="4" xfId="1" applyNumberFormat="1" applyFont="1" applyFill="1" applyBorder="1" applyAlignment="1">
      <alignment horizontal="right"/>
    </xf>
    <xf numFmtId="3" fontId="36" fillId="29" borderId="5" xfId="0" applyNumberFormat="1" applyFont="1" applyFill="1" applyBorder="1" applyAlignment="1">
      <alignment horizontal="right"/>
    </xf>
    <xf numFmtId="166" fontId="36" fillId="29" borderId="3" xfId="1" applyNumberFormat="1" applyFont="1" applyFill="1" applyBorder="1" applyAlignment="1">
      <alignment horizontal="right"/>
    </xf>
    <xf numFmtId="43" fontId="36" fillId="29" borderId="3" xfId="1" applyFont="1" applyFill="1" applyBorder="1" applyAlignment="1">
      <alignment horizontal="right"/>
    </xf>
    <xf numFmtId="10" fontId="36" fillId="29" borderId="3" xfId="3" applyNumberFormat="1" applyFont="1" applyFill="1" applyBorder="1" applyAlignment="1">
      <alignment horizontal="right"/>
    </xf>
    <xf numFmtId="43" fontId="36" fillId="29" borderId="4" xfId="1" applyFont="1" applyFill="1" applyBorder="1" applyAlignment="1">
      <alignment horizontal="right"/>
    </xf>
    <xf numFmtId="166" fontId="36" fillId="29" borderId="8" xfId="1" applyNumberFormat="1" applyFont="1" applyFill="1" applyBorder="1" applyAlignment="1">
      <alignment horizontal="right"/>
    </xf>
    <xf numFmtId="168" fontId="36" fillId="29" borderId="3" xfId="1" applyNumberFormat="1" applyFont="1" applyFill="1" applyBorder="1" applyAlignment="1">
      <alignment horizontal="right"/>
    </xf>
    <xf numFmtId="166" fontId="36" fillId="29" borderId="4" xfId="1" applyNumberFormat="1" applyFont="1" applyFill="1" applyBorder="1" applyAlignment="1">
      <alignment horizontal="right"/>
    </xf>
    <xf numFmtId="0" fontId="36" fillId="29" borderId="3" xfId="0" applyFont="1" applyFill="1" applyBorder="1" applyAlignment="1">
      <alignment horizontal="right"/>
    </xf>
    <xf numFmtId="43" fontId="41" fillId="29" borderId="3" xfId="1" applyFont="1" applyFill="1" applyBorder="1" applyAlignment="1">
      <alignment horizontal="right"/>
    </xf>
    <xf numFmtId="43" fontId="41" fillId="29" borderId="4" xfId="1" applyFont="1" applyFill="1" applyBorder="1" applyAlignment="1">
      <alignment horizontal="right"/>
    </xf>
    <xf numFmtId="3" fontId="36" fillId="29" borderId="3" xfId="0" applyNumberFormat="1" applyFont="1" applyFill="1" applyBorder="1" applyAlignment="1">
      <alignment horizontal="right"/>
    </xf>
    <xf numFmtId="166" fontId="36" fillId="29" borderId="9" xfId="1" applyNumberFormat="1" applyFont="1" applyFill="1" applyBorder="1" applyAlignment="1">
      <alignment horizontal="right"/>
    </xf>
    <xf numFmtId="10" fontId="36" fillId="29" borderId="4" xfId="3" applyNumberFormat="1" applyFont="1" applyFill="1" applyBorder="1" applyAlignment="1">
      <alignment horizontal="right"/>
    </xf>
    <xf numFmtId="5" fontId="36" fillId="29" borderId="3" xfId="1" applyNumberFormat="1" applyFont="1" applyFill="1" applyBorder="1" applyAlignment="1">
      <alignment horizontal="right"/>
    </xf>
    <xf numFmtId="7" fontId="36" fillId="29" borderId="3" xfId="2" applyNumberFormat="1" applyFont="1" applyFill="1" applyBorder="1" applyAlignment="1">
      <alignment horizontal="right"/>
    </xf>
    <xf numFmtId="10" fontId="36" fillId="29" borderId="8" xfId="3" applyNumberFormat="1" applyFont="1" applyFill="1" applyBorder="1" applyAlignment="1">
      <alignment horizontal="right"/>
    </xf>
    <xf numFmtId="7" fontId="41" fillId="29" borderId="3" xfId="1" applyNumberFormat="1" applyFont="1" applyFill="1" applyBorder="1" applyAlignment="1">
      <alignment horizontal="right"/>
    </xf>
    <xf numFmtId="170" fontId="36" fillId="29" borderId="4" xfId="1" applyNumberFormat="1" applyFont="1" applyFill="1" applyBorder="1" applyAlignment="1">
      <alignment horizontal="right"/>
    </xf>
    <xf numFmtId="164" fontId="19" fillId="30" borderId="20" xfId="0" applyNumberFormat="1" applyFont="1" applyFill="1" applyBorder="1" applyAlignment="1">
      <alignment horizontal="center" vertical="center" wrapText="1"/>
    </xf>
    <xf numFmtId="0" fontId="46" fillId="30" borderId="0" xfId="0" applyFont="1" applyFill="1" applyBorder="1" applyAlignment="1">
      <alignment horizontal="center" vertical="center"/>
    </xf>
    <xf numFmtId="166" fontId="40" fillId="30" borderId="4" xfId="1" applyNumberFormat="1" applyFont="1" applyFill="1" applyBorder="1" applyAlignment="1">
      <alignment horizontal="right"/>
    </xf>
    <xf numFmtId="3" fontId="36" fillId="30" borderId="5" xfId="0" applyNumberFormat="1" applyFont="1" applyFill="1" applyBorder="1" applyAlignment="1">
      <alignment horizontal="right"/>
    </xf>
    <xf numFmtId="166" fontId="36" fillId="30" borderId="3" xfId="1" applyNumberFormat="1" applyFont="1" applyFill="1" applyBorder="1" applyAlignment="1">
      <alignment horizontal="right"/>
    </xf>
    <xf numFmtId="43" fontId="36" fillId="30" borderId="3" xfId="1" applyFont="1" applyFill="1" applyBorder="1" applyAlignment="1">
      <alignment horizontal="right"/>
    </xf>
    <xf numFmtId="10" fontId="36" fillId="30" borderId="3" xfId="3" applyNumberFormat="1" applyFont="1" applyFill="1" applyBorder="1" applyAlignment="1">
      <alignment horizontal="right"/>
    </xf>
    <xf numFmtId="43" fontId="36" fillId="30" borderId="4" xfId="1" applyFont="1" applyFill="1" applyBorder="1" applyAlignment="1">
      <alignment horizontal="right"/>
    </xf>
    <xf numFmtId="166" fontId="36" fillId="30" borderId="8" xfId="1" applyNumberFormat="1" applyFont="1" applyFill="1" applyBorder="1" applyAlignment="1">
      <alignment horizontal="right"/>
    </xf>
    <xf numFmtId="168" fontId="36" fillId="30" borderId="3" xfId="1" applyNumberFormat="1" applyFont="1" applyFill="1" applyBorder="1" applyAlignment="1">
      <alignment horizontal="right"/>
    </xf>
    <xf numFmtId="166" fontId="36" fillId="30" borderId="4" xfId="1" applyNumberFormat="1" applyFont="1" applyFill="1" applyBorder="1" applyAlignment="1">
      <alignment horizontal="right"/>
    </xf>
    <xf numFmtId="0" fontId="36" fillId="30" borderId="3" xfId="0" applyFont="1" applyFill="1" applyBorder="1" applyAlignment="1">
      <alignment horizontal="right"/>
    </xf>
    <xf numFmtId="43" fontId="41" fillId="30" borderId="3" xfId="1" applyFont="1" applyFill="1" applyBorder="1" applyAlignment="1">
      <alignment horizontal="right"/>
    </xf>
    <xf numFmtId="43" fontId="41" fillId="30" borderId="4" xfId="1" applyFont="1" applyFill="1" applyBorder="1" applyAlignment="1">
      <alignment horizontal="right"/>
    </xf>
    <xf numFmtId="3" fontId="36" fillId="30" borderId="3" xfId="0" applyNumberFormat="1" applyFont="1" applyFill="1" applyBorder="1" applyAlignment="1">
      <alignment horizontal="right"/>
    </xf>
    <xf numFmtId="166" fontId="36" fillId="30" borderId="9" xfId="1" applyNumberFormat="1" applyFont="1" applyFill="1" applyBorder="1" applyAlignment="1">
      <alignment horizontal="right"/>
    </xf>
    <xf numFmtId="10" fontId="36" fillId="30" borderId="4" xfId="3" applyNumberFormat="1" applyFont="1" applyFill="1" applyBorder="1" applyAlignment="1">
      <alignment horizontal="right"/>
    </xf>
    <xf numFmtId="5" fontId="36" fillId="30" borderId="3" xfId="1" applyNumberFormat="1" applyFont="1" applyFill="1" applyBorder="1" applyAlignment="1">
      <alignment horizontal="right"/>
    </xf>
    <xf numFmtId="7" fontId="36" fillId="30" borderId="3" xfId="2" applyNumberFormat="1" applyFont="1" applyFill="1" applyBorder="1" applyAlignment="1">
      <alignment horizontal="right"/>
    </xf>
    <xf numFmtId="10" fontId="36" fillId="30" borderId="8" xfId="3" applyNumberFormat="1" applyFont="1" applyFill="1" applyBorder="1" applyAlignment="1">
      <alignment horizontal="right"/>
    </xf>
    <xf numFmtId="7" fontId="41" fillId="30" borderId="3" xfId="1" applyNumberFormat="1" applyFont="1" applyFill="1" applyBorder="1" applyAlignment="1">
      <alignment horizontal="right"/>
    </xf>
    <xf numFmtId="170" fontId="36" fillId="30" borderId="4" xfId="1" applyNumberFormat="1" applyFont="1" applyFill="1" applyBorder="1" applyAlignment="1">
      <alignment horizontal="right"/>
    </xf>
    <xf numFmtId="166" fontId="28" fillId="0" borderId="4" xfId="1" applyNumberFormat="1" applyFont="1" applyFill="1" applyBorder="1" applyAlignment="1">
      <alignment horizontal="right"/>
    </xf>
    <xf numFmtId="0" fontId="36" fillId="0" borderId="0" xfId="0" applyFont="1" applyBorder="1" applyAlignment="1">
      <alignment horizontal="left" vertical="top" wrapText="1"/>
    </xf>
    <xf numFmtId="0" fontId="36" fillId="0" borderId="21" xfId="0" applyFont="1" applyBorder="1" applyAlignment="1">
      <alignment horizontal="left" vertical="top" wrapText="1"/>
    </xf>
    <xf numFmtId="0" fontId="17" fillId="0" borderId="70" xfId="0" applyFont="1" applyBorder="1" applyAlignment="1">
      <alignment horizontal="center" vertical="top"/>
    </xf>
    <xf numFmtId="0" fontId="17" fillId="0" borderId="71" xfId="0" applyFont="1" applyBorder="1" applyAlignment="1">
      <alignment horizontal="center" vertical="top"/>
    </xf>
    <xf numFmtId="0" fontId="17" fillId="0" borderId="35" xfId="0" applyFont="1" applyBorder="1" applyAlignment="1">
      <alignment horizontal="center" vertical="top"/>
    </xf>
    <xf numFmtId="0" fontId="36" fillId="0" borderId="0" xfId="0" applyNumberFormat="1" applyFont="1" applyBorder="1" applyAlignment="1">
      <alignment horizontal="left" vertical="top" wrapText="1"/>
    </xf>
    <xf numFmtId="0" fontId="36" fillId="0" borderId="21" xfId="0" applyNumberFormat="1" applyFont="1" applyBorder="1" applyAlignment="1">
      <alignment horizontal="left" vertical="top" wrapText="1"/>
    </xf>
    <xf numFmtId="0" fontId="36" fillId="0" borderId="2" xfId="0" applyFont="1" applyFill="1" applyBorder="1" applyAlignment="1">
      <alignment horizontal="left" vertical="top" wrapText="1"/>
    </xf>
    <xf numFmtId="0" fontId="36" fillId="0" borderId="36" xfId="0" applyFont="1" applyFill="1" applyBorder="1" applyAlignment="1">
      <alignment horizontal="left" vertical="top" wrapText="1"/>
    </xf>
    <xf numFmtId="165" fontId="53" fillId="21" borderId="0" xfId="0" quotePrefix="1" applyNumberFormat="1" applyFont="1" applyFill="1" applyAlignment="1">
      <alignment horizontal="center"/>
    </xf>
    <xf numFmtId="40" fontId="17" fillId="24" borderId="70" xfId="0" applyNumberFormat="1" applyFont="1" applyFill="1" applyBorder="1" applyAlignment="1">
      <alignment horizontal="center" vertical="center" wrapText="1"/>
    </xf>
    <xf numFmtId="40" fontId="17" fillId="24" borderId="35" xfId="0" applyNumberFormat="1" applyFont="1" applyFill="1" applyBorder="1" applyAlignment="1">
      <alignment horizontal="center" vertical="center" wrapText="1"/>
    </xf>
    <xf numFmtId="40" fontId="58" fillId="0" borderId="70" xfId="0" applyNumberFormat="1" applyFont="1" applyFill="1" applyBorder="1" applyAlignment="1">
      <alignment horizontal="center" vertical="center" wrapText="1"/>
    </xf>
    <xf numFmtId="40" fontId="58" fillId="0" borderId="35" xfId="0" applyNumberFormat="1" applyFont="1" applyFill="1" applyBorder="1" applyAlignment="1">
      <alignment horizontal="center" vertical="center" wrapText="1"/>
    </xf>
    <xf numFmtId="10" fontId="13" fillId="0" borderId="0" xfId="3" applyNumberFormat="1" applyFont="1" applyFill="1" applyBorder="1" applyAlignment="1">
      <alignment horizontal="left"/>
    </xf>
    <xf numFmtId="10" fontId="13" fillId="0" borderId="21" xfId="3" applyNumberFormat="1" applyFont="1" applyFill="1" applyBorder="1" applyAlignment="1">
      <alignment horizontal="left"/>
    </xf>
    <xf numFmtId="10" fontId="13" fillId="0" borderId="7" xfId="3" applyNumberFormat="1" applyFont="1" applyFill="1" applyBorder="1" applyAlignment="1">
      <alignment horizontal="left"/>
    </xf>
    <xf numFmtId="10" fontId="13" fillId="0" borderId="37" xfId="3" applyNumberFormat="1" applyFont="1" applyFill="1" applyBorder="1" applyAlignment="1">
      <alignment horizontal="left"/>
    </xf>
    <xf numFmtId="165" fontId="53" fillId="21" borderId="0" xfId="0" applyNumberFormat="1" applyFont="1" applyFill="1" applyAlignment="1">
      <alignment horizontal="center"/>
    </xf>
    <xf numFmtId="0" fontId="0" fillId="0" borderId="0" xfId="0" applyBorder="1" applyAlignment="1">
      <alignment horizontal="left"/>
    </xf>
    <xf numFmtId="0" fontId="0" fillId="0" borderId="21" xfId="0" applyBorder="1" applyAlignment="1">
      <alignment horizontal="left"/>
    </xf>
    <xf numFmtId="0" fontId="0" fillId="0" borderId="0" xfId="0" applyFill="1" applyBorder="1" applyAlignment="1">
      <alignment horizontal="left"/>
    </xf>
    <xf numFmtId="0" fontId="0" fillId="0" borderId="21" xfId="0" applyFill="1" applyBorder="1" applyAlignment="1">
      <alignment horizontal="left"/>
    </xf>
    <xf numFmtId="0" fontId="0" fillId="0" borderId="1" xfId="0" applyFill="1" applyBorder="1" applyAlignment="1">
      <alignment horizontal="left"/>
    </xf>
    <xf numFmtId="0" fontId="0" fillId="0" borderId="34" xfId="0" applyFill="1" applyBorder="1" applyAlignment="1">
      <alignment horizontal="left"/>
    </xf>
    <xf numFmtId="0" fontId="0" fillId="0" borderId="0" xfId="0" applyFill="1" applyBorder="1" applyAlignment="1">
      <alignment horizontal="left" indent="2"/>
    </xf>
    <xf numFmtId="0" fontId="0" fillId="0" borderId="21" xfId="0" applyFill="1" applyBorder="1" applyAlignment="1">
      <alignment horizontal="left" indent="2"/>
    </xf>
    <xf numFmtId="0" fontId="0" fillId="0" borderId="1" xfId="0" applyFont="1" applyFill="1" applyBorder="1" applyAlignment="1">
      <alignment horizontal="left"/>
    </xf>
    <xf numFmtId="0" fontId="0" fillId="0" borderId="34" xfId="0" applyFont="1" applyFill="1" applyBorder="1" applyAlignment="1">
      <alignment horizontal="left"/>
    </xf>
    <xf numFmtId="0" fontId="0" fillId="0" borderId="7" xfId="0" applyFill="1" applyBorder="1" applyAlignment="1">
      <alignment horizontal="left"/>
    </xf>
    <xf numFmtId="0" fontId="0" fillId="0" borderId="37" xfId="0" applyFill="1" applyBorder="1" applyAlignment="1">
      <alignment horizontal="left"/>
    </xf>
    <xf numFmtId="0" fontId="0" fillId="0" borderId="6" xfId="0" applyFill="1" applyBorder="1" applyAlignment="1">
      <alignment horizontal="left" indent="1"/>
    </xf>
    <xf numFmtId="0" fontId="0" fillId="0" borderId="38" xfId="0" applyFill="1" applyBorder="1" applyAlignment="1">
      <alignment horizontal="left" indent="1"/>
    </xf>
    <xf numFmtId="0" fontId="0" fillId="0" borderId="72" xfId="0" applyFill="1" applyBorder="1" applyAlignment="1">
      <alignment horizontal="left"/>
    </xf>
    <xf numFmtId="0" fontId="0" fillId="0" borderId="73" xfId="0" applyFill="1" applyBorder="1" applyAlignment="1">
      <alignment horizontal="left"/>
    </xf>
    <xf numFmtId="0" fontId="31" fillId="0" borderId="0" xfId="0" applyFont="1" applyFill="1" applyBorder="1" applyAlignment="1">
      <alignment horizontal="left"/>
    </xf>
    <xf numFmtId="0" fontId="31" fillId="0" borderId="21" xfId="0" applyFont="1" applyFill="1" applyBorder="1" applyAlignment="1">
      <alignment horizontal="left"/>
    </xf>
    <xf numFmtId="10" fontId="13" fillId="0" borderId="1" xfId="3" applyNumberFormat="1" applyFont="1" applyFill="1" applyBorder="1" applyAlignment="1">
      <alignment horizontal="left"/>
    </xf>
    <xf numFmtId="10" fontId="13" fillId="0" borderId="74" xfId="3" applyNumberFormat="1" applyFont="1" applyFill="1" applyBorder="1" applyAlignment="1">
      <alignment horizontal="left"/>
    </xf>
    <xf numFmtId="10" fontId="13" fillId="0" borderId="75" xfId="3" applyNumberFormat="1" applyFont="1" applyFill="1" applyBorder="1" applyAlignment="1">
      <alignment horizontal="left"/>
    </xf>
    <xf numFmtId="40" fontId="17" fillId="0" borderId="70"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0" fontId="17" fillId="0" borderId="70"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71" xfId="0" applyFont="1" applyBorder="1" applyAlignment="1">
      <alignment horizontal="left"/>
    </xf>
    <xf numFmtId="0" fontId="54" fillId="0" borderId="35" xfId="0" applyFont="1" applyBorder="1" applyAlignment="1">
      <alignment horizontal="left"/>
    </xf>
    <xf numFmtId="0" fontId="55" fillId="4" borderId="71" xfId="0" applyFont="1" applyFill="1" applyBorder="1" applyAlignment="1">
      <alignment horizontal="left" vertical="center" wrapText="1"/>
    </xf>
    <xf numFmtId="0" fontId="31" fillId="0" borderId="1" xfId="0" applyFont="1" applyFill="1" applyBorder="1" applyAlignment="1">
      <alignment horizontal="left"/>
    </xf>
    <xf numFmtId="0" fontId="31" fillId="0" borderId="34" xfId="0" applyFont="1" applyFill="1" applyBorder="1" applyAlignment="1">
      <alignment horizontal="left"/>
    </xf>
    <xf numFmtId="0" fontId="51" fillId="0" borderId="0" xfId="0" applyFont="1" applyFill="1" applyBorder="1" applyAlignment="1">
      <alignment horizontal="left"/>
    </xf>
    <xf numFmtId="0" fontId="51" fillId="0" borderId="21" xfId="0" applyFont="1" applyFill="1" applyBorder="1" applyAlignment="1">
      <alignment horizontal="left"/>
    </xf>
    <xf numFmtId="40" fontId="17" fillId="19" borderId="70" xfId="0" applyNumberFormat="1" applyFont="1" applyFill="1" applyBorder="1" applyAlignment="1">
      <alignment horizontal="center" vertical="center" wrapText="1"/>
    </xf>
    <xf numFmtId="40" fontId="17" fillId="19" borderId="35" xfId="0" applyNumberFormat="1" applyFont="1" applyFill="1" applyBorder="1" applyAlignment="1">
      <alignment horizontal="center" vertical="center" wrapText="1"/>
    </xf>
    <xf numFmtId="40" fontId="58" fillId="0" borderId="70"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40" fontId="17" fillId="22" borderId="70" xfId="0" applyNumberFormat="1" applyFont="1" applyFill="1" applyBorder="1" applyAlignment="1">
      <alignment horizontal="center" vertical="center" wrapText="1"/>
    </xf>
    <xf numFmtId="40" fontId="17" fillId="22" borderId="35" xfId="0" applyNumberFormat="1" applyFont="1" applyFill="1" applyBorder="1" applyAlignment="1">
      <alignment horizontal="center" vertical="center" wrapText="1"/>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41" xfId="0" applyNumberFormat="1" applyFont="1" applyFill="1" applyBorder="1" applyAlignment="1">
      <alignment horizontal="center"/>
    </xf>
    <xf numFmtId="40" fontId="46"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4">
    <dxf>
      <font>
        <color rgb="FFFF0000"/>
      </font>
    </dxf>
    <dxf>
      <font>
        <color rgb="FFFF0000"/>
      </font>
    </dxf>
    <dxf>
      <font>
        <color rgb="FFFF0000"/>
      </font>
    </dxf>
    <dxf>
      <font>
        <color rgb="FFFF0000"/>
      </font>
    </dxf>
    <dxf>
      <font>
        <color rgb="FFFF0000"/>
      </font>
    </dxf>
    <dxf>
      <font>
        <color rgb="FFFF00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s>
  <tableStyles count="0" defaultTableStyle="TableStyleMedium9" defaultPivotStyle="PivotStyleLight16"/>
  <colors>
    <mruColors>
      <color rgb="FF0000FF"/>
      <color rgb="FFAEFA48"/>
      <color rgb="FFCCCCFF"/>
      <color rgb="FFA9FD8B"/>
      <color rgb="FFE6FBFE"/>
      <color rgb="FFFF00FF"/>
      <color rgb="FFCCFFFF"/>
      <color rgb="FF33CCFF"/>
      <color rgb="FF0066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Integrated HR/Payroll 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Data'!$JA$18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49-41B2-84DF-C07F390059C4}"/>
                </c:ext>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49-41B2-84DF-C07F390059C4}"/>
                </c:ext>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49-41B2-84DF-C07F390059C4}"/>
                </c:ext>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49-41B2-84DF-C07F390059C4}"/>
                </c:ext>
              </c:extLst>
            </c:dLbl>
            <c:dLbl>
              <c:idx val="5"/>
              <c:layout>
                <c:manualLayout>
                  <c:x val="-1.9957117520202149E-2"/>
                  <c:y val="-4.7842821642764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849-41B2-84DF-C07F390059C4}"/>
                </c:ext>
              </c:extLst>
            </c:dLbl>
            <c:dLbl>
              <c:idx val="6"/>
              <c:layout>
                <c:manualLayout>
                  <c:x val="-2.2606561075085432E-2"/>
                  <c:y val="-4.782436392112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849-41B2-84DF-C07F390059C4}"/>
                </c:ext>
              </c:extLst>
            </c:dLbl>
            <c:dLbl>
              <c:idx val="7"/>
              <c:layout>
                <c:manualLayout>
                  <c:x val="-2.2607604944643075E-2"/>
                  <c:y val="-4.6077937729618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849-41B2-84DF-C07F390059C4}"/>
                </c:ext>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849-41B2-84DF-C07F390059C4}"/>
                </c:ext>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849-41B2-84DF-C07F390059C4}"/>
                </c:ext>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849-41B2-84DF-C07F390059C4}"/>
                </c:ext>
              </c:extLst>
            </c:dLbl>
            <c:dLbl>
              <c:idx val="11"/>
              <c:layout>
                <c:manualLayout>
                  <c:x val="-1.8635681277813253E-2"/>
                  <c:y val="-4.2649687372339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849-41B2-84DF-C07F390059C4}"/>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Data'!$JB$10:$MR$10</c:f>
              <c:numCache>
                <c:formatCode>[$-409]mmm\-yy;@</c:formatCode>
                <c:ptCount val="13"/>
                <c:pt idx="0">
                  <c:v>42855</c:v>
                </c:pt>
                <c:pt idx="1">
                  <c:v>42886</c:v>
                </c:pt>
                <c:pt idx="2">
                  <c:v>42916</c:v>
                </c:pt>
                <c:pt idx="3">
                  <c:v>42947</c:v>
                </c:pt>
                <c:pt idx="4">
                  <c:v>42978</c:v>
                </c:pt>
                <c:pt idx="5">
                  <c:v>43008</c:v>
                </c:pt>
                <c:pt idx="6">
                  <c:v>43039</c:v>
                </c:pt>
                <c:pt idx="7">
                  <c:v>43069</c:v>
                </c:pt>
                <c:pt idx="8">
                  <c:v>43100</c:v>
                </c:pt>
                <c:pt idx="9">
                  <c:v>43131</c:v>
                </c:pt>
                <c:pt idx="10">
                  <c:v>43159</c:v>
                </c:pt>
                <c:pt idx="11">
                  <c:v>43190</c:v>
                </c:pt>
                <c:pt idx="12">
                  <c:v>43220</c:v>
                </c:pt>
              </c:numCache>
            </c:numRef>
          </c:cat>
          <c:val>
            <c:numRef>
              <c:f>'Summary Data'!$JB$18:$MR$18</c:f>
              <c:numCache>
                <c:formatCode>0.00%</c:formatCode>
                <c:ptCount val="13"/>
                <c:pt idx="0">
                  <c:v>0.7916473317865429</c:v>
                </c:pt>
                <c:pt idx="1">
                  <c:v>0.8</c:v>
                </c:pt>
                <c:pt idx="2">
                  <c:v>0.80472003701989825</c:v>
                </c:pt>
                <c:pt idx="3">
                  <c:v>0.82594339622641511</c:v>
                </c:pt>
                <c:pt idx="4">
                  <c:v>0.79422066549912429</c:v>
                </c:pt>
                <c:pt idx="5">
                  <c:v>0.85079539221064182</c:v>
                </c:pt>
                <c:pt idx="6">
                  <c:v>0.89111214518380644</c:v>
                </c:pt>
                <c:pt idx="7">
                  <c:v>0.80172879524581309</c:v>
                </c:pt>
                <c:pt idx="8">
                  <c:v>0.77765785213167837</c:v>
                </c:pt>
                <c:pt idx="9">
                  <c:v>0.79259753251083698</c:v>
                </c:pt>
                <c:pt idx="10">
                  <c:v>0.7621097954790097</c:v>
                </c:pt>
                <c:pt idx="11">
                  <c:v>0.7777305567360816</c:v>
                </c:pt>
                <c:pt idx="12">
                  <c:v>0.79731485491554788</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date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Offset val="100"/>
        <c:baseTimeUnit val="months"/>
      </c:date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Service Center Call Volume</a:t>
            </a:r>
          </a:p>
        </c:rich>
      </c:tx>
      <c:layout>
        <c:manualLayout>
          <c:xMode val="edge"/>
          <c:yMode val="edge"/>
          <c:x val="0.23810952712402617"/>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1.961924889881797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8E-45D3-B91E-D9F964FA93C1}"/>
                </c:ext>
              </c:extLst>
            </c:dLbl>
            <c:dLbl>
              <c:idx val="2"/>
              <c:layout>
                <c:manualLayout>
                  <c:x val="-1.68962441939161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8E-45D3-B91E-D9F964FA93C1}"/>
                </c:ext>
              </c:extLst>
            </c:dLbl>
            <c:dLbl>
              <c:idx val="5"/>
              <c:layout>
                <c:manualLayout>
                  <c:x val="-1.8257746546366985E-2"/>
                  <c:y val="-3.29313047840592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8E-45D3-B91E-D9F964FA93C1}"/>
                </c:ext>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Data'!$JB$10:$MR$10</c:f>
              <c:numCache>
                <c:formatCode>[$-409]mmm\-yy;@</c:formatCode>
                <c:ptCount val="13"/>
                <c:pt idx="0">
                  <c:v>42855</c:v>
                </c:pt>
                <c:pt idx="1">
                  <c:v>42886</c:v>
                </c:pt>
                <c:pt idx="2">
                  <c:v>42916</c:v>
                </c:pt>
                <c:pt idx="3">
                  <c:v>42947</c:v>
                </c:pt>
                <c:pt idx="4">
                  <c:v>42978</c:v>
                </c:pt>
                <c:pt idx="5">
                  <c:v>43008</c:v>
                </c:pt>
                <c:pt idx="6">
                  <c:v>43039</c:v>
                </c:pt>
                <c:pt idx="7">
                  <c:v>43069</c:v>
                </c:pt>
                <c:pt idx="8">
                  <c:v>43100</c:v>
                </c:pt>
                <c:pt idx="9">
                  <c:v>43131</c:v>
                </c:pt>
                <c:pt idx="10">
                  <c:v>43159</c:v>
                </c:pt>
                <c:pt idx="11">
                  <c:v>43190</c:v>
                </c:pt>
                <c:pt idx="12">
                  <c:v>43220</c:v>
                </c:pt>
              </c:numCache>
            </c:numRef>
          </c:cat>
          <c:val>
            <c:numRef>
              <c:f>'Summary Data'!$JB$13:$MR$13</c:f>
              <c:numCache>
                <c:formatCode>_(* #,##0_);_(* \(#,##0\);_(* "-"??_);_(@_)</c:formatCode>
                <c:ptCount val="13"/>
                <c:pt idx="0">
                  <c:v>2392</c:v>
                </c:pt>
                <c:pt idx="1">
                  <c:v>2523</c:v>
                </c:pt>
                <c:pt idx="2">
                  <c:v>2313</c:v>
                </c:pt>
                <c:pt idx="3">
                  <c:v>2263</c:v>
                </c:pt>
                <c:pt idx="4">
                  <c:v>2409</c:v>
                </c:pt>
                <c:pt idx="5">
                  <c:v>1903</c:v>
                </c:pt>
                <c:pt idx="6">
                  <c:v>2454</c:v>
                </c:pt>
                <c:pt idx="7">
                  <c:v>2005</c:v>
                </c:pt>
                <c:pt idx="8">
                  <c:v>1943</c:v>
                </c:pt>
                <c:pt idx="9">
                  <c:v>3304</c:v>
                </c:pt>
                <c:pt idx="10">
                  <c:v>2994</c:v>
                </c:pt>
                <c:pt idx="11">
                  <c:v>2464</c:v>
                </c:pt>
                <c:pt idx="12">
                  <c:v>2405</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dateAx>
        <c:axId val="207130624"/>
        <c:scaling>
          <c:orientation val="minMax"/>
        </c:scaling>
        <c:delete val="0"/>
        <c:axPos val="b"/>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Offset val="100"/>
        <c:baseTimeUnit val="months"/>
      </c:date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Service Center Tickets</a:t>
            </a:r>
          </a:p>
        </c:rich>
      </c:tx>
      <c:layout>
        <c:manualLayout>
          <c:xMode val="edge"/>
          <c:yMode val="edge"/>
          <c:x val="0.2632814826718089"/>
          <c:y val="7.0239608458948282E-3"/>
        </c:manualLayout>
      </c:layout>
      <c:overlay val="1"/>
    </c:title>
    <c:autoTitleDeleted val="0"/>
    <c:plotArea>
      <c:layout>
        <c:manualLayout>
          <c:layoutTarget val="inner"/>
          <c:xMode val="edge"/>
          <c:yMode val="edge"/>
          <c:x val="7.7657614226793084E-2"/>
          <c:y val="0.10122893626908748"/>
          <c:w val="0.91869013305852421"/>
          <c:h val="0.81044128651551317"/>
        </c:manualLayout>
      </c:layout>
      <c:lineChart>
        <c:grouping val="standard"/>
        <c:varyColors val="0"/>
        <c:ser>
          <c:idx val="0"/>
          <c:order val="0"/>
          <c:tx>
            <c:strRef>
              <c:f>'Summary Data'!$JA$22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Data'!$JB$10:$MR$10</c:f>
              <c:numCache>
                <c:formatCode>[$-409]mmm\-yy;@</c:formatCode>
                <c:ptCount val="13"/>
                <c:pt idx="0">
                  <c:v>42855</c:v>
                </c:pt>
                <c:pt idx="1">
                  <c:v>42886</c:v>
                </c:pt>
                <c:pt idx="2">
                  <c:v>42916</c:v>
                </c:pt>
                <c:pt idx="3">
                  <c:v>42947</c:v>
                </c:pt>
                <c:pt idx="4">
                  <c:v>42978</c:v>
                </c:pt>
                <c:pt idx="5">
                  <c:v>43008</c:v>
                </c:pt>
                <c:pt idx="6">
                  <c:v>43039</c:v>
                </c:pt>
                <c:pt idx="7">
                  <c:v>43069</c:v>
                </c:pt>
                <c:pt idx="8">
                  <c:v>43100</c:v>
                </c:pt>
                <c:pt idx="9">
                  <c:v>43131</c:v>
                </c:pt>
                <c:pt idx="10">
                  <c:v>43159</c:v>
                </c:pt>
                <c:pt idx="11">
                  <c:v>43190</c:v>
                </c:pt>
                <c:pt idx="12">
                  <c:v>43220</c:v>
                </c:pt>
              </c:numCache>
            </c:numRef>
          </c:cat>
          <c:val>
            <c:numRef>
              <c:f>'Summary Data'!$JB$22:$MR$22</c:f>
              <c:numCache>
                <c:formatCode>_(* #,##0_);_(* \(#,##0\);_(* "-"??_);_(@_)</c:formatCode>
                <c:ptCount val="13"/>
                <c:pt idx="0">
                  <c:v>5205</c:v>
                </c:pt>
                <c:pt idx="1">
                  <c:v>5680</c:v>
                </c:pt>
                <c:pt idx="2">
                  <c:v>5484</c:v>
                </c:pt>
                <c:pt idx="3">
                  <c:v>5350</c:v>
                </c:pt>
                <c:pt idx="4">
                  <c:v>6023</c:v>
                </c:pt>
                <c:pt idx="5">
                  <c:v>4888</c:v>
                </c:pt>
                <c:pt idx="6">
                  <c:v>5606</c:v>
                </c:pt>
                <c:pt idx="7">
                  <c:v>4913</c:v>
                </c:pt>
                <c:pt idx="8">
                  <c:v>4578</c:v>
                </c:pt>
                <c:pt idx="9">
                  <c:v>6718</c:v>
                </c:pt>
                <c:pt idx="10">
                  <c:v>6309</c:v>
                </c:pt>
                <c:pt idx="11">
                  <c:v>6009</c:v>
                </c:pt>
                <c:pt idx="12">
                  <c:v>6042</c:v>
                </c:pt>
              </c:numCache>
            </c:numRef>
          </c:val>
          <c:smooth val="0"/>
          <c:extLst>
            <c:ext xmlns:c16="http://schemas.microsoft.com/office/drawing/2014/chart" uri="{C3380CC4-5D6E-409C-BE32-E72D297353CC}">
              <c16:uniqueId val="{0000000D-3D24-4E0E-B91F-6C9C08628098}"/>
            </c:ext>
          </c:extLst>
        </c:ser>
        <c:ser>
          <c:idx val="1"/>
          <c:order val="1"/>
          <c:tx>
            <c:strRef>
              <c:f>'Summary Data'!$JA$28</c:f>
              <c:strCache>
                <c:ptCount val="1"/>
                <c:pt idx="0">
                  <c:v>Resolved Tickets</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Data'!$JB$10:$MR$10</c:f>
              <c:numCache>
                <c:formatCode>[$-409]mmm\-yy;@</c:formatCode>
                <c:ptCount val="13"/>
                <c:pt idx="0">
                  <c:v>42855</c:v>
                </c:pt>
                <c:pt idx="1">
                  <c:v>42886</c:v>
                </c:pt>
                <c:pt idx="2">
                  <c:v>42916</c:v>
                </c:pt>
                <c:pt idx="3">
                  <c:v>42947</c:v>
                </c:pt>
                <c:pt idx="4">
                  <c:v>42978</c:v>
                </c:pt>
                <c:pt idx="5">
                  <c:v>43008</c:v>
                </c:pt>
                <c:pt idx="6">
                  <c:v>43039</c:v>
                </c:pt>
                <c:pt idx="7">
                  <c:v>43069</c:v>
                </c:pt>
                <c:pt idx="8">
                  <c:v>43100</c:v>
                </c:pt>
                <c:pt idx="9">
                  <c:v>43131</c:v>
                </c:pt>
                <c:pt idx="10">
                  <c:v>43159</c:v>
                </c:pt>
                <c:pt idx="11">
                  <c:v>43190</c:v>
                </c:pt>
                <c:pt idx="12">
                  <c:v>43220</c:v>
                </c:pt>
              </c:numCache>
            </c:numRef>
          </c:cat>
          <c:val>
            <c:numRef>
              <c:f>'Summary Data'!$JB$28:$MR$28</c:f>
              <c:numCache>
                <c:formatCode>_(* #,##0_);_(* \(#,##0\);_(* "-"??_);_(@_)</c:formatCode>
                <c:ptCount val="13"/>
                <c:pt idx="0">
                  <c:v>5325</c:v>
                </c:pt>
                <c:pt idx="1">
                  <c:v>5874</c:v>
                </c:pt>
                <c:pt idx="2">
                  <c:v>5592</c:v>
                </c:pt>
                <c:pt idx="3">
                  <c:v>5310</c:v>
                </c:pt>
                <c:pt idx="4">
                  <c:v>6078</c:v>
                </c:pt>
                <c:pt idx="5">
                  <c:v>4986</c:v>
                </c:pt>
                <c:pt idx="6">
                  <c:v>5662</c:v>
                </c:pt>
                <c:pt idx="7">
                  <c:v>4980</c:v>
                </c:pt>
                <c:pt idx="8">
                  <c:v>4919</c:v>
                </c:pt>
                <c:pt idx="9">
                  <c:v>6747</c:v>
                </c:pt>
                <c:pt idx="10">
                  <c:v>6436</c:v>
                </c:pt>
                <c:pt idx="11">
                  <c:v>6049</c:v>
                </c:pt>
                <c:pt idx="12">
                  <c:v>6088</c:v>
                </c:pt>
              </c:numCache>
            </c:numRef>
          </c:val>
          <c:smooth val="0"/>
          <c:extLst>
            <c:ext xmlns:c16="http://schemas.microsoft.com/office/drawing/2014/chart" uri="{C3380CC4-5D6E-409C-BE32-E72D297353CC}">
              <c16:uniqueId val="{0000001A-3D24-4E0E-B91F-6C9C08628098}"/>
            </c:ext>
          </c:extLst>
        </c:ser>
        <c:ser>
          <c:idx val="2"/>
          <c:order val="2"/>
          <c:tx>
            <c:strRef>
              <c:f>'Summary Data'!$JA$30</c:f>
              <c:strCache>
                <c:ptCount val="1"/>
                <c:pt idx="0">
                  <c:v>Open Tickets at Month End</c:v>
                </c:pt>
              </c:strCache>
            </c:strRef>
          </c:tx>
          <c:spPr>
            <a:ln w="25400">
              <a:solidFill>
                <a:schemeClr val="accent3">
                  <a:lumMod val="50000"/>
                </a:schemeClr>
              </a:solidFill>
              <a:prstDash val="solid"/>
            </a:ln>
          </c:spPr>
          <c:marker>
            <c:spPr>
              <a:solidFill>
                <a:schemeClr val="accent3">
                  <a:lumMod val="50000"/>
                </a:schemeClr>
              </a:solidFill>
            </c:spPr>
          </c:marker>
          <c:dLbls>
            <c:dLbl>
              <c:idx val="0"/>
              <c:layout>
                <c:manualLayout>
                  <c:x val="-1.7864999290990766E-2"/>
                  <c:y val="-2.5391082959480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D24-4E0E-B91F-6C9C08628098}"/>
                </c:ext>
              </c:extLst>
            </c:dLbl>
            <c:dLbl>
              <c:idx val="1"/>
              <c:layout>
                <c:manualLayout>
                  <c:x val="-1.9194671218245026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D24-4E0E-B91F-6C9C08628098}"/>
                </c:ext>
              </c:extLst>
            </c:dLbl>
            <c:dLbl>
              <c:idx val="2"/>
              <c:layout>
                <c:manualLayout>
                  <c:x val="-1.7851012701682115E-2"/>
                  <c:y val="-3.06720793865584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D24-4E0E-B91F-6C9C08628098}"/>
                </c:ext>
              </c:extLst>
            </c:dLbl>
            <c:dLbl>
              <c:idx val="3"/>
              <c:layout>
                <c:manualLayout>
                  <c:x val="-1.7851012701682115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D24-4E0E-B91F-6C9C08628098}"/>
                </c:ext>
              </c:extLst>
            </c:dLbl>
            <c:dLbl>
              <c:idx val="4"/>
              <c:layout>
                <c:manualLayout>
                  <c:x val="-1.783145205008883E-2"/>
                  <c:y val="-2.89767912869159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D24-4E0E-B91F-6C9C08628098}"/>
                </c:ext>
              </c:extLst>
            </c:dLbl>
            <c:dLbl>
              <c:idx val="5"/>
              <c:layout>
                <c:manualLayout>
                  <c:x val="-1.7851012701682063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3D24-4E0E-B91F-6C9C08628098}"/>
                </c:ext>
              </c:extLst>
            </c:dLbl>
            <c:dLbl>
              <c:idx val="6"/>
              <c:layout>
                <c:manualLayout>
                  <c:x val="-2.0607163368382635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D24-4E0E-B91F-6C9C08628098}"/>
                </c:ext>
              </c:extLst>
            </c:dLbl>
            <c:dLbl>
              <c:idx val="7"/>
              <c:layout>
                <c:manualLayout>
                  <c:x val="-2.05972873022774E-2"/>
                  <c:y val="-2.72270100095757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3D24-4E0E-B91F-6C9C08628098}"/>
                </c:ext>
              </c:extLst>
            </c:dLbl>
            <c:dLbl>
              <c:idx val="8"/>
              <c:layout>
                <c:manualLayout>
                  <c:x val="-1.6477857878475801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3D24-4E0E-B91F-6C9C08628098}"/>
                </c:ext>
              </c:extLst>
            </c:dLbl>
            <c:dLbl>
              <c:idx val="9"/>
              <c:layout>
                <c:manualLayout>
                  <c:x val="-2.0597322348094752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3D24-4E0E-B91F-6C9C08628098}"/>
                </c:ext>
              </c:extLst>
            </c:dLbl>
            <c:dLbl>
              <c:idx val="10"/>
              <c:layout>
                <c:manualLayout>
                  <c:x val="-1.9224299416560627E-2"/>
                  <c:y val="-2.71724499004553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3D24-4E0E-B91F-6C9C08628098}"/>
                </c:ext>
              </c:extLst>
            </c:dLbl>
            <c:dLbl>
              <c:idx val="11"/>
              <c:layout>
                <c:manualLayout>
                  <c:x val="-1.7850989485210061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3D24-4E0E-B91F-6C9C08628098}"/>
                </c:ext>
              </c:extLst>
            </c:dLbl>
            <c:dLbl>
              <c:idx val="12"/>
              <c:layout>
                <c:manualLayout>
                  <c:x val="-1.9214310749382627E-2"/>
                  <c:y val="-2.8670177635878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3D24-4E0E-B91F-6C9C08628098}"/>
                </c:ext>
              </c:extLst>
            </c:dLbl>
            <c:dLbl>
              <c:idx val="13"/>
              <c:layout>
                <c:manualLayout>
                  <c:x val="-1.9086571233810613E-2"/>
                  <c:y val="-2.62467191601050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3D24-4E0E-B91F-6C9C0862809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Data'!$JB$10:$MR$10</c:f>
              <c:numCache>
                <c:formatCode>[$-409]mmm\-yy;@</c:formatCode>
                <c:ptCount val="13"/>
                <c:pt idx="0">
                  <c:v>42855</c:v>
                </c:pt>
                <c:pt idx="1">
                  <c:v>42886</c:v>
                </c:pt>
                <c:pt idx="2">
                  <c:v>42916</c:v>
                </c:pt>
                <c:pt idx="3">
                  <c:v>42947</c:v>
                </c:pt>
                <c:pt idx="4">
                  <c:v>42978</c:v>
                </c:pt>
                <c:pt idx="5">
                  <c:v>43008</c:v>
                </c:pt>
                <c:pt idx="6">
                  <c:v>43039</c:v>
                </c:pt>
                <c:pt idx="7">
                  <c:v>43069</c:v>
                </c:pt>
                <c:pt idx="8">
                  <c:v>43100</c:v>
                </c:pt>
                <c:pt idx="9">
                  <c:v>43131</c:v>
                </c:pt>
                <c:pt idx="10">
                  <c:v>43159</c:v>
                </c:pt>
                <c:pt idx="11">
                  <c:v>43190</c:v>
                </c:pt>
                <c:pt idx="12">
                  <c:v>43220</c:v>
                </c:pt>
              </c:numCache>
            </c:numRef>
          </c:cat>
          <c:val>
            <c:numRef>
              <c:f>'Summary Data'!$JB$30:$MR$30</c:f>
              <c:numCache>
                <c:formatCode>_(* #,##0_);_(* \(#,##0\);_(* "-"??_);_(@_)</c:formatCode>
                <c:ptCount val="13"/>
                <c:pt idx="0">
                  <c:v>985</c:v>
                </c:pt>
                <c:pt idx="1">
                  <c:v>834</c:v>
                </c:pt>
                <c:pt idx="2">
                  <c:v>760</c:v>
                </c:pt>
                <c:pt idx="3">
                  <c:v>836</c:v>
                </c:pt>
                <c:pt idx="4">
                  <c:v>859</c:v>
                </c:pt>
                <c:pt idx="5">
                  <c:v>815</c:v>
                </c:pt>
                <c:pt idx="6">
                  <c:v>806</c:v>
                </c:pt>
                <c:pt idx="7">
                  <c:v>782</c:v>
                </c:pt>
                <c:pt idx="8">
                  <c:v>497</c:v>
                </c:pt>
                <c:pt idx="9">
                  <c:v>505</c:v>
                </c:pt>
                <c:pt idx="10">
                  <c:v>425</c:v>
                </c:pt>
                <c:pt idx="11">
                  <c:v>418</c:v>
                </c:pt>
                <c:pt idx="12">
                  <c:v>395</c:v>
                </c:pt>
              </c:numCache>
            </c:numRef>
          </c:val>
          <c:smooth val="0"/>
          <c:extLst>
            <c:ext xmlns:c16="http://schemas.microsoft.com/office/drawing/2014/chart" uri="{C3380CC4-5D6E-409C-BE32-E72D297353CC}">
              <c16:uniqueId val="{00000029-3D24-4E0E-B91F-6C9C08628098}"/>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chemeClr val="accent3">
            <a:lumMod val="20000"/>
            <a:lumOff val="80000"/>
          </a:schemeClr>
        </a:solidFill>
      </c:spPr>
    </c:plotArea>
    <c:legend>
      <c:legendPos val="b"/>
      <c:layout>
        <c:manualLayout>
          <c:xMode val="edge"/>
          <c:yMode val="edge"/>
          <c:x val="0.24471755316299748"/>
          <c:y val="0.95469970645929314"/>
          <c:w val="0.51542857142857146"/>
          <c:h val="3.3378507493604055E-2"/>
        </c:manualLayout>
      </c:layout>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Remittance Advices Processed </a:t>
            </a:r>
          </a:p>
        </c:rich>
      </c:tx>
      <c:layout>
        <c:manualLayout>
          <c:xMode val="edge"/>
          <c:yMode val="edge"/>
          <c:x val="0.23911616752705878"/>
          <c:y val="1.3840960219672589E-2"/>
        </c:manualLayout>
      </c:layout>
      <c:overlay val="0"/>
    </c:title>
    <c:autoTitleDeleted val="0"/>
    <c:plotArea>
      <c:layout>
        <c:manualLayout>
          <c:layoutTarget val="inner"/>
          <c:xMode val="edge"/>
          <c:yMode val="edge"/>
          <c:x val="6.4390760023907923E-2"/>
          <c:y val="7.6243498716456803E-2"/>
          <c:w val="0.90920279167284457"/>
          <c:h val="0.81483170446818698"/>
        </c:manualLayout>
      </c:layout>
      <c:lineChart>
        <c:grouping val="standard"/>
        <c:varyColors val="0"/>
        <c:ser>
          <c:idx val="0"/>
          <c:order val="0"/>
          <c:tx>
            <c:strRef>
              <c:f>'Summary Data'!$JA$37</c:f>
              <c:strCache>
                <c:ptCount val="1"/>
                <c:pt idx="0">
                  <c:v>Bi Weekly Payrolls</c:v>
                </c:pt>
              </c:strCache>
            </c:strRef>
          </c:tx>
          <c:dLbls>
            <c:dLbl>
              <c:idx val="0"/>
              <c:layout>
                <c:manualLayout>
                  <c:x val="-1.9888079941296148E-2"/>
                  <c:y val="4.23733673075052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A2-4628-9834-505D203EFE9C}"/>
                </c:ext>
              </c:extLst>
            </c:dLbl>
            <c:dLbl>
              <c:idx val="1"/>
              <c:layout>
                <c:manualLayout>
                  <c:x val="-1.9926936022423493E-2"/>
                  <c:y val="3.72666427151653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FC5-497E-BAF5-FDDDBACB777C}"/>
                </c:ext>
              </c:extLst>
            </c:dLbl>
            <c:dLbl>
              <c:idx val="2"/>
              <c:layout>
                <c:manualLayout>
                  <c:x val="-1.9926936022423493E-2"/>
                  <c:y val="-3.69386231002989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5BD-41E7-9F32-071EBF89B524}"/>
                </c:ext>
              </c:extLst>
            </c:dLbl>
            <c:dLbl>
              <c:idx val="3"/>
              <c:layout>
                <c:manualLayout>
                  <c:x val="-1.9926936022423538E-2"/>
                  <c:y val="3.89923465713388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FF-4E0A-A474-2459E89A16D6}"/>
                </c:ext>
              </c:extLst>
            </c:dLbl>
            <c:dLbl>
              <c:idx val="4"/>
              <c:layout>
                <c:manualLayout>
                  <c:x val="-1.8573830138459594E-2"/>
                  <c:y val="3.56079287803377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EF0-4679-9136-EFB92A4FDFF7}"/>
                </c:ext>
              </c:extLst>
            </c:dLbl>
            <c:dLbl>
              <c:idx val="5"/>
              <c:layout>
                <c:manualLayout>
                  <c:x val="-1.8571232806833433E-2"/>
                  <c:y val="3.54788406966080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9D3-4DEB-A458-F5CBC409F6F5}"/>
                </c:ext>
              </c:extLst>
            </c:dLbl>
            <c:dLbl>
              <c:idx val="6"/>
              <c:layout>
                <c:manualLayout>
                  <c:x val="-1.8573830138459594E-2"/>
                  <c:y val="3.54734054088722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E04-4FFF-AB40-481B34C4E52E}"/>
                </c:ext>
              </c:extLst>
            </c:dLbl>
            <c:dLbl>
              <c:idx val="7"/>
              <c:layout>
                <c:manualLayout>
                  <c:x val="-1.9890677272922309E-2"/>
                  <c:y val="3.72072621966497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E05-4EC2-8B1B-56C42F1A1876}"/>
                </c:ext>
              </c:extLst>
            </c:dLbl>
            <c:dLbl>
              <c:idx val="8"/>
              <c:layout>
                <c:manualLayout>
                  <c:x val="-1.9926936022423587E-2"/>
                  <c:y val="-4.03900308126462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5FF-4E0A-A474-2459E89A16D6}"/>
                </c:ext>
              </c:extLst>
            </c:dLbl>
            <c:dLbl>
              <c:idx val="9"/>
              <c:layout>
                <c:manualLayout>
                  <c:x val="-1.9890677272922309E-2"/>
                  <c:y val="3.5605211136469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F0-4679-9136-EFB92A4FDFF7}"/>
                </c:ext>
              </c:extLst>
            </c:dLbl>
            <c:dLbl>
              <c:idx val="10"/>
              <c:layout>
                <c:manualLayout>
                  <c:x val="-1.9890677272922406E-2"/>
                  <c:y val="3.7210115722711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9D3-4DEB-A458-F5CBC409F6F5}"/>
                </c:ext>
              </c:extLst>
            </c:dLbl>
            <c:dLbl>
              <c:idx val="11"/>
              <c:layout>
                <c:manualLayout>
                  <c:x val="-1.9890677272922309E-2"/>
                  <c:y val="3.54844118665375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E04-4FFF-AB40-481B34C4E52E}"/>
                </c:ext>
              </c:extLst>
            </c:dLbl>
            <c:dLbl>
              <c:idx val="12"/>
              <c:layout>
                <c:manualLayout>
                  <c:x val="-1.8573830138459788E-2"/>
                  <c:y val="3.54788406966080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45E-4CF4-BF4A-9DF790A7CA04}"/>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Data'!$JB$10:$MR$10</c:f>
              <c:numCache>
                <c:formatCode>[$-409]mmm\-yy;@</c:formatCode>
                <c:ptCount val="13"/>
                <c:pt idx="0">
                  <c:v>42855</c:v>
                </c:pt>
                <c:pt idx="1">
                  <c:v>42886</c:v>
                </c:pt>
                <c:pt idx="2">
                  <c:v>42916</c:v>
                </c:pt>
                <c:pt idx="3">
                  <c:v>42947</c:v>
                </c:pt>
                <c:pt idx="4">
                  <c:v>42978</c:v>
                </c:pt>
                <c:pt idx="5">
                  <c:v>43008</c:v>
                </c:pt>
                <c:pt idx="6">
                  <c:v>43039</c:v>
                </c:pt>
                <c:pt idx="7">
                  <c:v>43069</c:v>
                </c:pt>
                <c:pt idx="8">
                  <c:v>43100</c:v>
                </c:pt>
                <c:pt idx="9">
                  <c:v>43131</c:v>
                </c:pt>
                <c:pt idx="10">
                  <c:v>43159</c:v>
                </c:pt>
                <c:pt idx="11">
                  <c:v>43190</c:v>
                </c:pt>
                <c:pt idx="12">
                  <c:v>43220</c:v>
                </c:pt>
              </c:numCache>
            </c:numRef>
          </c:cat>
          <c:val>
            <c:numRef>
              <c:f>'Summary Data'!$JB$37:$MR$37</c:f>
              <c:numCache>
                <c:formatCode>_(* #,##0_);_(* \(#,##0\);_(* "-"??_);_(@_)</c:formatCode>
                <c:ptCount val="13"/>
                <c:pt idx="0">
                  <c:v>50995</c:v>
                </c:pt>
                <c:pt idx="1">
                  <c:v>51075</c:v>
                </c:pt>
                <c:pt idx="2">
                  <c:v>77804</c:v>
                </c:pt>
                <c:pt idx="3">
                  <c:v>52264</c:v>
                </c:pt>
                <c:pt idx="4">
                  <c:v>52250</c:v>
                </c:pt>
                <c:pt idx="5">
                  <c:v>52283</c:v>
                </c:pt>
                <c:pt idx="6">
                  <c:v>55484</c:v>
                </c:pt>
                <c:pt idx="7">
                  <c:v>54886</c:v>
                </c:pt>
                <c:pt idx="8">
                  <c:v>81839</c:v>
                </c:pt>
                <c:pt idx="9">
                  <c:v>54440</c:v>
                </c:pt>
                <c:pt idx="10">
                  <c:v>54066</c:v>
                </c:pt>
                <c:pt idx="11">
                  <c:v>54179</c:v>
                </c:pt>
                <c:pt idx="12">
                  <c:v>54962</c:v>
                </c:pt>
              </c:numCache>
            </c:numRef>
          </c:val>
          <c:smooth val="0"/>
          <c:extLst>
            <c:ext xmlns:c16="http://schemas.microsoft.com/office/drawing/2014/chart" uri="{C3380CC4-5D6E-409C-BE32-E72D297353CC}">
              <c16:uniqueId val="{00000002-4011-4C6A-99F1-485859951C33}"/>
            </c:ext>
          </c:extLst>
        </c:ser>
        <c:ser>
          <c:idx val="1"/>
          <c:order val="1"/>
          <c:tx>
            <c:strRef>
              <c:f>'Summary Data'!$JA$38</c:f>
              <c:strCache>
                <c:ptCount val="1"/>
                <c:pt idx="0">
                  <c:v>Monthly Payrolls</c:v>
                </c:pt>
              </c:strCache>
            </c:strRef>
          </c:tx>
          <c:dLbls>
            <c:dLbl>
              <c:idx val="0"/>
              <c:layout>
                <c:manualLayout>
                  <c:x val="-1.9888079941296148E-2"/>
                  <c:y val="-3.89273948828940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A2-4628-9834-505D203EFE9C}"/>
                </c:ext>
              </c:extLst>
            </c:dLbl>
            <c:dLbl>
              <c:idx val="1"/>
              <c:layout>
                <c:manualLayout>
                  <c:x val="-1.3298545712465207E-2"/>
                  <c:y val="-4.41099417391507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63-46A5-BBE0-159F24A446AB}"/>
                </c:ext>
              </c:extLst>
            </c:dLbl>
            <c:dLbl>
              <c:idx val="2"/>
              <c:layout>
                <c:manualLayout>
                  <c:x val="-1.8571232806833433E-2"/>
                  <c:y val="4.39063902134383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CE-4712-86DC-35926E0820B5}"/>
                </c:ext>
              </c:extLst>
            </c:dLbl>
            <c:dLbl>
              <c:idx val="3"/>
              <c:layout>
                <c:manualLayout>
                  <c:x val="-1.8568635475207325E-2"/>
                  <c:y val="-3.89246772390260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2C8-4019-A955-84BA22405A0A}"/>
                </c:ext>
              </c:extLst>
            </c:dLbl>
            <c:dLbl>
              <c:idx val="4"/>
              <c:layout>
                <c:manualLayout>
                  <c:x val="-1.9888079941296148E-2"/>
                  <c:y val="-3.90537653227556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45-4F84-8D54-7CDA8BBE4D94}"/>
                </c:ext>
              </c:extLst>
            </c:dLbl>
            <c:dLbl>
              <c:idx val="5"/>
              <c:layout>
                <c:manualLayout>
                  <c:x val="-1.7251788340744558E-2"/>
                  <c:y val="-3.5478704814414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011-4C6A-99F1-485859951C33}"/>
                </c:ext>
              </c:extLst>
            </c:dLbl>
            <c:dLbl>
              <c:idx val="6"/>
              <c:layout>
                <c:manualLayout>
                  <c:x val="-1.9885482609670088E-2"/>
                  <c:y val="-3.89301125267619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498-4D48-8E9C-063AF7EEBB81}"/>
                </c:ext>
              </c:extLst>
            </c:dLbl>
            <c:dLbl>
              <c:idx val="7"/>
              <c:layout>
                <c:manualLayout>
                  <c:x val="-1.8571232806833433E-2"/>
                  <c:y val="-3.5478704814414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498-4D48-8E9C-063AF7EEBB81}"/>
                </c:ext>
              </c:extLst>
            </c:dLbl>
            <c:dLbl>
              <c:idx val="8"/>
              <c:layout>
                <c:manualLayout>
                  <c:x val="-1.7249191009118401E-2"/>
                  <c:y val="3.8726561001049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498-4D48-8E9C-063AF7EEBB81}"/>
                </c:ext>
              </c:extLst>
            </c:dLbl>
            <c:dLbl>
              <c:idx val="9"/>
              <c:layout>
                <c:manualLayout>
                  <c:x val="-1.8571232806833336E-2"/>
                  <c:y val="-3.5605075254276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CE-4712-86DC-35926E0820B5}"/>
                </c:ext>
              </c:extLst>
            </c:dLbl>
            <c:dLbl>
              <c:idx val="10"/>
              <c:layout>
                <c:manualLayout>
                  <c:x val="-1.856863547520737E-2"/>
                  <c:y val="-3.89328301706299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98-4D48-8E9C-063AF7EEBB81}"/>
                </c:ext>
              </c:extLst>
            </c:dLbl>
            <c:dLbl>
              <c:idx val="11"/>
              <c:layout>
                <c:manualLayout>
                  <c:x val="-1.8566038143581213E-2"/>
                  <c:y val="-3.71989733828524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D45-4F84-8D54-7CDA8BBE4D94}"/>
                </c:ext>
              </c:extLst>
            </c:dLbl>
            <c:dLbl>
              <c:idx val="12"/>
              <c:layout>
                <c:manualLayout>
                  <c:x val="-1.8568635475207467E-2"/>
                  <c:y val="-3.54814224582828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625-41EA-B8C7-480015038D1B}"/>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Data'!$JB$10:$MR$10</c:f>
              <c:numCache>
                <c:formatCode>[$-409]mmm\-yy;@</c:formatCode>
                <c:ptCount val="13"/>
                <c:pt idx="0">
                  <c:v>42855</c:v>
                </c:pt>
                <c:pt idx="1">
                  <c:v>42886</c:v>
                </c:pt>
                <c:pt idx="2">
                  <c:v>42916</c:v>
                </c:pt>
                <c:pt idx="3">
                  <c:v>42947</c:v>
                </c:pt>
                <c:pt idx="4">
                  <c:v>42978</c:v>
                </c:pt>
                <c:pt idx="5">
                  <c:v>43008</c:v>
                </c:pt>
                <c:pt idx="6">
                  <c:v>43039</c:v>
                </c:pt>
                <c:pt idx="7">
                  <c:v>43069</c:v>
                </c:pt>
                <c:pt idx="8">
                  <c:v>43100</c:v>
                </c:pt>
                <c:pt idx="9">
                  <c:v>43131</c:v>
                </c:pt>
                <c:pt idx="10">
                  <c:v>43159</c:v>
                </c:pt>
                <c:pt idx="11">
                  <c:v>43190</c:v>
                </c:pt>
                <c:pt idx="12">
                  <c:v>43220</c:v>
                </c:pt>
              </c:numCache>
            </c:numRef>
          </c:cat>
          <c:val>
            <c:numRef>
              <c:f>'Summary Data'!$JB$38:$MR$38</c:f>
              <c:numCache>
                <c:formatCode>_(* #,##0_);_(* \(#,##0\);_(* "-"??_);_(@_)</c:formatCode>
                <c:ptCount val="13"/>
                <c:pt idx="0">
                  <c:v>67953</c:v>
                </c:pt>
                <c:pt idx="1">
                  <c:v>68059</c:v>
                </c:pt>
                <c:pt idx="2">
                  <c:v>68098</c:v>
                </c:pt>
                <c:pt idx="3">
                  <c:v>68069</c:v>
                </c:pt>
                <c:pt idx="4">
                  <c:v>68189</c:v>
                </c:pt>
                <c:pt idx="5">
                  <c:v>68174</c:v>
                </c:pt>
                <c:pt idx="6">
                  <c:v>68212</c:v>
                </c:pt>
                <c:pt idx="7">
                  <c:v>68226</c:v>
                </c:pt>
                <c:pt idx="8">
                  <c:v>68835</c:v>
                </c:pt>
                <c:pt idx="9">
                  <c:v>68309</c:v>
                </c:pt>
                <c:pt idx="10">
                  <c:v>68360</c:v>
                </c:pt>
                <c:pt idx="11">
                  <c:v>68253</c:v>
                </c:pt>
                <c:pt idx="12">
                  <c:v>68242</c:v>
                </c:pt>
              </c:numCache>
            </c:numRef>
          </c:val>
          <c:smooth val="0"/>
          <c:extLst>
            <c:ext xmlns:c16="http://schemas.microsoft.com/office/drawing/2014/chart" uri="{C3380CC4-5D6E-409C-BE32-E72D297353CC}">
              <c16:uniqueId val="{00000005-4011-4C6A-99F1-485859951C33}"/>
            </c:ext>
          </c:extLst>
        </c:ser>
        <c:ser>
          <c:idx val="2"/>
          <c:order val="2"/>
          <c:tx>
            <c:strRef>
              <c:f>'Summary Data'!$JA$39</c:f>
              <c:strCache>
                <c:ptCount val="1"/>
                <c:pt idx="0">
                  <c:v>Total Payrolls Processed</c:v>
                </c:pt>
              </c:strCache>
            </c:strRef>
          </c:tx>
          <c:dLbls>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Data'!$JB$10:$MR$10</c:f>
              <c:numCache>
                <c:formatCode>[$-409]mmm\-yy;@</c:formatCode>
                <c:ptCount val="13"/>
                <c:pt idx="0">
                  <c:v>42855</c:v>
                </c:pt>
                <c:pt idx="1">
                  <c:v>42886</c:v>
                </c:pt>
                <c:pt idx="2">
                  <c:v>42916</c:v>
                </c:pt>
                <c:pt idx="3">
                  <c:v>42947</c:v>
                </c:pt>
                <c:pt idx="4">
                  <c:v>42978</c:v>
                </c:pt>
                <c:pt idx="5">
                  <c:v>43008</c:v>
                </c:pt>
                <c:pt idx="6">
                  <c:v>43039</c:v>
                </c:pt>
                <c:pt idx="7">
                  <c:v>43069</c:v>
                </c:pt>
                <c:pt idx="8">
                  <c:v>43100</c:v>
                </c:pt>
                <c:pt idx="9">
                  <c:v>43131</c:v>
                </c:pt>
                <c:pt idx="10">
                  <c:v>43159</c:v>
                </c:pt>
                <c:pt idx="11">
                  <c:v>43190</c:v>
                </c:pt>
                <c:pt idx="12">
                  <c:v>43220</c:v>
                </c:pt>
              </c:numCache>
            </c:numRef>
          </c:cat>
          <c:val>
            <c:numRef>
              <c:f>'Summary Data'!$JB$39:$MR$39</c:f>
              <c:numCache>
                <c:formatCode>_(* #,##0_);_(* \(#,##0\);_(* "-"??_);_(@_)</c:formatCode>
                <c:ptCount val="13"/>
                <c:pt idx="0">
                  <c:v>118948</c:v>
                </c:pt>
                <c:pt idx="1">
                  <c:v>119134</c:v>
                </c:pt>
                <c:pt idx="2">
                  <c:v>145902</c:v>
                </c:pt>
                <c:pt idx="3">
                  <c:v>120333</c:v>
                </c:pt>
                <c:pt idx="4">
                  <c:v>120439</c:v>
                </c:pt>
                <c:pt idx="5">
                  <c:v>120457</c:v>
                </c:pt>
                <c:pt idx="6">
                  <c:v>123696</c:v>
                </c:pt>
                <c:pt idx="7">
                  <c:v>123112</c:v>
                </c:pt>
                <c:pt idx="8">
                  <c:v>150674</c:v>
                </c:pt>
                <c:pt idx="9">
                  <c:v>122749</c:v>
                </c:pt>
                <c:pt idx="10">
                  <c:v>122426</c:v>
                </c:pt>
                <c:pt idx="11">
                  <c:v>122432</c:v>
                </c:pt>
                <c:pt idx="12">
                  <c:v>123204</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date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Offset val="100"/>
        <c:baseTimeUnit val="months"/>
      </c:date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8439561695065778E-2"/>
          <c:y val="6.8815543573116339E-2"/>
          <c:w val="0.88940682414698158"/>
          <c:h val="0.86826612307967588"/>
        </c:manualLayout>
      </c:layout>
      <c:lineChart>
        <c:grouping val="standard"/>
        <c:varyColors val="0"/>
        <c:ser>
          <c:idx val="0"/>
          <c:order val="0"/>
          <c:tx>
            <c:strRef>
              <c:f>'Summary Data'!$JA$40</c:f>
              <c:strCache>
                <c:ptCount val="1"/>
                <c:pt idx="0">
                  <c:v>Payrolls Processed Off-Cycle %</c:v>
                </c:pt>
              </c:strCache>
            </c:strRef>
          </c:tx>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Data'!$JB$10:$MR$10</c:f>
              <c:numCache>
                <c:formatCode>[$-409]mmm\-yy;@</c:formatCode>
                <c:ptCount val="13"/>
                <c:pt idx="0">
                  <c:v>42855</c:v>
                </c:pt>
                <c:pt idx="1">
                  <c:v>42886</c:v>
                </c:pt>
                <c:pt idx="2">
                  <c:v>42916</c:v>
                </c:pt>
                <c:pt idx="3">
                  <c:v>42947</c:v>
                </c:pt>
                <c:pt idx="4">
                  <c:v>42978</c:v>
                </c:pt>
                <c:pt idx="5">
                  <c:v>43008</c:v>
                </c:pt>
                <c:pt idx="6">
                  <c:v>43039</c:v>
                </c:pt>
                <c:pt idx="7">
                  <c:v>43069</c:v>
                </c:pt>
                <c:pt idx="8">
                  <c:v>43100</c:v>
                </c:pt>
                <c:pt idx="9">
                  <c:v>43131</c:v>
                </c:pt>
                <c:pt idx="10">
                  <c:v>43159</c:v>
                </c:pt>
                <c:pt idx="11">
                  <c:v>43190</c:v>
                </c:pt>
                <c:pt idx="12">
                  <c:v>43220</c:v>
                </c:pt>
              </c:numCache>
            </c:numRef>
          </c:cat>
          <c:val>
            <c:numRef>
              <c:f>'Summary Data'!$JB$40:$MR$40</c:f>
              <c:numCache>
                <c:formatCode>0.00%</c:formatCode>
                <c:ptCount val="13"/>
                <c:pt idx="0">
                  <c:v>2.6061808521370681E-4</c:v>
                </c:pt>
                <c:pt idx="1">
                  <c:v>3.9451374082965401E-4</c:v>
                </c:pt>
                <c:pt idx="2">
                  <c:v>1.850557223341695E-4</c:v>
                </c:pt>
                <c:pt idx="3">
                  <c:v>3.2410062077734285E-4</c:v>
                </c:pt>
                <c:pt idx="4">
                  <c:v>3.4872425045043547E-4</c:v>
                </c:pt>
                <c:pt idx="5">
                  <c:v>3.8187901076732774E-4</c:v>
                </c:pt>
                <c:pt idx="6">
                  <c:v>3.3145776742982797E-4</c:v>
                </c:pt>
                <c:pt idx="7">
                  <c:v>2.3555786600818767E-4</c:v>
                </c:pt>
                <c:pt idx="8">
                  <c:v>2.5883695926304473E-4</c:v>
                </c:pt>
                <c:pt idx="9">
                  <c:v>3.910418822149264E-4</c:v>
                </c:pt>
                <c:pt idx="10">
                  <c:v>2.8588698479081243E-4</c:v>
                </c:pt>
                <c:pt idx="11">
                  <c:v>1.8785938316779927E-4</c:v>
                </c:pt>
                <c:pt idx="12">
                  <c:v>4.5453069705529041E-4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date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Offset val="100"/>
        <c:baseTimeUnit val="months"/>
      </c:date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Integrated HR/Payroll Total Cost Per Employee Payroll Processed</a:t>
            </a:r>
          </a:p>
        </c:rich>
      </c:tx>
      <c:layout>
        <c:manualLayout>
          <c:xMode val="edge"/>
          <c:yMode val="edge"/>
          <c:x val="0.14649671916010498"/>
          <c:y val="1.6752678008689088E-2"/>
        </c:manualLayout>
      </c:layout>
      <c:overlay val="0"/>
    </c:title>
    <c:autoTitleDeleted val="0"/>
    <c:plotArea>
      <c:layout>
        <c:manualLayout>
          <c:layoutTarget val="inner"/>
          <c:xMode val="edge"/>
          <c:yMode val="edge"/>
          <c:x val="6.1501968503937007E-2"/>
          <c:y val="6.950134463299186E-2"/>
          <c:w val="0.91912958258140565"/>
          <c:h val="0.84626421242213357"/>
        </c:manualLayout>
      </c:layout>
      <c:lineChart>
        <c:grouping val="standard"/>
        <c:varyColors val="0"/>
        <c:ser>
          <c:idx val="0"/>
          <c:order val="0"/>
          <c:tx>
            <c:strRef>
              <c:f>'Summary Data'!$JA$46</c:f>
              <c:strCache>
                <c:ptCount val="1"/>
                <c:pt idx="0">
                  <c:v>Cost Per Employee Payroll</c:v>
                </c:pt>
              </c:strCache>
            </c:strRef>
          </c:tx>
          <c:spPr>
            <a:ln w="25400">
              <a:solidFill>
                <a:schemeClr val="accent1"/>
              </a:solidFill>
              <a:prstDash val="solid"/>
            </a:ln>
          </c:spPr>
          <c:marker>
            <c:symbol val="circle"/>
            <c:size val="7"/>
          </c:marker>
          <c:dLbls>
            <c:dLbl>
              <c:idx val="8"/>
              <c:layout>
                <c:manualLayout>
                  <c:x val="-3.2086832895888116E-2"/>
                  <c:y val="-4.62751260361094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C76-40E9-BFB7-2343D4E97C5A}"/>
                </c:ext>
              </c:extLst>
            </c:dLbl>
            <c:dLbl>
              <c:idx val="10"/>
              <c:layout>
                <c:manualLayout>
                  <c:x val="-8.4757217847768011E-3"/>
                  <c:y val="-3.73674848089648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C76-40E9-BFB7-2343D4E97C5A}"/>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Data'!$JB$10:$MR$10</c:f>
              <c:numCache>
                <c:formatCode>[$-409]mmm\-yy;@</c:formatCode>
                <c:ptCount val="13"/>
                <c:pt idx="0">
                  <c:v>42855</c:v>
                </c:pt>
                <c:pt idx="1">
                  <c:v>42886</c:v>
                </c:pt>
                <c:pt idx="2">
                  <c:v>42916</c:v>
                </c:pt>
                <c:pt idx="3">
                  <c:v>42947</c:v>
                </c:pt>
                <c:pt idx="4">
                  <c:v>42978</c:v>
                </c:pt>
                <c:pt idx="5">
                  <c:v>43008</c:v>
                </c:pt>
                <c:pt idx="6">
                  <c:v>43039</c:v>
                </c:pt>
                <c:pt idx="7">
                  <c:v>43069</c:v>
                </c:pt>
                <c:pt idx="8">
                  <c:v>43100</c:v>
                </c:pt>
                <c:pt idx="9">
                  <c:v>43131</c:v>
                </c:pt>
                <c:pt idx="10">
                  <c:v>43159</c:v>
                </c:pt>
                <c:pt idx="11">
                  <c:v>43190</c:v>
                </c:pt>
                <c:pt idx="12">
                  <c:v>43220</c:v>
                </c:pt>
              </c:numCache>
            </c:numRef>
          </c:cat>
          <c:val>
            <c:numRef>
              <c:f>'Summary Data'!$JB$46:$MR$46</c:f>
              <c:numCache>
                <c:formatCode>"$"#,##0.00_);\("$"#,##0.00\)</c:formatCode>
                <c:ptCount val="13"/>
                <c:pt idx="0">
                  <c:v>6.3539833372566168</c:v>
                </c:pt>
                <c:pt idx="1">
                  <c:v>6.6681060822267364</c:v>
                </c:pt>
                <c:pt idx="2">
                  <c:v>6.65121842058368</c:v>
                </c:pt>
                <c:pt idx="3">
                  <c:v>6.1854054997382262</c:v>
                </c:pt>
                <c:pt idx="4">
                  <c:v>6.3201861523260732</c:v>
                </c:pt>
                <c:pt idx="5">
                  <c:v>6.1149125414048164</c:v>
                </c:pt>
                <c:pt idx="6">
                  <c:v>6.0584741624628125</c:v>
                </c:pt>
                <c:pt idx="7">
                  <c:v>6.1837970303463514</c:v>
                </c:pt>
                <c:pt idx="8">
                  <c:v>4.9314671409798638</c:v>
                </c:pt>
                <c:pt idx="9">
                  <c:v>23.925806646082656</c:v>
                </c:pt>
                <c:pt idx="10">
                  <c:v>6.483226602192345</c:v>
                </c:pt>
                <c:pt idx="11">
                  <c:v>6.4682765126764243</c:v>
                </c:pt>
                <c:pt idx="12">
                  <c:v>6.1820857277361121</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System Availability</a:t>
            </a:r>
          </a:p>
        </c:rich>
      </c:tx>
      <c:layout>
        <c:manualLayout>
          <c:xMode val="edge"/>
          <c:yMode val="edge"/>
          <c:x val="0.28182919877582796"/>
          <c:y val="5.449589758458316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Data'!$JA$66</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Data'!$JB$10:$MR$10</c:f>
              <c:numCache>
                <c:formatCode>[$-409]mmm\-yy;@</c:formatCode>
                <c:ptCount val="13"/>
                <c:pt idx="0">
                  <c:v>42855</c:v>
                </c:pt>
                <c:pt idx="1">
                  <c:v>42886</c:v>
                </c:pt>
                <c:pt idx="2">
                  <c:v>42916</c:v>
                </c:pt>
                <c:pt idx="3">
                  <c:v>42947</c:v>
                </c:pt>
                <c:pt idx="4">
                  <c:v>42978</c:v>
                </c:pt>
                <c:pt idx="5">
                  <c:v>43008</c:v>
                </c:pt>
                <c:pt idx="6">
                  <c:v>43039</c:v>
                </c:pt>
                <c:pt idx="7">
                  <c:v>43069</c:v>
                </c:pt>
                <c:pt idx="8">
                  <c:v>43100</c:v>
                </c:pt>
                <c:pt idx="9">
                  <c:v>43131</c:v>
                </c:pt>
                <c:pt idx="10">
                  <c:v>43159</c:v>
                </c:pt>
                <c:pt idx="11">
                  <c:v>43190</c:v>
                </c:pt>
                <c:pt idx="12">
                  <c:v>43220</c:v>
                </c:pt>
              </c:numCache>
            </c:numRef>
          </c:cat>
          <c:val>
            <c:numRef>
              <c:f>'Summary Data'!$JB$66:$MR$66</c:f>
              <c:numCache>
                <c:formatCode>0.00%</c:formatCode>
                <c:ptCount val="13"/>
                <c:pt idx="0">
                  <c:v>1</c:v>
                </c:pt>
                <c:pt idx="1">
                  <c:v>1</c:v>
                </c:pt>
                <c:pt idx="2">
                  <c:v>1</c:v>
                </c:pt>
                <c:pt idx="3">
                  <c:v>1</c:v>
                </c:pt>
                <c:pt idx="4">
                  <c:v>0.99709999999999999</c:v>
                </c:pt>
                <c:pt idx="5">
                  <c:v>1</c:v>
                </c:pt>
                <c:pt idx="6">
                  <c:v>0.99870000000000003</c:v>
                </c:pt>
                <c:pt idx="7">
                  <c:v>1</c:v>
                </c:pt>
                <c:pt idx="8">
                  <c:v>1</c:v>
                </c:pt>
                <c:pt idx="9">
                  <c:v>0.99999899999999997</c:v>
                </c:pt>
                <c:pt idx="10">
                  <c:v>1</c:v>
                </c:pt>
                <c:pt idx="11">
                  <c:v>0.99619999999999997</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Data'!$JA$67</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Data'!$JB$10:$MR$10</c:f>
              <c:numCache>
                <c:formatCode>[$-409]mmm\-yy;@</c:formatCode>
                <c:ptCount val="13"/>
                <c:pt idx="0">
                  <c:v>42855</c:v>
                </c:pt>
                <c:pt idx="1">
                  <c:v>42886</c:v>
                </c:pt>
                <c:pt idx="2">
                  <c:v>42916</c:v>
                </c:pt>
                <c:pt idx="3">
                  <c:v>42947</c:v>
                </c:pt>
                <c:pt idx="4">
                  <c:v>42978</c:v>
                </c:pt>
                <c:pt idx="5">
                  <c:v>43008</c:v>
                </c:pt>
                <c:pt idx="6">
                  <c:v>43039</c:v>
                </c:pt>
                <c:pt idx="7">
                  <c:v>43069</c:v>
                </c:pt>
                <c:pt idx="8">
                  <c:v>43100</c:v>
                </c:pt>
                <c:pt idx="9">
                  <c:v>43131</c:v>
                </c:pt>
                <c:pt idx="10">
                  <c:v>43159</c:v>
                </c:pt>
                <c:pt idx="11">
                  <c:v>43190</c:v>
                </c:pt>
                <c:pt idx="12">
                  <c:v>43220</c:v>
                </c:pt>
              </c:numCache>
            </c:numRef>
          </c:cat>
          <c:val>
            <c:numRef>
              <c:f>'Summary Data'!$JB$67:$MR$67</c:f>
              <c:numCache>
                <c:formatCode>0.00%</c:formatCode>
                <c:ptCount val="13"/>
                <c:pt idx="0">
                  <c:v>0</c:v>
                </c:pt>
                <c:pt idx="1">
                  <c:v>0</c:v>
                </c:pt>
                <c:pt idx="2">
                  <c:v>0</c:v>
                </c:pt>
                <c:pt idx="3">
                  <c:v>0</c:v>
                </c:pt>
                <c:pt idx="4">
                  <c:v>2.8999999999999998E-3</c:v>
                </c:pt>
                <c:pt idx="5">
                  <c:v>0</c:v>
                </c:pt>
                <c:pt idx="6">
                  <c:v>1.2999999999999999E-3</c:v>
                </c:pt>
                <c:pt idx="7">
                  <c:v>0</c:v>
                </c:pt>
                <c:pt idx="8">
                  <c:v>0</c:v>
                </c:pt>
                <c:pt idx="9">
                  <c:v>1.0000000000000001E-5</c:v>
                </c:pt>
                <c:pt idx="10">
                  <c:v>0</c:v>
                </c:pt>
                <c:pt idx="11">
                  <c:v>3.8E-3</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BI System Availability</a:t>
            </a:r>
          </a:p>
        </c:rich>
      </c:tx>
      <c:layout>
        <c:manualLayout>
          <c:xMode val="edge"/>
          <c:yMode val="edge"/>
          <c:x val="0.26959420885618884"/>
          <c:y val="5.449545205944242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Data'!$JA$68</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Data'!$JB$10:$MR$10</c:f>
              <c:numCache>
                <c:formatCode>[$-409]mmm\-yy;@</c:formatCode>
                <c:ptCount val="13"/>
                <c:pt idx="0">
                  <c:v>42855</c:v>
                </c:pt>
                <c:pt idx="1">
                  <c:v>42886</c:v>
                </c:pt>
                <c:pt idx="2">
                  <c:v>42916</c:v>
                </c:pt>
                <c:pt idx="3">
                  <c:v>42947</c:v>
                </c:pt>
                <c:pt idx="4">
                  <c:v>42978</c:v>
                </c:pt>
                <c:pt idx="5">
                  <c:v>43008</c:v>
                </c:pt>
                <c:pt idx="6">
                  <c:v>43039</c:v>
                </c:pt>
                <c:pt idx="7">
                  <c:v>43069</c:v>
                </c:pt>
                <c:pt idx="8">
                  <c:v>43100</c:v>
                </c:pt>
                <c:pt idx="9">
                  <c:v>43131</c:v>
                </c:pt>
                <c:pt idx="10">
                  <c:v>43159</c:v>
                </c:pt>
                <c:pt idx="11">
                  <c:v>43190</c:v>
                </c:pt>
                <c:pt idx="12">
                  <c:v>43220</c:v>
                </c:pt>
              </c:numCache>
            </c:numRef>
          </c:cat>
          <c:val>
            <c:numRef>
              <c:f>'Summary Data'!$JB$68:$MR$68</c:f>
              <c:numCache>
                <c:formatCode>0.00%</c:formatCode>
                <c:ptCount val="13"/>
                <c:pt idx="0">
                  <c:v>1</c:v>
                </c:pt>
                <c:pt idx="1">
                  <c:v>1</c:v>
                </c:pt>
                <c:pt idx="2">
                  <c:v>1</c:v>
                </c:pt>
                <c:pt idx="3">
                  <c:v>1</c:v>
                </c:pt>
                <c:pt idx="4">
                  <c:v>0.99709999999999999</c:v>
                </c:pt>
                <c:pt idx="5">
                  <c:v>1</c:v>
                </c:pt>
                <c:pt idx="6">
                  <c:v>0.9829</c:v>
                </c:pt>
                <c:pt idx="7">
                  <c:v>1</c:v>
                </c:pt>
                <c:pt idx="8">
                  <c:v>1</c:v>
                </c:pt>
                <c:pt idx="9">
                  <c:v>0.99999899999999997</c:v>
                </c:pt>
                <c:pt idx="10">
                  <c:v>1</c:v>
                </c:pt>
                <c:pt idx="11">
                  <c:v>0.99619999999999997</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Data'!$JA$69</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Data'!$JB$10:$MR$10</c:f>
              <c:numCache>
                <c:formatCode>[$-409]mmm\-yy;@</c:formatCode>
                <c:ptCount val="13"/>
                <c:pt idx="0">
                  <c:v>42855</c:v>
                </c:pt>
                <c:pt idx="1">
                  <c:v>42886</c:v>
                </c:pt>
                <c:pt idx="2">
                  <c:v>42916</c:v>
                </c:pt>
                <c:pt idx="3">
                  <c:v>42947</c:v>
                </c:pt>
                <c:pt idx="4">
                  <c:v>42978</c:v>
                </c:pt>
                <c:pt idx="5">
                  <c:v>43008</c:v>
                </c:pt>
                <c:pt idx="6">
                  <c:v>43039</c:v>
                </c:pt>
                <c:pt idx="7">
                  <c:v>43069</c:v>
                </c:pt>
                <c:pt idx="8">
                  <c:v>43100</c:v>
                </c:pt>
                <c:pt idx="9">
                  <c:v>43131</c:v>
                </c:pt>
                <c:pt idx="10">
                  <c:v>43159</c:v>
                </c:pt>
                <c:pt idx="11">
                  <c:v>43190</c:v>
                </c:pt>
                <c:pt idx="12">
                  <c:v>43220</c:v>
                </c:pt>
              </c:numCache>
            </c:numRef>
          </c:cat>
          <c:val>
            <c:numRef>
              <c:f>'Summary Data'!$JB$69:$MR$69</c:f>
              <c:numCache>
                <c:formatCode>0.00%</c:formatCode>
                <c:ptCount val="13"/>
                <c:pt idx="0">
                  <c:v>0</c:v>
                </c:pt>
                <c:pt idx="1">
                  <c:v>0</c:v>
                </c:pt>
                <c:pt idx="2">
                  <c:v>0</c:v>
                </c:pt>
                <c:pt idx="3">
                  <c:v>0</c:v>
                </c:pt>
                <c:pt idx="4">
                  <c:v>2.8999999999999998E-3</c:v>
                </c:pt>
                <c:pt idx="5">
                  <c:v>0</c:v>
                </c:pt>
                <c:pt idx="6">
                  <c:v>1.7100000000000001E-2</c:v>
                </c:pt>
                <c:pt idx="7">
                  <c:v>0</c:v>
                </c:pt>
                <c:pt idx="8">
                  <c:v>0</c:v>
                </c:pt>
                <c:pt idx="9">
                  <c:v>1E-4</c:v>
                </c:pt>
                <c:pt idx="10">
                  <c:v>0</c:v>
                </c:pt>
                <c:pt idx="11">
                  <c:v>4.3E-3</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Integrated HR/Payroll System Response Time </a:t>
            </a:r>
            <a:r>
              <a:rPr lang="en-US" sz="1000" b="1" i="0" u="none" strike="noStrike" baseline="0">
                <a:solidFill>
                  <a:srgbClr val="000000"/>
                </a:solidFill>
                <a:latin typeface="Calibri"/>
              </a:rPr>
              <a:t>(In Seconds)</a:t>
            </a:r>
          </a:p>
        </c:rich>
      </c:tx>
      <c:layout>
        <c:manualLayout>
          <c:xMode val="edge"/>
          <c:yMode val="edge"/>
          <c:x val="0.20266730501698996"/>
          <c:y val="1.304628624054374E-2"/>
        </c:manualLayout>
      </c:layout>
      <c:overlay val="0"/>
    </c:title>
    <c:autoTitleDeleted val="0"/>
    <c:plotArea>
      <c:layout>
        <c:manualLayout>
          <c:layoutTarget val="inner"/>
          <c:xMode val="edge"/>
          <c:yMode val="edge"/>
          <c:x val="5.3165389802135081E-2"/>
          <c:y val="6.6057605209600745E-2"/>
          <c:w val="0.91912958258140565"/>
          <c:h val="0.86051646202209486"/>
        </c:manualLayout>
      </c:layout>
      <c:lineChart>
        <c:grouping val="standard"/>
        <c:varyColors val="0"/>
        <c:ser>
          <c:idx val="0"/>
          <c:order val="0"/>
          <c:tx>
            <c:strRef>
              <c:f>'Summary Data'!$JA$70</c:f>
              <c:strCache>
                <c:ptCount val="1"/>
                <c:pt idx="0">
                  <c:v> ERP Respone Time (Seconds) </c:v>
                </c:pt>
              </c:strCache>
            </c:strRef>
          </c:tx>
          <c:spPr>
            <a:ln w="25400">
              <a:solidFill>
                <a:schemeClr val="accent1">
                  <a:lumMod val="75000"/>
                </a:schemeClr>
              </a:solidFill>
              <a:prstDash val="solid"/>
            </a:ln>
          </c:spPr>
          <c:marker>
            <c:symbol val="circle"/>
            <c:size val="7"/>
          </c:marker>
          <c:dLbls>
            <c:dLbl>
              <c:idx val="0"/>
              <c:layout>
                <c:manualLayout>
                  <c:x val="-1.9568088704181998E-2"/>
                  <c:y val="-3.66430043791624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1AA-4F67-9690-B0CFA3D60EB6}"/>
                </c:ext>
              </c:extLst>
            </c:dLbl>
            <c:dLbl>
              <c:idx val="1"/>
              <c:layout>
                <c:manualLayout>
                  <c:x val="-1.6792969201964155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D0C-46F5-AD23-8CF333409273}"/>
                </c:ext>
              </c:extLst>
            </c:dLbl>
            <c:dLbl>
              <c:idx val="2"/>
              <c:layout>
                <c:manualLayout>
                  <c:x val="-1.2630289948637345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74-443C-9D20-B215332B6A2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Data'!$JB$10:$MR$10</c:f>
              <c:numCache>
                <c:formatCode>[$-409]mmm\-yy;@</c:formatCode>
                <c:ptCount val="13"/>
                <c:pt idx="0">
                  <c:v>42855</c:v>
                </c:pt>
                <c:pt idx="1">
                  <c:v>42886</c:v>
                </c:pt>
                <c:pt idx="2">
                  <c:v>42916</c:v>
                </c:pt>
                <c:pt idx="3">
                  <c:v>42947</c:v>
                </c:pt>
                <c:pt idx="4">
                  <c:v>42978</c:v>
                </c:pt>
                <c:pt idx="5">
                  <c:v>43008</c:v>
                </c:pt>
                <c:pt idx="6">
                  <c:v>43039</c:v>
                </c:pt>
                <c:pt idx="7">
                  <c:v>43069</c:v>
                </c:pt>
                <c:pt idx="8">
                  <c:v>43100</c:v>
                </c:pt>
                <c:pt idx="9">
                  <c:v>43131</c:v>
                </c:pt>
                <c:pt idx="10">
                  <c:v>43159</c:v>
                </c:pt>
                <c:pt idx="11">
                  <c:v>43190</c:v>
                </c:pt>
                <c:pt idx="12">
                  <c:v>43220</c:v>
                </c:pt>
              </c:numCache>
            </c:numRef>
          </c:cat>
          <c:val>
            <c:numRef>
              <c:f>'Summary Data'!$JB$70:$MR$70</c:f>
              <c:numCache>
                <c:formatCode>_(* #,##0.000_);_(* \(#,##0.000\);_(* "-"??_);_(@_)</c:formatCode>
                <c:ptCount val="13"/>
                <c:pt idx="0">
                  <c:v>0.43780000000000002</c:v>
                </c:pt>
                <c:pt idx="1">
                  <c:v>0.46910000000000002</c:v>
                </c:pt>
                <c:pt idx="2">
                  <c:v>0.42949999999999999</c:v>
                </c:pt>
                <c:pt idx="3">
                  <c:v>0.44190000000000002</c:v>
                </c:pt>
                <c:pt idx="4">
                  <c:v>0.45679999999999998</c:v>
                </c:pt>
                <c:pt idx="5">
                  <c:v>0.47539999999999999</c:v>
                </c:pt>
                <c:pt idx="6">
                  <c:v>0.47760000000000002</c:v>
                </c:pt>
                <c:pt idx="7">
                  <c:v>0.47789999999999999</c:v>
                </c:pt>
                <c:pt idx="8">
                  <c:v>0.51570000000000005</c:v>
                </c:pt>
                <c:pt idx="9">
                  <c:v>0.49370000000000003</c:v>
                </c:pt>
                <c:pt idx="10">
                  <c:v>0.4819</c:v>
                </c:pt>
                <c:pt idx="11">
                  <c:v>0.50619999999999998</c:v>
                </c:pt>
                <c:pt idx="12">
                  <c:v>0.49009999999999998</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tabColor rgb="FF66FFFF"/>
  </sheetPr>
  <sheetViews>
    <sheetView zoomScale="95"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tabColor theme="8" tint="0.59999389629810485"/>
  </sheetPr>
  <sheetViews>
    <sheetView zoomScale="98"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sheetPr>
    <tabColor theme="6" tint="0.59999389629810485"/>
  </sheetPr>
  <sheetViews>
    <sheetView zoomScale="95"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sheetPr>
    <tabColor rgb="FFFFFF99"/>
  </sheetPr>
  <sheetViews>
    <sheetView zoomScale="95"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sheetPr>
    <tabColor rgb="FFCCCCFF"/>
  </sheetPr>
  <sheetViews>
    <sheetView zoomScale="95"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sheetPr>
    <tabColor theme="9" tint="0.79998168889431442"/>
  </sheetPr>
  <sheetViews>
    <sheetView zoomScale="95"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60776" cy="7160172"/>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60776" cy="7214914"/>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2759" cy="7269655"/>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0.09589</cdr:x>
      <cdr:y>0.27848</cdr:y>
    </cdr:from>
    <cdr:to>
      <cdr:x>0.98504</cdr:x>
      <cdr:y>0.27997</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flipV="1">
          <a:off x="922983" y="2049406"/>
          <a:ext cx="8558303" cy="10966"/>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11173" cy="719234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34500" cy="7299158"/>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0.07588</cdr:x>
      <cdr:y>0.87081</cdr:y>
    </cdr:from>
    <cdr:to>
      <cdr:x>0.99818</cdr:x>
      <cdr:y>0.87343</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285" y="635618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0.01034</cdr:x>
      <cdr:y>0.87309</cdr:y>
    </cdr:from>
    <cdr:to>
      <cdr:x>0.08805</cdr:x>
      <cdr:y>0.90264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19752949">
          <a:off x="96507" y="6372794"/>
          <a:ext cx="725384" cy="2156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0.10125</cdr:x>
      <cdr:y>0.59978</cdr:y>
    </cdr:from>
    <cdr:to>
      <cdr:x>0.98578</cdr:x>
      <cdr:y>0.60152</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974541" y="4414004"/>
          <a:ext cx="8513834" cy="1280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0.00313</cdr:x>
      <cdr:y>0.59793</cdr:y>
    </cdr:from>
    <cdr:to>
      <cdr:x>0.13417</cdr:x>
      <cdr:y>0.62919</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30080" y="4400326"/>
          <a:ext cx="1261294" cy="2300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44000" cy="7128711"/>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K102"/>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RowHeight="15" outlineLevelRow="1" x14ac:dyDescent="0.25"/>
  <cols>
    <col min="1" max="1" width="4.140625" style="361" customWidth="1"/>
    <col min="2" max="2" width="1.42578125" style="362" customWidth="1"/>
    <col min="3" max="3" width="3.5703125" style="308" customWidth="1"/>
    <col min="4" max="4" width="144" style="308" customWidth="1"/>
    <col min="5" max="5" width="9" style="871" customWidth="1"/>
    <col min="6" max="6" width="11.42578125" style="363" customWidth="1"/>
    <col min="7" max="11" width="9.140625" style="363"/>
    <col min="12" max="16384" width="9.140625" style="308"/>
  </cols>
  <sheetData>
    <row r="1" spans="1:11" s="205" customFormat="1" ht="15.75" customHeight="1" thickBot="1" x14ac:dyDescent="0.3">
      <c r="A1" s="1198" t="s">
        <v>56</v>
      </c>
      <c r="B1" s="1199"/>
      <c r="C1" s="1199"/>
      <c r="D1" s="1200"/>
      <c r="E1" s="364" t="s">
        <v>127</v>
      </c>
      <c r="F1" s="204"/>
      <c r="G1" s="204"/>
      <c r="H1" s="204"/>
      <c r="I1" s="204"/>
      <c r="J1" s="204"/>
      <c r="K1" s="204"/>
    </row>
    <row r="2" spans="1:11" s="205" customFormat="1" ht="15" customHeight="1" x14ac:dyDescent="0.25">
      <c r="A2" s="332">
        <v>1</v>
      </c>
      <c r="B2" s="333"/>
      <c r="C2" s="1203" t="s">
        <v>188</v>
      </c>
      <c r="D2" s="1204"/>
      <c r="E2" s="364"/>
      <c r="F2" s="204"/>
      <c r="G2" s="204"/>
      <c r="H2" s="204"/>
      <c r="I2" s="204"/>
      <c r="J2" s="204"/>
      <c r="K2" s="204"/>
    </row>
    <row r="3" spans="1:11" s="205" customFormat="1" ht="14.25" x14ac:dyDescent="0.25">
      <c r="A3" s="202">
        <v>2.1</v>
      </c>
      <c r="B3" s="203"/>
      <c r="C3" s="334" t="s">
        <v>108</v>
      </c>
      <c r="D3" s="335"/>
      <c r="E3" s="364"/>
      <c r="F3" s="204"/>
      <c r="G3" s="204"/>
      <c r="H3" s="204"/>
      <c r="I3" s="204"/>
      <c r="J3" s="204"/>
      <c r="K3" s="204"/>
    </row>
    <row r="4" spans="1:11" s="205" customFormat="1" ht="14.25" x14ac:dyDescent="0.25">
      <c r="A4" s="202">
        <v>2.2000000000000002</v>
      </c>
      <c r="B4" s="203"/>
      <c r="C4" s="336" t="s">
        <v>89</v>
      </c>
      <c r="D4" s="337"/>
      <c r="E4" s="364"/>
      <c r="F4" s="204"/>
      <c r="G4" s="204"/>
      <c r="H4" s="204"/>
      <c r="I4" s="204"/>
      <c r="J4" s="204"/>
      <c r="K4" s="204"/>
    </row>
    <row r="5" spans="1:11" s="205" customFormat="1" ht="14.25" x14ac:dyDescent="0.25">
      <c r="A5" s="202">
        <v>2.2999999999999998</v>
      </c>
      <c r="B5" s="203"/>
      <c r="C5" s="334" t="s">
        <v>49</v>
      </c>
      <c r="D5" s="335"/>
      <c r="E5" s="364"/>
      <c r="F5" s="204"/>
      <c r="G5" s="204"/>
      <c r="H5" s="204"/>
      <c r="I5" s="204"/>
      <c r="J5" s="204"/>
      <c r="K5" s="204"/>
    </row>
    <row r="6" spans="1:11" s="205" customFormat="1" ht="14.25" x14ac:dyDescent="0.25">
      <c r="A6" s="202">
        <v>2.4</v>
      </c>
      <c r="B6" s="203"/>
      <c r="C6" s="336" t="s">
        <v>83</v>
      </c>
      <c r="D6" s="337"/>
      <c r="E6" s="364"/>
      <c r="F6" s="204"/>
      <c r="G6" s="204"/>
      <c r="H6" s="204"/>
      <c r="I6" s="204"/>
      <c r="J6" s="204"/>
      <c r="K6" s="204"/>
    </row>
    <row r="7" spans="1:11" s="205" customFormat="1" ht="14.25" x14ac:dyDescent="0.25">
      <c r="A7" s="202">
        <v>2.5</v>
      </c>
      <c r="B7" s="203"/>
      <c r="C7" s="336" t="s">
        <v>94</v>
      </c>
      <c r="D7" s="337"/>
      <c r="E7" s="364"/>
      <c r="F7" s="204"/>
      <c r="G7" s="204"/>
      <c r="H7" s="204"/>
      <c r="I7" s="204"/>
      <c r="J7" s="204"/>
      <c r="K7" s="204"/>
    </row>
    <row r="8" spans="1:11" s="205" customFormat="1" ht="14.25" x14ac:dyDescent="0.25">
      <c r="A8" s="202">
        <v>2.6</v>
      </c>
      <c r="B8" s="203"/>
      <c r="C8" s="336" t="s">
        <v>109</v>
      </c>
      <c r="D8" s="337"/>
      <c r="E8" s="364"/>
      <c r="F8" s="204"/>
      <c r="G8" s="204"/>
      <c r="H8" s="204"/>
      <c r="I8" s="204"/>
      <c r="J8" s="204"/>
      <c r="K8" s="204"/>
    </row>
    <row r="9" spans="1:11" s="205" customFormat="1" ht="14.25" x14ac:dyDescent="0.25">
      <c r="A9" s="202">
        <v>2.7</v>
      </c>
      <c r="B9" s="203"/>
      <c r="C9" s="336" t="s">
        <v>84</v>
      </c>
      <c r="D9" s="337"/>
      <c r="E9" s="364"/>
      <c r="F9" s="204"/>
      <c r="G9" s="204"/>
      <c r="H9" s="204"/>
      <c r="I9" s="204"/>
      <c r="J9" s="204"/>
      <c r="K9" s="204"/>
    </row>
    <row r="10" spans="1:11" s="205" customFormat="1" ht="14.25" x14ac:dyDescent="0.25">
      <c r="A10" s="202">
        <v>2.8</v>
      </c>
      <c r="B10" s="203"/>
      <c r="C10" s="336" t="s">
        <v>165</v>
      </c>
      <c r="D10" s="337"/>
      <c r="E10" s="364"/>
      <c r="F10" s="204"/>
      <c r="G10" s="204"/>
      <c r="H10" s="204"/>
      <c r="I10" s="204"/>
      <c r="J10" s="204"/>
      <c r="K10" s="204"/>
    </row>
    <row r="11" spans="1:11" s="205" customFormat="1" ht="14.25" x14ac:dyDescent="0.25">
      <c r="A11" s="202">
        <v>3.1</v>
      </c>
      <c r="B11" s="203"/>
      <c r="C11" s="336" t="s">
        <v>60</v>
      </c>
      <c r="D11" s="337"/>
      <c r="E11" s="364"/>
      <c r="F11" s="204"/>
      <c r="G11" s="204"/>
      <c r="H11" s="204"/>
      <c r="I11" s="204"/>
      <c r="J11" s="204"/>
      <c r="K11" s="204"/>
    </row>
    <row r="12" spans="1:11" s="205" customFormat="1" ht="14.25" x14ac:dyDescent="0.25">
      <c r="A12" s="202" t="s">
        <v>33</v>
      </c>
      <c r="B12" s="203"/>
      <c r="C12" s="336" t="s">
        <v>50</v>
      </c>
      <c r="D12" s="337"/>
      <c r="E12" s="364"/>
      <c r="F12" s="204"/>
      <c r="G12" s="204"/>
      <c r="H12" s="204"/>
      <c r="I12" s="204"/>
      <c r="J12" s="204"/>
      <c r="K12" s="204"/>
    </row>
    <row r="13" spans="1:11" s="205" customFormat="1" ht="14.25" x14ac:dyDescent="0.25">
      <c r="A13" s="202" t="s">
        <v>34</v>
      </c>
      <c r="B13" s="203"/>
      <c r="C13" s="336" t="s">
        <v>51</v>
      </c>
      <c r="D13" s="337"/>
      <c r="E13" s="364"/>
      <c r="F13" s="204"/>
      <c r="G13" s="204"/>
      <c r="H13" s="204"/>
      <c r="I13" s="204"/>
      <c r="J13" s="204"/>
      <c r="K13" s="204"/>
    </row>
    <row r="14" spans="1:11" s="205" customFormat="1" ht="14.25" x14ac:dyDescent="0.25">
      <c r="A14" s="202" t="s">
        <v>35</v>
      </c>
      <c r="B14" s="203"/>
      <c r="C14" s="336" t="s">
        <v>52</v>
      </c>
      <c r="D14" s="337"/>
      <c r="E14" s="364"/>
      <c r="F14" s="204"/>
      <c r="G14" s="204"/>
      <c r="H14" s="204"/>
      <c r="I14" s="204"/>
      <c r="J14" s="204"/>
      <c r="K14" s="204"/>
    </row>
    <row r="15" spans="1:11" s="205" customFormat="1" ht="14.25" x14ac:dyDescent="0.25">
      <c r="A15" s="202" t="s">
        <v>36</v>
      </c>
      <c r="B15" s="203"/>
      <c r="C15" s="336" t="s">
        <v>53</v>
      </c>
      <c r="D15" s="337"/>
      <c r="E15" s="364"/>
      <c r="F15" s="204"/>
      <c r="G15" s="204"/>
      <c r="H15" s="204"/>
      <c r="I15" s="204"/>
      <c r="J15" s="204"/>
      <c r="K15" s="204"/>
    </row>
    <row r="16" spans="1:11" s="205" customFormat="1" ht="14.25" x14ac:dyDescent="0.25">
      <c r="A16" s="202" t="s">
        <v>37</v>
      </c>
      <c r="B16" s="203"/>
      <c r="C16" s="336" t="s">
        <v>54</v>
      </c>
      <c r="D16" s="337"/>
      <c r="E16" s="364"/>
      <c r="F16" s="204"/>
      <c r="G16" s="204"/>
      <c r="H16" s="204"/>
      <c r="I16" s="204"/>
      <c r="J16" s="204"/>
      <c r="K16" s="204"/>
    </row>
    <row r="17" spans="1:11" s="205" customFormat="1" ht="14.25" x14ac:dyDescent="0.25">
      <c r="A17" s="202">
        <v>3.2</v>
      </c>
      <c r="B17" s="203"/>
      <c r="C17" s="336" t="s">
        <v>46</v>
      </c>
      <c r="D17" s="337"/>
      <c r="E17" s="364"/>
      <c r="F17" s="204"/>
      <c r="G17" s="204"/>
      <c r="H17" s="204"/>
      <c r="I17" s="204"/>
      <c r="J17" s="204"/>
      <c r="K17" s="204"/>
    </row>
    <row r="18" spans="1:11" s="205" customFormat="1" ht="14.25" x14ac:dyDescent="0.25">
      <c r="A18" s="202">
        <v>3.3</v>
      </c>
      <c r="B18" s="203"/>
      <c r="C18" s="336" t="s">
        <v>55</v>
      </c>
      <c r="D18" s="337"/>
      <c r="E18" s="364"/>
      <c r="F18" s="204"/>
      <c r="G18" s="204"/>
      <c r="H18" s="204"/>
      <c r="I18" s="204"/>
      <c r="J18" s="204"/>
      <c r="K18" s="204"/>
    </row>
    <row r="19" spans="1:11" s="205" customFormat="1" ht="14.25" x14ac:dyDescent="0.25">
      <c r="A19" s="202">
        <v>3.4</v>
      </c>
      <c r="B19" s="203"/>
      <c r="C19" s="336" t="s">
        <v>47</v>
      </c>
      <c r="D19" s="337"/>
      <c r="E19" s="364"/>
      <c r="F19" s="204"/>
      <c r="G19" s="204"/>
      <c r="H19" s="204"/>
      <c r="I19" s="204"/>
      <c r="J19" s="204"/>
      <c r="K19" s="204"/>
    </row>
    <row r="20" spans="1:11" s="205" customFormat="1" ht="24" customHeight="1" x14ac:dyDescent="0.25">
      <c r="A20" s="202">
        <v>4.0999999999999996</v>
      </c>
      <c r="B20" s="203"/>
      <c r="C20" s="1201" t="s">
        <v>301</v>
      </c>
      <c r="D20" s="1202"/>
      <c r="E20" s="364"/>
      <c r="F20" s="204"/>
      <c r="G20" s="204"/>
      <c r="H20" s="204"/>
      <c r="I20" s="204"/>
      <c r="J20" s="204"/>
      <c r="K20" s="204"/>
    </row>
    <row r="21" spans="1:11" s="205" customFormat="1" ht="14.25" customHeight="1" x14ac:dyDescent="0.25">
      <c r="A21" s="202" t="s">
        <v>223</v>
      </c>
      <c r="B21" s="203"/>
      <c r="C21" s="812" t="s">
        <v>224</v>
      </c>
      <c r="D21" s="807"/>
      <c r="E21" s="364">
        <v>41760</v>
      </c>
      <c r="F21" s="204"/>
      <c r="G21" s="204"/>
      <c r="H21" s="204"/>
      <c r="I21" s="204"/>
      <c r="J21" s="204"/>
      <c r="K21" s="204"/>
    </row>
    <row r="22" spans="1:11" s="205" customFormat="1" ht="14.25" customHeight="1" x14ac:dyDescent="0.25">
      <c r="A22" s="202">
        <v>4.2</v>
      </c>
      <c r="B22" s="203"/>
      <c r="C22" s="336" t="s">
        <v>227</v>
      </c>
      <c r="D22" s="337"/>
      <c r="E22" s="364"/>
      <c r="F22" s="204"/>
      <c r="G22" s="204"/>
      <c r="H22" s="204"/>
      <c r="I22" s="204"/>
      <c r="J22" s="204"/>
      <c r="K22" s="204"/>
    </row>
    <row r="23" spans="1:11" s="205" customFormat="1" ht="14.25" customHeight="1" x14ac:dyDescent="0.25">
      <c r="A23" s="202">
        <v>4.3</v>
      </c>
      <c r="B23" s="203"/>
      <c r="C23" s="1196" t="s">
        <v>82</v>
      </c>
      <c r="D23" s="1197"/>
      <c r="E23" s="364"/>
      <c r="F23" s="204"/>
      <c r="G23" s="204"/>
      <c r="H23" s="204"/>
      <c r="I23" s="204"/>
      <c r="J23" s="204"/>
      <c r="K23" s="204"/>
    </row>
    <row r="24" spans="1:11" s="205" customFormat="1" ht="15" customHeight="1" x14ac:dyDescent="0.25">
      <c r="A24" s="202">
        <v>5.0999999999999996</v>
      </c>
      <c r="B24" s="203"/>
      <c r="C24" s="1196" t="s">
        <v>187</v>
      </c>
      <c r="D24" s="1197"/>
      <c r="E24" s="364"/>
      <c r="F24" s="204"/>
      <c r="G24" s="204"/>
      <c r="H24" s="204"/>
      <c r="I24" s="204"/>
      <c r="J24" s="204"/>
      <c r="K24" s="204"/>
    </row>
    <row r="25" spans="1:11" s="205" customFormat="1" ht="15" customHeight="1" x14ac:dyDescent="0.25">
      <c r="A25" s="202">
        <v>5.2</v>
      </c>
      <c r="B25" s="203"/>
      <c r="C25" s="1196" t="s">
        <v>186</v>
      </c>
      <c r="D25" s="1197"/>
      <c r="E25" s="364"/>
      <c r="F25" s="204"/>
      <c r="G25" s="204"/>
      <c r="H25" s="204"/>
      <c r="I25" s="204"/>
      <c r="J25" s="204"/>
      <c r="K25" s="204"/>
    </row>
    <row r="26" spans="1:11" s="205" customFormat="1" ht="14.25" x14ac:dyDescent="0.25">
      <c r="A26" s="202">
        <v>5.3</v>
      </c>
      <c r="B26" s="203"/>
      <c r="C26" s="336" t="s">
        <v>185</v>
      </c>
      <c r="D26" s="337"/>
      <c r="E26" s="364"/>
      <c r="F26" s="204"/>
      <c r="G26" s="204"/>
      <c r="H26" s="204"/>
      <c r="I26" s="204"/>
      <c r="J26" s="204"/>
      <c r="K26" s="204"/>
    </row>
    <row r="27" spans="1:11" s="205" customFormat="1" ht="14.25" x14ac:dyDescent="0.25">
      <c r="A27" s="202">
        <v>5.4</v>
      </c>
      <c r="B27" s="203"/>
      <c r="C27" s="336" t="s">
        <v>21</v>
      </c>
      <c r="D27" s="337"/>
      <c r="E27" s="364"/>
      <c r="F27" s="204"/>
      <c r="G27" s="204"/>
      <c r="H27" s="204"/>
      <c r="I27" s="204"/>
      <c r="J27" s="204"/>
      <c r="K27" s="204"/>
    </row>
    <row r="28" spans="1:11" s="205" customFormat="1" ht="14.25" x14ac:dyDescent="0.25">
      <c r="A28" s="202">
        <v>6.1</v>
      </c>
      <c r="B28" s="338"/>
      <c r="C28" s="336" t="s">
        <v>85</v>
      </c>
      <c r="D28" s="337"/>
      <c r="E28" s="364"/>
      <c r="F28" s="204"/>
      <c r="G28" s="204"/>
      <c r="H28" s="204"/>
      <c r="I28" s="204"/>
      <c r="J28" s="204"/>
      <c r="K28" s="204"/>
    </row>
    <row r="29" spans="1:11" s="205" customFormat="1" ht="14.25" x14ac:dyDescent="0.25">
      <c r="A29" s="202">
        <v>6.2</v>
      </c>
      <c r="B29" s="338"/>
      <c r="C29" s="336" t="s">
        <v>285</v>
      </c>
      <c r="D29" s="337"/>
      <c r="E29" s="364">
        <v>42835</v>
      </c>
      <c r="F29" s="204"/>
      <c r="G29" s="204"/>
      <c r="H29" s="204"/>
      <c r="I29" s="204"/>
      <c r="J29" s="204"/>
      <c r="K29" s="204"/>
    </row>
    <row r="30" spans="1:11" s="205" customFormat="1" ht="14.25" x14ac:dyDescent="0.25">
      <c r="A30" s="202">
        <v>7.1</v>
      </c>
      <c r="B30" s="203"/>
      <c r="C30" s="336" t="s">
        <v>86</v>
      </c>
      <c r="D30" s="337"/>
      <c r="E30" s="364"/>
      <c r="F30" s="204"/>
      <c r="G30" s="204"/>
      <c r="H30" s="204"/>
      <c r="I30" s="204"/>
      <c r="J30" s="204"/>
      <c r="K30" s="204"/>
    </row>
    <row r="31" spans="1:11" s="205" customFormat="1" ht="14.25" x14ac:dyDescent="0.25">
      <c r="A31" s="202">
        <v>7.2</v>
      </c>
      <c r="B31" s="203"/>
      <c r="C31" s="336" t="s">
        <v>166</v>
      </c>
      <c r="D31" s="337"/>
      <c r="E31" s="364"/>
      <c r="F31" s="204"/>
      <c r="G31" s="204"/>
      <c r="H31" s="204"/>
      <c r="I31" s="204"/>
      <c r="J31" s="204"/>
      <c r="K31" s="204"/>
    </row>
    <row r="32" spans="1:11" s="205" customFormat="1" ht="14.25" x14ac:dyDescent="0.25">
      <c r="A32" s="202">
        <v>7.3</v>
      </c>
      <c r="B32" s="203"/>
      <c r="C32" s="334" t="s">
        <v>22</v>
      </c>
      <c r="D32" s="335"/>
      <c r="E32" s="364"/>
      <c r="F32" s="204"/>
      <c r="G32" s="204"/>
      <c r="H32" s="204"/>
      <c r="I32" s="204"/>
      <c r="J32" s="204"/>
      <c r="K32" s="204"/>
    </row>
    <row r="33" spans="1:11" s="205" customFormat="1" ht="14.25" x14ac:dyDescent="0.25">
      <c r="A33" s="202">
        <v>7.4</v>
      </c>
      <c r="B33" s="203"/>
      <c r="C33" s="334" t="s">
        <v>87</v>
      </c>
      <c r="D33" s="335"/>
      <c r="E33" s="364"/>
      <c r="F33" s="204"/>
      <c r="G33" s="204"/>
      <c r="H33" s="204"/>
      <c r="I33" s="204"/>
      <c r="J33" s="204"/>
      <c r="K33" s="204"/>
    </row>
    <row r="34" spans="1:11" s="205" customFormat="1" ht="14.25" x14ac:dyDescent="0.25">
      <c r="A34" s="202">
        <v>7.5</v>
      </c>
      <c r="B34" s="203"/>
      <c r="C34" s="334" t="s">
        <v>218</v>
      </c>
      <c r="D34" s="335"/>
      <c r="E34" s="364">
        <v>41760</v>
      </c>
      <c r="F34" s="204"/>
      <c r="G34" s="204"/>
      <c r="H34" s="204"/>
      <c r="I34" s="204"/>
      <c r="J34" s="204"/>
      <c r="K34" s="204"/>
    </row>
    <row r="35" spans="1:11" s="205" customFormat="1" ht="14.25" x14ac:dyDescent="0.25">
      <c r="A35" s="202">
        <v>7.6</v>
      </c>
      <c r="B35" s="203"/>
      <c r="C35" s="334" t="s">
        <v>88</v>
      </c>
      <c r="D35" s="335"/>
      <c r="E35" s="364"/>
      <c r="F35" s="204"/>
      <c r="G35" s="204"/>
      <c r="H35" s="204"/>
      <c r="I35" s="204"/>
      <c r="J35" s="204"/>
      <c r="K35" s="204"/>
    </row>
    <row r="36" spans="1:11" s="205" customFormat="1" x14ac:dyDescent="0.25">
      <c r="A36" s="202">
        <v>8.1</v>
      </c>
      <c r="B36" s="203"/>
      <c r="C36" s="336" t="s">
        <v>64</v>
      </c>
      <c r="D36" s="337"/>
      <c r="E36" s="364"/>
      <c r="F36" s="339"/>
      <c r="G36" s="339"/>
      <c r="H36" s="340"/>
      <c r="I36" s="340"/>
      <c r="J36" s="340"/>
      <c r="K36" s="204"/>
    </row>
    <row r="37" spans="1:11" s="205" customFormat="1" x14ac:dyDescent="0.25">
      <c r="A37" s="202">
        <v>8.1999999999999993</v>
      </c>
      <c r="B37" s="203"/>
      <c r="C37" s="336" t="s">
        <v>23</v>
      </c>
      <c r="D37" s="337"/>
      <c r="E37" s="364"/>
      <c r="F37" s="339"/>
      <c r="G37" s="339"/>
      <c r="H37" s="341"/>
      <c r="I37" s="341"/>
      <c r="J37" s="341"/>
      <c r="K37" s="204"/>
    </row>
    <row r="38" spans="1:11" s="205" customFormat="1" x14ac:dyDescent="0.25">
      <c r="A38" s="202">
        <v>8.3000000000000007</v>
      </c>
      <c r="B38" s="203"/>
      <c r="C38" s="336" t="s">
        <v>48</v>
      </c>
      <c r="D38" s="337"/>
      <c r="E38" s="364"/>
      <c r="F38" s="339"/>
      <c r="G38" s="339"/>
      <c r="H38" s="341"/>
      <c r="I38" s="341"/>
      <c r="J38" s="341"/>
      <c r="K38" s="204"/>
    </row>
    <row r="39" spans="1:11" s="205" customFormat="1" x14ac:dyDescent="0.25">
      <c r="A39" s="202">
        <v>8.4</v>
      </c>
      <c r="B39" s="203"/>
      <c r="C39" s="336" t="s">
        <v>244</v>
      </c>
      <c r="D39" s="337"/>
      <c r="E39" s="364">
        <v>42016</v>
      </c>
      <c r="F39" s="339"/>
      <c r="G39" s="339"/>
      <c r="H39" s="873"/>
      <c r="I39" s="873"/>
      <c r="J39" s="873"/>
      <c r="K39" s="204"/>
    </row>
    <row r="40" spans="1:11" s="205" customFormat="1" x14ac:dyDescent="0.25">
      <c r="A40" s="202">
        <v>8.5</v>
      </c>
      <c r="B40" s="203"/>
      <c r="C40" s="336" t="s">
        <v>241</v>
      </c>
      <c r="D40" s="337"/>
      <c r="E40" s="364">
        <v>41973</v>
      </c>
      <c r="F40" s="339"/>
      <c r="G40" s="339"/>
      <c r="H40" s="868"/>
      <c r="I40" s="868"/>
      <c r="J40" s="868"/>
      <c r="K40" s="204"/>
    </row>
    <row r="41" spans="1:11" s="205" customFormat="1" x14ac:dyDescent="0.25">
      <c r="A41" s="202">
        <v>8.6</v>
      </c>
      <c r="B41" s="203"/>
      <c r="C41" s="334" t="s">
        <v>24</v>
      </c>
      <c r="D41" s="335"/>
      <c r="E41" s="364"/>
      <c r="F41" s="339"/>
      <c r="G41" s="339"/>
      <c r="H41" s="340"/>
      <c r="I41" s="340"/>
      <c r="J41" s="340"/>
      <c r="K41" s="204"/>
    </row>
    <row r="42" spans="1:11" s="205" customFormat="1" x14ac:dyDescent="0.25">
      <c r="A42" s="202">
        <v>8.6999999999999993</v>
      </c>
      <c r="B42" s="203"/>
      <c r="C42" s="336" t="s">
        <v>27</v>
      </c>
      <c r="D42" s="337"/>
      <c r="E42" s="364"/>
      <c r="F42" s="339"/>
      <c r="G42" s="339"/>
      <c r="H42" s="341"/>
      <c r="I42" s="341"/>
      <c r="J42" s="341"/>
      <c r="K42" s="204"/>
    </row>
    <row r="43" spans="1:11" s="205" customFormat="1" x14ac:dyDescent="0.25">
      <c r="A43" s="202">
        <v>8.8000000000000007</v>
      </c>
      <c r="B43" s="203"/>
      <c r="C43" s="336" t="s">
        <v>25</v>
      </c>
      <c r="D43" s="337"/>
      <c r="E43" s="364"/>
      <c r="F43" s="339"/>
      <c r="G43" s="339"/>
      <c r="H43" s="341"/>
      <c r="I43" s="341"/>
      <c r="J43" s="341"/>
      <c r="K43" s="204"/>
    </row>
    <row r="44" spans="1:11" s="205" customFormat="1" x14ac:dyDescent="0.25">
      <c r="A44" s="202">
        <v>8.9</v>
      </c>
      <c r="B44" s="203"/>
      <c r="C44" s="336" t="s">
        <v>26</v>
      </c>
      <c r="D44" s="337"/>
      <c r="E44" s="364"/>
      <c r="F44" s="339"/>
      <c r="G44" s="339"/>
      <c r="H44" s="341"/>
      <c r="I44" s="341"/>
      <c r="J44" s="341"/>
      <c r="K44" s="204"/>
    </row>
    <row r="45" spans="1:11" s="205" customFormat="1" x14ac:dyDescent="0.25">
      <c r="A45" s="342">
        <v>8.1</v>
      </c>
      <c r="B45" s="203"/>
      <c r="C45" s="336" t="s">
        <v>176</v>
      </c>
      <c r="D45" s="337"/>
      <c r="E45" s="364"/>
      <c r="F45" s="339"/>
      <c r="G45" s="339"/>
      <c r="H45" s="341"/>
      <c r="I45" s="341"/>
      <c r="J45" s="341"/>
      <c r="K45" s="204"/>
    </row>
    <row r="46" spans="1:11" s="205" customFormat="1" x14ac:dyDescent="0.25">
      <c r="A46" s="202">
        <v>8.11</v>
      </c>
      <c r="B46" s="203"/>
      <c r="C46" s="336" t="s">
        <v>99</v>
      </c>
      <c r="D46" s="337"/>
      <c r="E46" s="364"/>
      <c r="F46" s="339"/>
      <c r="G46" s="339"/>
      <c r="H46" s="341"/>
      <c r="I46" s="341"/>
      <c r="J46" s="341"/>
      <c r="K46" s="204"/>
    </row>
    <row r="47" spans="1:11" s="205" customFormat="1" x14ac:dyDescent="0.25">
      <c r="A47" s="202">
        <v>8.1199999999999992</v>
      </c>
      <c r="B47" s="203"/>
      <c r="C47" s="336" t="s">
        <v>65</v>
      </c>
      <c r="D47" s="337"/>
      <c r="E47" s="364"/>
      <c r="F47" s="339"/>
      <c r="G47" s="339"/>
      <c r="H47" s="341"/>
      <c r="I47" s="341"/>
      <c r="J47" s="341"/>
      <c r="K47" s="204"/>
    </row>
    <row r="48" spans="1:11" s="205" customFormat="1" x14ac:dyDescent="0.25">
      <c r="A48" s="202">
        <v>8.1300000000000008</v>
      </c>
      <c r="B48" s="203"/>
      <c r="C48" s="336" t="s">
        <v>66</v>
      </c>
      <c r="D48" s="337"/>
      <c r="E48" s="364"/>
      <c r="F48" s="339"/>
      <c r="G48" s="339"/>
      <c r="H48" s="1124"/>
      <c r="I48" s="1124"/>
      <c r="J48" s="1124"/>
      <c r="K48" s="204"/>
    </row>
    <row r="49" spans="1:11" s="205" customFormat="1" ht="14.25" x14ac:dyDescent="0.25">
      <c r="A49" s="202">
        <v>9.1</v>
      </c>
      <c r="B49" s="343"/>
      <c r="C49" s="344" t="s">
        <v>72</v>
      </c>
      <c r="D49" s="345"/>
      <c r="E49" s="364"/>
      <c r="F49" s="204"/>
      <c r="G49" s="204"/>
      <c r="H49" s="204"/>
      <c r="I49" s="204"/>
      <c r="J49" s="204"/>
      <c r="K49" s="204"/>
    </row>
    <row r="50" spans="1:11" s="205" customFormat="1" ht="14.25" x14ac:dyDescent="0.25">
      <c r="A50" s="202">
        <v>9.1999999999999993</v>
      </c>
      <c r="B50" s="343"/>
      <c r="C50" s="344" t="s">
        <v>73</v>
      </c>
      <c r="D50" s="345"/>
      <c r="E50" s="364"/>
      <c r="F50" s="204"/>
      <c r="G50" s="204"/>
      <c r="H50" s="204"/>
      <c r="I50" s="204"/>
      <c r="J50" s="204"/>
      <c r="K50" s="204"/>
    </row>
    <row r="51" spans="1:11" s="205" customFormat="1" ht="14.25" x14ac:dyDescent="0.25">
      <c r="A51" s="202">
        <v>9.3000000000000007</v>
      </c>
      <c r="B51" s="343"/>
      <c r="C51" s="344" t="s">
        <v>74</v>
      </c>
      <c r="D51" s="345"/>
      <c r="E51" s="364"/>
      <c r="F51" s="204"/>
      <c r="G51" s="204"/>
      <c r="H51" s="204"/>
      <c r="I51" s="204"/>
      <c r="J51" s="204"/>
      <c r="K51" s="204"/>
    </row>
    <row r="52" spans="1:11" s="205" customFormat="1" ht="14.25" x14ac:dyDescent="0.25">
      <c r="A52" s="202">
        <v>9.4</v>
      </c>
      <c r="B52" s="343"/>
      <c r="C52" s="344" t="s">
        <v>75</v>
      </c>
      <c r="D52" s="345"/>
      <c r="E52" s="364"/>
      <c r="F52" s="204"/>
      <c r="G52" s="204"/>
      <c r="H52" s="204"/>
      <c r="I52" s="204"/>
      <c r="J52" s="204"/>
      <c r="K52" s="204"/>
    </row>
    <row r="53" spans="1:11" s="204" customFormat="1" thickBot="1" x14ac:dyDescent="0.3">
      <c r="A53" s="346">
        <v>9.5</v>
      </c>
      <c r="B53" s="347"/>
      <c r="C53" s="348" t="s">
        <v>170</v>
      </c>
      <c r="D53" s="349"/>
      <c r="E53" s="364"/>
    </row>
    <row r="54" spans="1:11" s="204" customFormat="1" ht="14.25" x14ac:dyDescent="0.25">
      <c r="A54" s="350"/>
      <c r="B54" s="351"/>
      <c r="C54" s="344"/>
      <c r="D54" s="344"/>
      <c r="E54" s="364"/>
    </row>
    <row r="55" spans="1:11" s="204" customFormat="1" ht="14.25" x14ac:dyDescent="0.25">
      <c r="A55" s="350"/>
      <c r="B55" s="351"/>
      <c r="C55" s="344"/>
      <c r="D55" s="344"/>
      <c r="E55" s="364"/>
    </row>
    <row r="56" spans="1:11" s="204" customFormat="1" ht="14.25" x14ac:dyDescent="0.25">
      <c r="A56" s="350"/>
      <c r="B56" s="351"/>
      <c r="C56" s="344"/>
      <c r="D56" s="344"/>
      <c r="E56" s="364"/>
    </row>
    <row r="57" spans="1:11" s="204" customFormat="1" ht="14.25" x14ac:dyDescent="0.25">
      <c r="A57" s="350"/>
      <c r="B57" s="351"/>
      <c r="C57" s="344"/>
      <c r="D57" s="344"/>
      <c r="E57" s="364"/>
    </row>
    <row r="58" spans="1:11" s="204" customFormat="1" ht="14.25" x14ac:dyDescent="0.25">
      <c r="A58" s="350"/>
      <c r="B58" s="351"/>
      <c r="C58" s="344"/>
      <c r="D58" s="344"/>
      <c r="E58" s="364"/>
    </row>
    <row r="59" spans="1:11" s="204" customFormat="1" ht="14.25" x14ac:dyDescent="0.25">
      <c r="A59" s="350"/>
      <c r="B59" s="351"/>
      <c r="C59" s="344"/>
      <c r="D59" s="344"/>
      <c r="E59" s="364"/>
    </row>
    <row r="60" spans="1:11" s="204" customFormat="1" ht="14.25" x14ac:dyDescent="0.25">
      <c r="A60" s="350"/>
      <c r="B60" s="351"/>
      <c r="C60" s="344"/>
      <c r="D60" s="344"/>
      <c r="E60" s="364"/>
    </row>
    <row r="61" spans="1:11" s="204" customFormat="1" ht="14.25" x14ac:dyDescent="0.25">
      <c r="A61" s="350"/>
      <c r="B61" s="351"/>
      <c r="C61" s="344"/>
      <c r="D61" s="344"/>
      <c r="E61" s="364"/>
    </row>
    <row r="62" spans="1:11" s="204" customFormat="1" ht="14.25" x14ac:dyDescent="0.25">
      <c r="A62" s="350"/>
      <c r="B62" s="351"/>
      <c r="C62" s="344"/>
      <c r="D62" s="344"/>
      <c r="E62" s="364"/>
    </row>
    <row r="63" spans="1:11" s="204" customFormat="1" ht="14.25" x14ac:dyDescent="0.25">
      <c r="A63" s="350"/>
      <c r="B63" s="351"/>
      <c r="C63" s="344"/>
      <c r="D63" s="344"/>
      <c r="E63" s="364"/>
    </row>
    <row r="64" spans="1:11" s="204" customFormat="1" ht="14.25" x14ac:dyDescent="0.25">
      <c r="A64" s="350"/>
      <c r="B64" s="351"/>
      <c r="C64" s="344"/>
      <c r="D64" s="344"/>
      <c r="E64" s="364"/>
    </row>
    <row r="65" spans="1:11" s="204" customFormat="1" ht="14.25" x14ac:dyDescent="0.25">
      <c r="A65" s="350"/>
      <c r="B65" s="351"/>
      <c r="C65" s="344"/>
      <c r="D65" s="344"/>
      <c r="E65" s="364"/>
    </row>
    <row r="66" spans="1:11" s="204" customFormat="1" ht="14.25" x14ac:dyDescent="0.25">
      <c r="A66" s="350"/>
      <c r="B66" s="351"/>
      <c r="C66" s="344"/>
      <c r="D66" s="344"/>
      <c r="E66" s="364"/>
    </row>
    <row r="67" spans="1:11" s="204" customFormat="1" ht="14.25" x14ac:dyDescent="0.25">
      <c r="A67" s="350"/>
      <c r="B67" s="351"/>
      <c r="C67" s="344"/>
      <c r="D67" s="344"/>
      <c r="E67" s="364"/>
    </row>
    <row r="68" spans="1:11" s="204" customFormat="1" ht="14.25" x14ac:dyDescent="0.25">
      <c r="A68" s="350"/>
      <c r="B68" s="351"/>
      <c r="C68" s="344"/>
      <c r="D68" s="344"/>
      <c r="E68" s="364"/>
    </row>
    <row r="69" spans="1:11" s="204" customFormat="1" ht="14.25" x14ac:dyDescent="0.25">
      <c r="A69" s="350"/>
      <c r="B69" s="351"/>
      <c r="C69" s="344"/>
      <c r="D69" s="344"/>
      <c r="E69" s="364"/>
    </row>
    <row r="70" spans="1:11" s="204" customFormat="1" ht="14.25" x14ac:dyDescent="0.25">
      <c r="A70" s="350"/>
      <c r="B70" s="351"/>
      <c r="C70" s="344"/>
      <c r="D70" s="344"/>
      <c r="E70" s="364"/>
    </row>
    <row r="71" spans="1:11" s="204" customFormat="1" ht="14.25" x14ac:dyDescent="0.25">
      <c r="A71" s="350"/>
      <c r="B71" s="351"/>
      <c r="C71" s="344"/>
      <c r="D71" s="344"/>
      <c r="E71" s="364"/>
    </row>
    <row r="72" spans="1:11" s="204" customFormat="1" ht="14.25" x14ac:dyDescent="0.25">
      <c r="A72" s="350"/>
      <c r="B72" s="351"/>
      <c r="C72" s="344"/>
      <c r="D72" s="344"/>
      <c r="E72" s="364"/>
    </row>
    <row r="73" spans="1:11" s="204" customFormat="1" ht="14.25" x14ac:dyDescent="0.25">
      <c r="A73" s="350"/>
      <c r="B73" s="351"/>
      <c r="C73" s="344"/>
      <c r="D73" s="344"/>
      <c r="E73" s="364"/>
    </row>
    <row r="74" spans="1:11" s="204" customFormat="1" ht="14.25" x14ac:dyDescent="0.25">
      <c r="A74" s="350"/>
      <c r="B74" s="351"/>
      <c r="C74" s="344"/>
      <c r="D74" s="344"/>
      <c r="E74" s="364"/>
    </row>
    <row r="75" spans="1:11" s="204" customFormat="1" ht="14.25" x14ac:dyDescent="0.25">
      <c r="A75" s="350"/>
      <c r="B75" s="351"/>
      <c r="C75" s="344"/>
      <c r="D75" s="344"/>
      <c r="E75" s="364"/>
    </row>
    <row r="76" spans="1:11" s="204" customFormat="1" ht="14.25" x14ac:dyDescent="0.25">
      <c r="A76" s="350"/>
      <c r="B76" s="351"/>
      <c r="C76" s="344"/>
      <c r="D76" s="344"/>
      <c r="E76" s="364"/>
    </row>
    <row r="77" spans="1:11" s="204" customFormat="1" ht="14.25" x14ac:dyDescent="0.25">
      <c r="A77" s="350"/>
      <c r="B77" s="351"/>
      <c r="C77" s="344"/>
      <c r="D77" s="344"/>
      <c r="E77" s="364"/>
    </row>
    <row r="78" spans="1:11" s="204" customFormat="1" ht="14.25" x14ac:dyDescent="0.25">
      <c r="A78" s="350"/>
      <c r="B78" s="351"/>
      <c r="C78" s="344"/>
      <c r="D78" s="344"/>
      <c r="E78" s="364"/>
    </row>
    <row r="79" spans="1:11" s="354" customFormat="1" hidden="1" outlineLevel="1" x14ac:dyDescent="0.25">
      <c r="A79" s="352"/>
      <c r="B79" s="353"/>
      <c r="E79" s="870"/>
      <c r="F79" s="355"/>
      <c r="G79" s="355"/>
      <c r="H79" s="355"/>
      <c r="I79" s="355"/>
      <c r="J79" s="355"/>
      <c r="K79" s="355"/>
    </row>
    <row r="80" spans="1:11" s="358" customFormat="1" ht="8.25" hidden="1" customHeight="1" outlineLevel="1" x14ac:dyDescent="0.25">
      <c r="A80" s="356"/>
      <c r="B80" s="357"/>
      <c r="E80" s="870"/>
      <c r="F80" s="355"/>
      <c r="G80" s="355"/>
      <c r="H80" s="355"/>
      <c r="I80" s="355"/>
      <c r="J80" s="355"/>
      <c r="K80" s="355"/>
    </row>
    <row r="81" spans="1:11" s="358" customFormat="1" ht="15" hidden="1" customHeight="1" outlineLevel="1" x14ac:dyDescent="0.25">
      <c r="A81" s="359"/>
      <c r="B81" s="360"/>
      <c r="E81" s="870"/>
      <c r="F81" s="355"/>
      <c r="G81" s="355"/>
      <c r="H81" s="355"/>
      <c r="I81" s="355"/>
      <c r="J81" s="355"/>
      <c r="K81" s="355"/>
    </row>
    <row r="82" spans="1:11" s="358" customFormat="1" ht="15" hidden="1" customHeight="1" outlineLevel="1" x14ac:dyDescent="0.25">
      <c r="A82" s="359"/>
      <c r="B82" s="360"/>
      <c r="E82" s="870"/>
      <c r="F82" s="355"/>
      <c r="G82" s="355"/>
      <c r="H82" s="355"/>
      <c r="I82" s="355"/>
      <c r="J82" s="355"/>
      <c r="K82" s="355"/>
    </row>
    <row r="83" spans="1:11" s="358" customFormat="1" ht="15" hidden="1" customHeight="1" outlineLevel="1" x14ac:dyDescent="0.25">
      <c r="A83" s="359"/>
      <c r="B83" s="360"/>
      <c r="E83" s="870"/>
      <c r="F83" s="355"/>
      <c r="G83" s="355"/>
      <c r="H83" s="355"/>
      <c r="I83" s="355"/>
      <c r="J83" s="355"/>
      <c r="K83" s="355"/>
    </row>
    <row r="84" spans="1:11" s="358" customFormat="1" ht="15" hidden="1" customHeight="1" outlineLevel="1" x14ac:dyDescent="0.25">
      <c r="A84" s="359"/>
      <c r="B84" s="360"/>
      <c r="E84" s="870"/>
      <c r="F84" s="355"/>
      <c r="G84" s="355"/>
      <c r="H84" s="355"/>
      <c r="I84" s="355"/>
      <c r="J84" s="355"/>
      <c r="K84" s="355"/>
    </row>
    <row r="85" spans="1:11" s="358" customFormat="1" ht="15" hidden="1" customHeight="1" outlineLevel="1" x14ac:dyDescent="0.25">
      <c r="A85" s="359"/>
      <c r="B85" s="360"/>
      <c r="E85" s="870"/>
      <c r="F85" s="355"/>
      <c r="G85" s="355"/>
      <c r="H85" s="355"/>
      <c r="I85" s="355"/>
      <c r="J85" s="355"/>
      <c r="K85" s="355"/>
    </row>
    <row r="86" spans="1:11" s="358" customFormat="1" ht="15" hidden="1" customHeight="1" outlineLevel="1" x14ac:dyDescent="0.25">
      <c r="A86" s="359"/>
      <c r="B86" s="360"/>
      <c r="E86" s="870"/>
      <c r="F86" s="355"/>
      <c r="G86" s="355"/>
      <c r="H86" s="355"/>
      <c r="I86" s="355"/>
      <c r="J86" s="355"/>
      <c r="K86" s="355"/>
    </row>
    <row r="87" spans="1:11" s="358" customFormat="1" ht="15" hidden="1" customHeight="1" outlineLevel="1" x14ac:dyDescent="0.25">
      <c r="A87" s="359"/>
      <c r="B87" s="360"/>
      <c r="E87" s="870"/>
      <c r="F87" s="355"/>
      <c r="G87" s="355"/>
      <c r="H87" s="355"/>
      <c r="I87" s="355"/>
      <c r="J87" s="355"/>
      <c r="K87" s="355"/>
    </row>
    <row r="88" spans="1:11" s="358" customFormat="1" ht="15" hidden="1" customHeight="1" outlineLevel="1" x14ac:dyDescent="0.25">
      <c r="A88" s="359"/>
      <c r="B88" s="360"/>
      <c r="E88" s="870"/>
      <c r="F88" s="355"/>
      <c r="G88" s="355"/>
      <c r="H88" s="355"/>
      <c r="I88" s="355"/>
      <c r="J88" s="355"/>
      <c r="K88" s="355"/>
    </row>
    <row r="89" spans="1:11" s="358" customFormat="1" ht="15" hidden="1" customHeight="1" outlineLevel="1" x14ac:dyDescent="0.25">
      <c r="A89" s="359"/>
      <c r="B89" s="360"/>
      <c r="E89" s="870"/>
      <c r="F89" s="355"/>
      <c r="G89" s="355"/>
      <c r="H89" s="355"/>
      <c r="I89" s="355"/>
      <c r="J89" s="355"/>
      <c r="K89" s="355"/>
    </row>
    <row r="90" spans="1:11" s="358" customFormat="1" ht="15" hidden="1" customHeight="1" outlineLevel="1" x14ac:dyDescent="0.25">
      <c r="A90" s="359"/>
      <c r="B90" s="360"/>
      <c r="E90" s="870"/>
      <c r="F90" s="355"/>
      <c r="G90" s="355"/>
      <c r="H90" s="355"/>
      <c r="I90" s="355"/>
      <c r="J90" s="355"/>
      <c r="K90" s="355"/>
    </row>
    <row r="91" spans="1:11" s="358" customFormat="1" ht="15" hidden="1" customHeight="1" outlineLevel="1" x14ac:dyDescent="0.25">
      <c r="A91" s="359"/>
      <c r="B91" s="360"/>
      <c r="E91" s="870"/>
      <c r="F91" s="355"/>
      <c r="G91" s="355"/>
      <c r="H91" s="355"/>
      <c r="I91" s="355"/>
      <c r="J91" s="355"/>
      <c r="K91" s="355"/>
    </row>
    <row r="92" spans="1:11" s="358" customFormat="1" ht="15" hidden="1" customHeight="1" outlineLevel="1" x14ac:dyDescent="0.25">
      <c r="A92" s="359"/>
      <c r="B92" s="360"/>
      <c r="E92" s="870"/>
      <c r="F92" s="355"/>
      <c r="G92" s="355"/>
      <c r="H92" s="355"/>
      <c r="I92" s="355"/>
      <c r="J92" s="355"/>
      <c r="K92" s="355"/>
    </row>
    <row r="93" spans="1:11" s="358" customFormat="1" ht="15" hidden="1" customHeight="1" outlineLevel="1" x14ac:dyDescent="0.25">
      <c r="A93" s="359"/>
      <c r="B93" s="360"/>
      <c r="E93" s="870"/>
      <c r="F93" s="355"/>
      <c r="G93" s="355"/>
      <c r="H93" s="355"/>
      <c r="I93" s="355"/>
      <c r="J93" s="355"/>
      <c r="K93" s="355"/>
    </row>
    <row r="94" spans="1:11" s="358" customFormat="1" ht="15" hidden="1" customHeight="1" outlineLevel="1" x14ac:dyDescent="0.25">
      <c r="A94" s="359"/>
      <c r="B94" s="360"/>
      <c r="E94" s="870"/>
      <c r="F94" s="355"/>
      <c r="G94" s="355"/>
      <c r="H94" s="355"/>
      <c r="I94" s="355"/>
      <c r="J94" s="355"/>
      <c r="K94" s="355"/>
    </row>
    <row r="95" spans="1:11" s="358" customFormat="1" ht="15" hidden="1" customHeight="1" outlineLevel="1" x14ac:dyDescent="0.25">
      <c r="A95" s="359"/>
      <c r="B95" s="360"/>
      <c r="E95" s="870"/>
      <c r="F95" s="355"/>
      <c r="G95" s="355"/>
      <c r="H95" s="355"/>
      <c r="I95" s="355"/>
      <c r="J95" s="355"/>
      <c r="K95" s="355"/>
    </row>
    <row r="96" spans="1:11" s="358" customFormat="1" ht="15" hidden="1" customHeight="1" outlineLevel="1" x14ac:dyDescent="0.25">
      <c r="A96" s="359"/>
      <c r="B96" s="360"/>
      <c r="E96" s="870"/>
      <c r="F96" s="355"/>
      <c r="G96" s="355"/>
      <c r="H96" s="355"/>
      <c r="I96" s="355"/>
      <c r="J96" s="355"/>
      <c r="K96" s="355"/>
    </row>
    <row r="97" spans="1:11" s="358" customFormat="1" ht="15" hidden="1" customHeight="1" outlineLevel="1" x14ac:dyDescent="0.25">
      <c r="A97" s="359"/>
      <c r="B97" s="360"/>
      <c r="E97" s="870"/>
      <c r="F97" s="355"/>
      <c r="G97" s="355"/>
      <c r="H97" s="355"/>
      <c r="I97" s="355"/>
      <c r="J97" s="355"/>
      <c r="K97" s="355"/>
    </row>
    <row r="98" spans="1:11" s="358" customFormat="1" ht="15" hidden="1" customHeight="1" outlineLevel="1" x14ac:dyDescent="0.25">
      <c r="A98" s="359"/>
      <c r="B98" s="360"/>
      <c r="E98" s="870"/>
      <c r="F98" s="355"/>
      <c r="G98" s="355"/>
      <c r="H98" s="355"/>
      <c r="I98" s="355"/>
      <c r="J98" s="355"/>
      <c r="K98" s="355"/>
    </row>
    <row r="99" spans="1:11" s="358" customFormat="1" ht="15" hidden="1" customHeight="1" outlineLevel="1" x14ac:dyDescent="0.25">
      <c r="A99" s="359"/>
      <c r="B99" s="360"/>
      <c r="E99" s="870"/>
      <c r="F99" s="355"/>
      <c r="G99" s="355"/>
      <c r="H99" s="355"/>
      <c r="I99" s="355"/>
      <c r="J99" s="355"/>
      <c r="K99" s="355"/>
    </row>
    <row r="100" spans="1:11" s="358" customFormat="1" ht="15" hidden="1" customHeight="1" outlineLevel="1" x14ac:dyDescent="0.25">
      <c r="A100" s="359"/>
      <c r="B100" s="360"/>
      <c r="E100" s="870"/>
      <c r="F100" s="355"/>
      <c r="G100" s="355"/>
      <c r="H100" s="355"/>
      <c r="I100" s="355"/>
      <c r="J100" s="355"/>
      <c r="K100" s="355"/>
    </row>
    <row r="101" spans="1:11" s="358" customFormat="1" ht="15" hidden="1" customHeight="1" outlineLevel="1" x14ac:dyDescent="0.25">
      <c r="A101" s="359"/>
      <c r="B101" s="360"/>
      <c r="E101" s="870"/>
      <c r="F101" s="355"/>
      <c r="G101" s="355"/>
      <c r="H101" s="355"/>
      <c r="I101" s="355"/>
      <c r="J101" s="355"/>
      <c r="K101" s="355"/>
    </row>
    <row r="102" spans="1:11" collapsed="1" x14ac:dyDescent="0.25"/>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4" orientation="landscape" r:id="rId1"/>
  <headerFooter>
    <oddHeader>&amp;C&amp;"-,Bold"&amp;14OSC ERP HR/PAYROLL REPORTING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MS205"/>
  <sheetViews>
    <sheetView tabSelected="1" zoomScale="85" zoomScaleNormal="85" workbookViewId="0">
      <pane xSplit="7" ySplit="10" topLeftCell="CZ11" activePane="bottomRight" state="frozen"/>
      <selection activeCell="A4" sqref="A4"/>
      <selection pane="topRight" activeCell="E4" sqref="E4"/>
      <selection pane="bottomLeft" activeCell="A5" sqref="A5"/>
      <selection pane="bottomRight" activeCell="DK12" sqref="DK12"/>
    </sheetView>
  </sheetViews>
  <sheetFormatPr defaultRowHeight="15" outlineLevelRow="2" outlineLevelCol="2" x14ac:dyDescent="0.25"/>
  <cols>
    <col min="1" max="1" width="4.42578125" style="769" customWidth="1"/>
    <col min="2" max="2" width="4.140625" style="15" customWidth="1"/>
    <col min="3" max="3" width="1.85546875" style="6" customWidth="1"/>
    <col min="4" max="4" width="1.28515625" style="6" customWidth="1"/>
    <col min="5" max="5" width="1.7109375" customWidth="1"/>
    <col min="6" max="6" width="4.28515625" customWidth="1"/>
    <col min="7" max="7" width="24.85546875" customWidth="1"/>
    <col min="8" max="8" width="11.42578125" style="20" hidden="1" customWidth="1" outlineLevel="1"/>
    <col min="9" max="9" width="11.42578125" style="27" hidden="1" customWidth="1" outlineLevel="1"/>
    <col min="10" max="10" width="11.42578125" style="20" hidden="1" customWidth="1" outlineLevel="1"/>
    <col min="11" max="11" width="11.42578125" style="27" hidden="1" customWidth="1" outlineLevel="1"/>
    <col min="12" max="12" width="11.42578125" style="20" hidden="1" customWidth="1" outlineLevel="1"/>
    <col min="13" max="13" width="11.42578125" style="27" hidden="1" customWidth="1" outlineLevel="1"/>
    <col min="14" max="14" width="11.42578125" style="20" hidden="1" customWidth="1" outlineLevel="1"/>
    <col min="15" max="15" width="11.42578125" style="27" hidden="1" customWidth="1" outlineLevel="1"/>
    <col min="16" max="16" width="11.42578125" style="20" hidden="1" customWidth="1" outlineLevel="1"/>
    <col min="17" max="17" width="11.42578125" style="27" hidden="1" customWidth="1" outlineLevel="1"/>
    <col min="18" max="18" width="11.42578125" style="20" hidden="1" customWidth="1" outlineLevel="1"/>
    <col min="19" max="19" width="11.42578125" style="27" hidden="1" customWidth="1" outlineLevel="1" collapsed="1"/>
    <col min="20" max="20" width="12.42578125" style="37" hidden="1" customWidth="1" outlineLevel="1" collapsed="1"/>
    <col min="21" max="21" width="11.42578125" style="37" hidden="1" customWidth="1" outlineLevel="1"/>
    <col min="22" max="22" width="11.42578125" style="20" hidden="1" customWidth="1" outlineLevel="2"/>
    <col min="23" max="23" width="11.42578125" style="27" hidden="1" customWidth="1" outlineLevel="2"/>
    <col min="24" max="24" width="11.42578125" style="20" hidden="1" customWidth="1" outlineLevel="2" collapsed="1"/>
    <col min="25" max="25" width="11.42578125" style="27" hidden="1" customWidth="1" outlineLevel="2" collapsed="1"/>
    <col min="26" max="26" width="11.42578125" style="20" hidden="1" customWidth="1" outlineLevel="2"/>
    <col min="27" max="27" width="11.42578125" style="27" hidden="1" customWidth="1" outlineLevel="2" collapsed="1"/>
    <col min="28" max="28" width="11.42578125" style="20" hidden="1" customWidth="1" outlineLevel="2" collapsed="1"/>
    <col min="29" max="29" width="11.42578125" style="27" hidden="1" customWidth="1" outlineLevel="2" collapsed="1"/>
    <col min="30" max="30" width="11.42578125" style="20" hidden="1" customWidth="1" outlineLevel="2" collapsed="1"/>
    <col min="31" max="31" width="11.42578125" style="27" hidden="1" customWidth="1" outlineLevel="2" collapsed="1"/>
    <col min="32" max="32" width="11.42578125" style="20" hidden="1" customWidth="1" outlineLevel="1" collapsed="1"/>
    <col min="33" max="33" width="11.42578125" style="27" hidden="1" customWidth="1" outlineLevel="1" collapsed="1"/>
    <col min="34" max="34" width="12.42578125" style="37" hidden="1" customWidth="1" outlineLevel="1" collapsed="1"/>
    <col min="35" max="35" width="11.42578125" style="37" hidden="1" customWidth="1" outlineLevel="1"/>
    <col min="36" max="36" width="11.42578125" style="20" hidden="1" customWidth="1" outlineLevel="2"/>
    <col min="37" max="37" width="11.42578125" style="27" hidden="1" customWidth="1" outlineLevel="2" collapsed="1"/>
    <col min="38" max="38" width="11.42578125" style="20" hidden="1" customWidth="1" outlineLevel="2" collapsed="1"/>
    <col min="39" max="39" width="11.42578125" style="27" hidden="1" customWidth="1" outlineLevel="2"/>
    <col min="40" max="40" width="11.42578125" style="20" hidden="1" customWidth="1" outlineLevel="2" collapsed="1"/>
    <col min="41" max="41" width="11.42578125" style="27" hidden="1" customWidth="1" outlineLevel="2"/>
    <col min="42" max="42" width="11.42578125" style="20" hidden="1" customWidth="1" outlineLevel="2" collapsed="1"/>
    <col min="43" max="43" width="11.42578125" style="27" hidden="1" customWidth="1" outlineLevel="2" collapsed="1"/>
    <col min="44" max="44" width="11.42578125" style="20" hidden="1" customWidth="1" outlineLevel="2" collapsed="1"/>
    <col min="45" max="45" width="11.42578125" style="27" hidden="1" customWidth="1" outlineLevel="2" collapsed="1"/>
    <col min="46" max="46" width="11.42578125" style="20" hidden="1" customWidth="1" outlineLevel="1" collapsed="1"/>
    <col min="47" max="47" width="11.42578125" style="27" hidden="1" customWidth="1" outlineLevel="1" collapsed="1"/>
    <col min="48" max="48" width="11.85546875" style="37" hidden="1" customWidth="1" outlineLevel="1" collapsed="1"/>
    <col min="49" max="49" width="11.7109375" style="37" hidden="1" customWidth="1" outlineLevel="1"/>
    <col min="50" max="50" width="11.42578125" style="20" hidden="1" customWidth="1" outlineLevel="2"/>
    <col min="51" max="51" width="11.7109375" style="27" hidden="1" customWidth="1" outlineLevel="2" collapsed="1"/>
    <col min="52" max="52" width="11.7109375" style="20" hidden="1" customWidth="1" outlineLevel="2" collapsed="1"/>
    <col min="53" max="53" width="11.7109375" style="27" hidden="1" customWidth="1" outlineLevel="2" collapsed="1"/>
    <col min="54" max="54" width="11.7109375" style="20" hidden="1" customWidth="1" outlineLevel="2" collapsed="1"/>
    <col min="55" max="55" width="11.7109375" style="27" hidden="1" customWidth="1" outlineLevel="2" collapsed="1"/>
    <col min="56" max="56" width="11.7109375" style="20" hidden="1" customWidth="1" outlineLevel="2" collapsed="1"/>
    <col min="57" max="57" width="11.7109375" style="27" hidden="1" customWidth="1" outlineLevel="2" collapsed="1"/>
    <col min="58" max="58" width="11.7109375" style="20" hidden="1" customWidth="1" outlineLevel="2" collapsed="1"/>
    <col min="59" max="59" width="11.7109375" style="27" hidden="1" customWidth="1" outlineLevel="2" collapsed="1"/>
    <col min="60" max="60" width="11.7109375" style="20" hidden="1" customWidth="1" outlineLevel="1" collapsed="1"/>
    <col min="61" max="61" width="11.7109375" style="27" hidden="1" customWidth="1" outlineLevel="1" collapsed="1"/>
    <col min="62" max="62" width="11.85546875" style="37" hidden="1" customWidth="1" outlineLevel="1" collapsed="1"/>
    <col min="63" max="63" width="10.85546875" style="37" hidden="1" customWidth="1" outlineLevel="1"/>
    <col min="64" max="64" width="11.42578125" style="20" hidden="1" customWidth="1" outlineLevel="2"/>
    <col min="65" max="65" width="11.7109375" style="27" hidden="1" customWidth="1" outlineLevel="2" collapsed="1"/>
    <col min="66" max="66" width="11.7109375" style="20" hidden="1" customWidth="1" outlineLevel="2" collapsed="1"/>
    <col min="67" max="67" width="11.7109375" style="27" hidden="1" customWidth="1" outlineLevel="2" collapsed="1"/>
    <col min="68" max="68" width="11.7109375" style="20" hidden="1" customWidth="1" outlineLevel="2" collapsed="1"/>
    <col min="69" max="69" width="11.7109375" style="27" hidden="1" customWidth="1" outlineLevel="2" collapsed="1"/>
    <col min="70" max="70" width="11.7109375" style="20" hidden="1" customWidth="1" outlineLevel="2" collapsed="1"/>
    <col min="71" max="71" width="11.7109375" style="27" hidden="1" customWidth="1" outlineLevel="2" collapsed="1"/>
    <col min="72" max="72" width="11.7109375" style="20" hidden="1" customWidth="1" outlineLevel="2" collapsed="1"/>
    <col min="73" max="73" width="11.7109375" style="27" hidden="1" customWidth="1" outlineLevel="2" collapsed="1"/>
    <col min="74" max="74" width="11.7109375" style="20" hidden="1" customWidth="1" outlineLevel="1" collapsed="1"/>
    <col min="75" max="75" width="11.7109375" style="27" hidden="1" customWidth="1" outlineLevel="1" collapsed="1"/>
    <col min="76" max="76" width="11.5703125" style="37" hidden="1" customWidth="1" outlineLevel="1" collapsed="1"/>
    <col min="77" max="77" width="10.85546875" style="37" hidden="1" customWidth="1" outlineLevel="1"/>
    <col min="78" max="78" width="11.42578125" style="20" hidden="1" customWidth="1" outlineLevel="2"/>
    <col min="79" max="79" width="11.7109375" style="27" hidden="1" customWidth="1" outlineLevel="2" collapsed="1"/>
    <col min="80" max="80" width="11.7109375" style="20" hidden="1" customWidth="1" outlineLevel="2" collapsed="1"/>
    <col min="81" max="81" width="11.7109375" style="27" hidden="1" customWidth="1" outlineLevel="2" collapsed="1"/>
    <col min="82" max="82" width="11.7109375" style="20" hidden="1" customWidth="1" outlineLevel="2" collapsed="1"/>
    <col min="83" max="83" width="11.7109375" style="27" hidden="1" customWidth="1" outlineLevel="2" collapsed="1"/>
    <col min="84" max="84" width="11" style="20" hidden="1" customWidth="1" outlineLevel="2" collapsed="1"/>
    <col min="85" max="85" width="11.7109375" style="27" hidden="1" customWidth="1" outlineLevel="2" collapsed="1"/>
    <col min="86" max="86" width="11.7109375" style="20" hidden="1" customWidth="1" outlineLevel="2" collapsed="1"/>
    <col min="87" max="87" width="11.7109375" style="27" hidden="1" customWidth="1" outlineLevel="2" collapsed="1"/>
    <col min="88" max="88" width="11.7109375" style="20" hidden="1" customWidth="1" outlineLevel="1" collapsed="1"/>
    <col min="89" max="89" width="11.7109375" style="27" hidden="1" customWidth="1" outlineLevel="1" collapsed="1"/>
    <col min="90" max="90" width="12" style="37" hidden="1" customWidth="1" outlineLevel="1" collapsed="1"/>
    <col min="91" max="91" width="10.85546875" style="37" hidden="1" customWidth="1" outlineLevel="1"/>
    <col min="92" max="92" width="11.42578125" style="20" hidden="1" customWidth="1" outlineLevel="1"/>
    <col min="93" max="93" width="11.7109375" style="27" hidden="1" customWidth="1" outlineLevel="1" collapsed="1"/>
    <col min="94" max="94" width="11.7109375" style="20" hidden="1" customWidth="1" outlineLevel="1" collapsed="1"/>
    <col min="95" max="95" width="11.7109375" style="27" hidden="1" customWidth="1" outlineLevel="1" collapsed="1"/>
    <col min="96" max="96" width="11.7109375" style="20" hidden="1" customWidth="1" outlineLevel="1" collapsed="1"/>
    <col min="97" max="97" width="11.7109375" style="27" hidden="1" customWidth="1" outlineLevel="1" collapsed="1"/>
    <col min="98" max="98" width="11" style="20" hidden="1" customWidth="1" outlineLevel="1" collapsed="1"/>
    <col min="99" max="99" width="11.85546875" style="27" hidden="1" customWidth="1" outlineLevel="1" collapsed="1"/>
    <col min="100" max="100" width="11.7109375" style="20" hidden="1" customWidth="1" outlineLevel="1" collapsed="1"/>
    <col min="101" max="101" width="11.7109375" style="27" hidden="1" customWidth="1" outlineLevel="1" collapsed="1"/>
    <col min="102" max="102" width="11.7109375" style="20" hidden="1" customWidth="1" outlineLevel="1" collapsed="1"/>
    <col min="103" max="103" width="11.7109375" style="27" hidden="1" customWidth="1" outlineLevel="1" collapsed="1"/>
    <col min="104" max="104" width="12" style="37" customWidth="1" collapsed="1"/>
    <col min="105" max="105" width="10.85546875" style="37" customWidth="1"/>
    <col min="106" max="106" width="11.42578125" style="20" hidden="1" customWidth="1" outlineLevel="1"/>
    <col min="107" max="107" width="11.7109375" style="27" hidden="1" customWidth="1" outlineLevel="1" collapsed="1"/>
    <col min="108" max="108" width="11.7109375" style="20" hidden="1" customWidth="1" outlineLevel="1" collapsed="1"/>
    <col min="109" max="109" width="11.7109375" style="27" hidden="1" customWidth="1" outlineLevel="1" collapsed="1"/>
    <col min="110" max="110" width="11.7109375" style="20" hidden="1" customWidth="1" outlineLevel="1" collapsed="1"/>
    <col min="111" max="111" width="11.7109375" style="27" hidden="1" customWidth="1" outlineLevel="1" collapsed="1"/>
    <col min="112" max="112" width="11.85546875" style="20" hidden="1" customWidth="1" outlineLevel="1" collapsed="1"/>
    <col min="113" max="113" width="11.85546875" style="27" hidden="1" customWidth="1" outlineLevel="1" collapsed="1"/>
    <col min="114" max="114" width="11.7109375" style="20" customWidth="1" collapsed="1"/>
    <col min="115" max="115" width="11.7109375" style="27" customWidth="1"/>
    <col min="116" max="116" width="11.7109375" style="20" hidden="1" customWidth="1" outlineLevel="1"/>
    <col min="117" max="117" width="11.7109375" style="27" hidden="1" customWidth="1" outlineLevel="1"/>
    <col min="118" max="118" width="12" style="37" customWidth="1" collapsed="1"/>
    <col min="119" max="119" width="10.85546875" style="37" customWidth="1"/>
    <col min="120" max="120" width="11.42578125" style="20" hidden="1" customWidth="1" outlineLevel="1"/>
    <col min="121" max="121" width="11.7109375" style="27" hidden="1" customWidth="1" outlineLevel="1" collapsed="1"/>
    <col min="122" max="122" width="11.7109375" style="20" hidden="1" customWidth="1" outlineLevel="1" collapsed="1"/>
    <col min="123" max="123" width="11.7109375" style="27" hidden="1" customWidth="1" outlineLevel="1" collapsed="1"/>
    <col min="124" max="124" width="11.7109375" style="20" hidden="1" customWidth="1" outlineLevel="1"/>
    <col min="125" max="125" width="11.7109375" style="27" hidden="1" customWidth="1" outlineLevel="1" collapsed="1"/>
    <col min="126" max="126" width="11" style="20" hidden="1" customWidth="1" outlineLevel="1" collapsed="1"/>
    <col min="127" max="127" width="11.85546875" style="27" hidden="1" customWidth="1" outlineLevel="1"/>
    <col min="128" max="128" width="11.7109375" style="20" hidden="1" customWidth="1" outlineLevel="1" collapsed="1"/>
    <col min="129" max="129" width="11.7109375" style="27" hidden="1" customWidth="1" outlineLevel="1"/>
    <col min="130" max="130" width="11.7109375" style="20" hidden="1" customWidth="1" outlineLevel="1"/>
    <col min="131" max="131" width="11.7109375" style="27" hidden="1" customWidth="1" outlineLevel="1"/>
    <col min="132" max="132" width="12" style="37" hidden="1" customWidth="1" outlineLevel="1"/>
    <col min="133" max="133" width="10.85546875" style="37" hidden="1" customWidth="1" outlineLevel="1"/>
    <col min="134" max="134" width="11.28515625" hidden="1" customWidth="1" outlineLevel="1"/>
    <col min="135" max="135" width="11.28515625" style="410" hidden="1" customWidth="1" outlineLevel="1"/>
    <col min="136" max="136" width="11.28515625" hidden="1" customWidth="1" outlineLevel="1"/>
    <col min="137" max="137" width="11.28515625" style="410" hidden="1" customWidth="1" outlineLevel="1"/>
    <col min="138" max="138" width="11.28515625" hidden="1" customWidth="1" outlineLevel="1"/>
    <col min="139" max="139" width="11.28515625" style="410" hidden="1" customWidth="1" outlineLevel="1"/>
    <col min="140" max="140" width="10.85546875" hidden="1" customWidth="1" outlineLevel="1" collapsed="1"/>
    <col min="141" max="141" width="9.7109375" style="410" hidden="1" customWidth="1" outlineLevel="1"/>
    <col min="142" max="142" width="11.28515625" hidden="1" customWidth="1" outlineLevel="1" collapsed="1"/>
    <col min="143" max="143" width="11.28515625" style="410" hidden="1" customWidth="1" outlineLevel="1"/>
    <col min="144" max="144" width="11.28515625" hidden="1" customWidth="1" outlineLevel="1" collapsed="1"/>
    <col min="145" max="145" width="11.28515625" style="410" hidden="1" customWidth="1" outlineLevel="1"/>
    <col min="146" max="146" width="11.28515625" hidden="1" customWidth="1" outlineLevel="1" collapsed="1"/>
    <col min="147" max="147" width="11.28515625" style="410" hidden="1" customWidth="1" outlineLevel="1"/>
    <col min="148" max="148" width="11.28515625" hidden="1" customWidth="1" outlineLevel="1" collapsed="1"/>
    <col min="149" max="149" width="11.28515625" style="410" hidden="1" customWidth="1" outlineLevel="1"/>
    <col min="150" max="150" width="11.28515625" hidden="1" customWidth="1" outlineLevel="1" collapsed="1"/>
    <col min="151" max="151" width="11.28515625" style="410" hidden="1" customWidth="1" outlineLevel="1"/>
    <col min="152" max="152" width="11.28515625" hidden="1" customWidth="1" outlineLevel="1" collapsed="1"/>
    <col min="153" max="153" width="11.28515625" style="410" hidden="1" customWidth="1" outlineLevel="1"/>
    <col min="154" max="154" width="11.28515625" hidden="1" customWidth="1" outlineLevel="1" collapsed="1"/>
    <col min="155" max="155" width="11.28515625" style="410" hidden="1" customWidth="1" outlineLevel="1"/>
    <col min="156" max="156" width="11.28515625" hidden="1" customWidth="1" outlineLevel="1" collapsed="1"/>
    <col min="157" max="157" width="11.28515625" style="410" hidden="1" customWidth="1" outlineLevel="1"/>
    <col min="158" max="158" width="11.28515625" hidden="1" customWidth="1" outlineLevel="1" collapsed="1"/>
    <col min="159" max="159" width="11.28515625" style="410" hidden="1" customWidth="1" outlineLevel="1"/>
    <col min="160" max="160" width="11.5703125" hidden="1" customWidth="1" outlineLevel="1" collapsed="1"/>
    <col min="161" max="161" width="9.140625" style="410" hidden="1" customWidth="1" outlineLevel="1"/>
    <col min="162" max="162" width="11.5703125" hidden="1" customWidth="1" outlineLevel="1" collapsed="1"/>
    <col min="163" max="163" width="9.140625" style="410" hidden="1" customWidth="1" outlineLevel="1"/>
    <col min="164" max="164" width="11.5703125" hidden="1" customWidth="1" outlineLevel="1" collapsed="1"/>
    <col min="165" max="165" width="9.140625" style="410" hidden="1" customWidth="1" outlineLevel="1"/>
    <col min="166" max="166" width="11.5703125" hidden="1" customWidth="1" outlineLevel="1" collapsed="1"/>
    <col min="167" max="167" width="9.140625" style="410" hidden="1" customWidth="1" outlineLevel="1"/>
    <col min="168" max="168" width="11.5703125" hidden="1" customWidth="1" outlineLevel="1" collapsed="1"/>
    <col min="169" max="169" width="9.140625" style="410" hidden="1" customWidth="1" outlineLevel="1"/>
    <col min="170" max="170" width="11.5703125" hidden="1" customWidth="1" outlineLevel="1" collapsed="1"/>
    <col min="171" max="171" width="9.140625" style="410" hidden="1" customWidth="1" outlineLevel="1"/>
    <col min="172" max="172" width="11.5703125" hidden="1" customWidth="1" outlineLevel="1" collapsed="1"/>
    <col min="173" max="173" width="9.140625" style="410" hidden="1" customWidth="1" outlineLevel="1"/>
    <col min="174" max="174" width="11.5703125" hidden="1" customWidth="1" outlineLevel="1" collapsed="1"/>
    <col min="175" max="175" width="9.140625" style="410" hidden="1" customWidth="1" outlineLevel="1"/>
    <col min="176" max="176" width="11.5703125" hidden="1" customWidth="1" outlineLevel="1" collapsed="1"/>
    <col min="177" max="177" width="9.140625" style="410" hidden="1" customWidth="1" outlineLevel="1"/>
    <col min="178" max="178" width="11.5703125" hidden="1" customWidth="1" outlineLevel="1" collapsed="1"/>
    <col min="179" max="179" width="9.140625" style="410" hidden="1" customWidth="1" outlineLevel="1"/>
    <col min="180" max="180" width="11.5703125" hidden="1" customWidth="1" outlineLevel="1" collapsed="1"/>
    <col min="181" max="181" width="9.140625" style="410" hidden="1" customWidth="1" outlineLevel="1"/>
    <col min="182" max="182" width="11.5703125" hidden="1" customWidth="1" outlineLevel="1" collapsed="1"/>
    <col min="183" max="183" width="9.140625" style="410" hidden="1" customWidth="1" outlineLevel="1"/>
    <col min="184" max="184" width="11.5703125" hidden="1" customWidth="1" outlineLevel="1" collapsed="1"/>
    <col min="185" max="185" width="9.140625" style="410" hidden="1" customWidth="1" outlineLevel="1"/>
    <col min="186" max="186" width="11.5703125" hidden="1" customWidth="1" outlineLevel="1" collapsed="1"/>
    <col min="187" max="187" width="9.140625" style="410" hidden="1" customWidth="1" outlineLevel="1"/>
    <col min="188" max="188" width="11.5703125" hidden="1" customWidth="1" outlineLevel="1" collapsed="1"/>
    <col min="189" max="189" width="9.140625" style="410" hidden="1" customWidth="1" outlineLevel="1"/>
    <col min="190" max="190" width="11.5703125" hidden="1" customWidth="1" outlineLevel="1" collapsed="1"/>
    <col min="191" max="191" width="9.140625" style="410" hidden="1" customWidth="1" outlineLevel="1"/>
    <col min="192" max="192" width="11.5703125" hidden="1" customWidth="1" outlineLevel="1" collapsed="1"/>
    <col min="193" max="193" width="9.140625" style="410" hidden="1" customWidth="1" outlineLevel="1"/>
    <col min="194" max="194" width="11.5703125" hidden="1" customWidth="1" outlineLevel="1" collapsed="1"/>
    <col min="195" max="195" width="9.140625" style="410" hidden="1" customWidth="1" outlineLevel="1"/>
    <col min="196" max="196" width="11.140625" hidden="1" customWidth="1" outlineLevel="1" collapsed="1"/>
    <col min="197" max="197" width="8.42578125" style="410" hidden="1" customWidth="1" outlineLevel="1"/>
    <col min="198" max="198" width="11.5703125" hidden="1" customWidth="1" outlineLevel="1" collapsed="1"/>
    <col min="199" max="199" width="9.140625" style="410" hidden="1" customWidth="1" outlineLevel="1"/>
    <col min="200" max="200" width="11.5703125" hidden="1" customWidth="1" outlineLevel="1" collapsed="1"/>
    <col min="201" max="201" width="9.140625" style="410" hidden="1" customWidth="1" outlineLevel="1"/>
    <col min="202" max="202" width="11.5703125" hidden="1" customWidth="1" outlineLevel="1" collapsed="1"/>
    <col min="203" max="203" width="9.140625" style="410" hidden="1" customWidth="1" outlineLevel="1"/>
    <col min="204" max="204" width="11.5703125" hidden="1" customWidth="1" outlineLevel="1" collapsed="1"/>
    <col min="205" max="205" width="9.140625" style="410" hidden="1" customWidth="1" outlineLevel="1"/>
    <col min="206" max="206" width="12.5703125" hidden="1" customWidth="1" outlineLevel="1" collapsed="1"/>
    <col min="207" max="207" width="8.42578125" style="410" hidden="1" customWidth="1" outlineLevel="1"/>
    <col min="208" max="208" width="12.5703125" hidden="1" customWidth="1" outlineLevel="1" collapsed="1"/>
    <col min="209" max="209" width="8.42578125" style="410" hidden="1" customWidth="1" outlineLevel="1"/>
    <col min="210" max="210" width="12.5703125" hidden="1" customWidth="1" outlineLevel="1" collapsed="1"/>
    <col min="211" max="211" width="8.42578125" style="410" hidden="1" customWidth="1" outlineLevel="1"/>
    <col min="212" max="212" width="12.5703125" hidden="1" customWidth="1" outlineLevel="1" collapsed="1"/>
    <col min="213" max="213" width="8.42578125" style="410" hidden="1" customWidth="1" outlineLevel="1"/>
    <col min="214" max="214" width="12.5703125" hidden="1" customWidth="1" outlineLevel="1" collapsed="1"/>
    <col min="215" max="215" width="8.42578125" style="410" hidden="1" customWidth="1" outlineLevel="1"/>
    <col min="216" max="216" width="12.5703125" hidden="1" customWidth="1" outlineLevel="1" collapsed="1"/>
    <col min="217" max="217" width="8.42578125" style="410" hidden="1" customWidth="1" outlineLevel="1"/>
    <col min="218" max="218" width="12.5703125" hidden="1" customWidth="1" outlineLevel="1" collapsed="1"/>
    <col min="219" max="219" width="8.42578125" style="410" hidden="1" customWidth="1" outlineLevel="1"/>
    <col min="220" max="220" width="12.5703125" hidden="1" customWidth="1" outlineLevel="1" collapsed="1"/>
    <col min="221" max="221" width="8.42578125" style="410" hidden="1" customWidth="1" outlineLevel="1"/>
    <col min="222" max="222" width="12.5703125" hidden="1" customWidth="1" outlineLevel="1" collapsed="1"/>
    <col min="223" max="223" width="8.42578125" style="410" hidden="1" customWidth="1" outlineLevel="1"/>
    <col min="224" max="224" width="12.5703125" hidden="1" customWidth="1" outlineLevel="1" collapsed="1"/>
    <col min="225" max="225" width="8.42578125" style="410" hidden="1" customWidth="1" outlineLevel="1"/>
    <col min="226" max="226" width="12.5703125" hidden="1" customWidth="1" outlineLevel="1" collapsed="1"/>
    <col min="227" max="227" width="8.42578125" style="410" hidden="1" customWidth="1" outlineLevel="1"/>
    <col min="228" max="228" width="12.5703125" hidden="1" customWidth="1" outlineLevel="1" collapsed="1"/>
    <col min="229" max="229" width="8.42578125" style="410" hidden="1" customWidth="1" outlineLevel="1"/>
    <col min="230" max="230" width="12.5703125" hidden="1" customWidth="1" outlineLevel="1" collapsed="1"/>
    <col min="231" max="231" width="8.42578125" style="410" hidden="1" customWidth="1" outlineLevel="1"/>
    <col min="232" max="232" width="12.5703125" hidden="1" customWidth="1" outlineLevel="1" collapsed="1"/>
    <col min="233" max="233" width="8.42578125" style="410" hidden="1" customWidth="1" outlineLevel="1"/>
    <col min="234" max="234" width="12.5703125" hidden="1" customWidth="1" outlineLevel="1" collapsed="1"/>
    <col min="235" max="235" width="8.42578125" style="410" hidden="1" customWidth="1" outlineLevel="1"/>
    <col min="236" max="236" width="12.5703125" hidden="1" customWidth="1" outlineLevel="1" collapsed="1"/>
    <col min="237" max="237" width="8.42578125" style="410" hidden="1" customWidth="1" outlineLevel="1"/>
    <col min="238" max="238" width="11.42578125" hidden="1" customWidth="1" outlineLevel="1" collapsed="1"/>
    <col min="239" max="239" width="8.42578125" style="410" hidden="1" customWidth="1" outlineLevel="1"/>
    <col min="240" max="240" width="12.5703125" hidden="1" customWidth="1" outlineLevel="1" collapsed="1"/>
    <col min="241" max="241" width="9.5703125" style="410" hidden="1" customWidth="1" outlineLevel="1"/>
    <col min="242" max="242" width="12.5703125" hidden="1" customWidth="1" outlineLevel="1" collapsed="1"/>
    <col min="243" max="243" width="10" style="410" hidden="1" customWidth="1" outlineLevel="1"/>
    <col min="244" max="244" width="12.5703125" hidden="1" customWidth="1" outlineLevel="1" collapsed="1"/>
    <col min="245" max="245" width="8.42578125" style="410" hidden="1" customWidth="1" outlineLevel="1"/>
    <col min="246" max="246" width="12.5703125" hidden="1" customWidth="1" outlineLevel="1" collapsed="1"/>
    <col min="247" max="247" width="11.28515625" style="410" hidden="1" customWidth="1" outlineLevel="1"/>
    <col min="248" max="248" width="12.5703125" customWidth="1" collapsed="1"/>
    <col min="249" max="249" width="8.42578125" style="410" customWidth="1"/>
    <col min="250" max="250" width="12.5703125" hidden="1" customWidth="1" outlineLevel="1" collapsed="1"/>
    <col min="251" max="251" width="8.42578125" style="410" hidden="1" customWidth="1" outlineLevel="1"/>
    <col min="252" max="252" width="12.5703125" hidden="1" customWidth="1" outlineLevel="1" collapsed="1"/>
    <col min="253" max="253" width="8.42578125" style="410" hidden="1" customWidth="1" outlineLevel="1"/>
    <col min="254" max="254" width="11.7109375" style="20" customWidth="1" collapsed="1"/>
    <col min="255" max="255" width="11.7109375" style="410" customWidth="1"/>
    <col min="256" max="256" width="11.85546875" customWidth="1"/>
    <col min="257" max="257" width="10.85546875" customWidth="1"/>
    <col min="258" max="260" width="12.85546875" style="410" hidden="1" customWidth="1" outlineLevel="1"/>
    <col min="261" max="261" width="13.7109375" customWidth="1" collapsed="1"/>
    <col min="262" max="272" width="11" style="276" hidden="1" customWidth="1"/>
    <col min="273" max="286" width="11" style="277" hidden="1" customWidth="1" outlineLevel="1" collapsed="1"/>
    <col min="287" max="287" width="11" style="277" hidden="1" customWidth="1" outlineLevel="1"/>
    <col min="288" max="296" width="11" style="277" hidden="1" customWidth="1" outlineLevel="1" collapsed="1"/>
    <col min="297" max="308" width="11" style="795" hidden="1" customWidth="1" outlineLevel="1" collapsed="1"/>
    <col min="309" max="309" width="11" style="907" hidden="1" customWidth="1" outlineLevel="1" collapsed="1"/>
    <col min="310" max="310" width="11" style="907" hidden="1" customWidth="1" outlineLevel="2" collapsed="1"/>
    <col min="311" max="320" width="11" style="907" hidden="1" customWidth="1" outlineLevel="1" collapsed="1"/>
    <col min="321" max="327" width="9.140625" hidden="1" customWidth="1" outlineLevel="1" collapsed="1"/>
    <col min="328" max="328" width="10.85546875" hidden="1" customWidth="1" outlineLevel="1" collapsed="1"/>
    <col min="329" max="329" width="9.140625" hidden="1" customWidth="1" outlineLevel="1" collapsed="1"/>
    <col min="330" max="330" width="9.140625" customWidth="1" collapsed="1"/>
    <col min="331" max="332" width="9.140625" customWidth="1"/>
    <col min="333" max="338" width="9.140625" style="462" customWidth="1"/>
    <col min="339" max="339" width="10.5703125" style="462" customWidth="1"/>
    <col min="340" max="342" width="9.140625" style="462" customWidth="1"/>
    <col min="343" max="356" width="9.140625" style="462" hidden="1" customWidth="1" outlineLevel="1"/>
    <col min="357" max="357" width="9.140625" collapsed="1"/>
  </cols>
  <sheetData>
    <row r="1" spans="1:356" s="42" customFormat="1" ht="14.25" hidden="1" customHeight="1" outlineLevel="2" thickBot="1" x14ac:dyDescent="0.25">
      <c r="A1" s="41"/>
      <c r="G1" s="42">
        <v>39873</v>
      </c>
      <c r="H1" s="43">
        <v>40360</v>
      </c>
      <c r="I1" s="43">
        <v>40391</v>
      </c>
      <c r="J1" s="43">
        <v>40422</v>
      </c>
      <c r="K1" s="43">
        <v>40452</v>
      </c>
      <c r="L1" s="43">
        <v>40483</v>
      </c>
      <c r="M1" s="43">
        <v>40513</v>
      </c>
      <c r="N1" s="43">
        <v>40544</v>
      </c>
      <c r="O1" s="43">
        <v>40575</v>
      </c>
      <c r="P1" s="43">
        <v>40603</v>
      </c>
      <c r="Q1" s="43">
        <v>40634</v>
      </c>
      <c r="R1" s="43">
        <v>40664</v>
      </c>
      <c r="S1" s="43">
        <v>40695</v>
      </c>
      <c r="T1" s="59"/>
      <c r="U1" s="59"/>
      <c r="V1" s="43">
        <f>DATE(YEAR(S1),MONTH(S1)+1,1)</f>
        <v>40725</v>
      </c>
      <c r="W1" s="43">
        <f t="shared" ref="W1:Y1" si="0">DATE(YEAR(V1),MONTH(V1)+1,1)</f>
        <v>40756</v>
      </c>
      <c r="X1" s="43">
        <f t="shared" si="0"/>
        <v>40787</v>
      </c>
      <c r="Y1" s="43">
        <f t="shared" si="0"/>
        <v>40817</v>
      </c>
      <c r="Z1" s="43">
        <v>40848</v>
      </c>
      <c r="AA1" s="43">
        <v>40878</v>
      </c>
      <c r="AB1" s="43">
        <v>40909</v>
      </c>
      <c r="AC1" s="43">
        <v>40940</v>
      </c>
      <c r="AD1" s="43">
        <v>40969</v>
      </c>
      <c r="AE1" s="43">
        <v>41000</v>
      </c>
      <c r="AF1" s="43">
        <v>41030</v>
      </c>
      <c r="AG1" s="43">
        <v>41061</v>
      </c>
      <c r="AH1" s="59"/>
      <c r="AI1" s="59"/>
      <c r="AJ1" s="43">
        <f>DATE(YEAR(AG1),MONTH(AG1)+1,1)</f>
        <v>41091</v>
      </c>
      <c r="AK1" s="43">
        <f t="shared" ref="AK1:AU1" si="1">DATE(YEAR(AJ1),MONTH(AJ1)+1,1)</f>
        <v>41122</v>
      </c>
      <c r="AL1" s="43">
        <f t="shared" si="1"/>
        <v>41153</v>
      </c>
      <c r="AM1" s="43">
        <f t="shared" si="1"/>
        <v>41183</v>
      </c>
      <c r="AN1" s="43">
        <f t="shared" si="1"/>
        <v>41214</v>
      </c>
      <c r="AO1" s="43">
        <f t="shared" si="1"/>
        <v>41244</v>
      </c>
      <c r="AP1" s="43">
        <f t="shared" si="1"/>
        <v>41275</v>
      </c>
      <c r="AQ1" s="43">
        <f t="shared" si="1"/>
        <v>41306</v>
      </c>
      <c r="AR1" s="43">
        <f t="shared" si="1"/>
        <v>41334</v>
      </c>
      <c r="AS1" s="43">
        <f t="shared" si="1"/>
        <v>41365</v>
      </c>
      <c r="AT1" s="43">
        <f t="shared" si="1"/>
        <v>41395</v>
      </c>
      <c r="AU1" s="43">
        <f t="shared" si="1"/>
        <v>41426</v>
      </c>
      <c r="AV1" s="59"/>
      <c r="AW1" s="59"/>
      <c r="AX1" s="43">
        <f>DATE(YEAR(AU1),MONTH(AU1)+1,1)</f>
        <v>41456</v>
      </c>
      <c r="AY1" s="43">
        <f t="shared" ref="AY1:BI1" si="2">DATE(YEAR(AX1),MONTH(AX1)+1,1)</f>
        <v>41487</v>
      </c>
      <c r="AZ1" s="43">
        <f t="shared" si="2"/>
        <v>41518</v>
      </c>
      <c r="BA1" s="43">
        <f t="shared" si="2"/>
        <v>41548</v>
      </c>
      <c r="BB1" s="43">
        <f t="shared" si="2"/>
        <v>41579</v>
      </c>
      <c r="BC1" s="43">
        <f t="shared" si="2"/>
        <v>41609</v>
      </c>
      <c r="BD1" s="43">
        <f t="shared" si="2"/>
        <v>41640</v>
      </c>
      <c r="BE1" s="43">
        <f t="shared" si="2"/>
        <v>41671</v>
      </c>
      <c r="BF1" s="43">
        <f t="shared" si="2"/>
        <v>41699</v>
      </c>
      <c r="BG1" s="43">
        <f t="shared" si="2"/>
        <v>41730</v>
      </c>
      <c r="BH1" s="43">
        <f t="shared" si="2"/>
        <v>41760</v>
      </c>
      <c r="BI1" s="43">
        <f t="shared" si="2"/>
        <v>41791</v>
      </c>
      <c r="BJ1" s="59"/>
      <c r="BK1" s="59"/>
      <c r="BL1" s="43">
        <f>DATE(YEAR(BI1),MONTH(BI1)+1,1)</f>
        <v>41821</v>
      </c>
      <c r="BM1" s="43">
        <f t="shared" ref="BM1" si="3">DATE(YEAR(BL1),MONTH(BL1)+1,1)</f>
        <v>41852</v>
      </c>
      <c r="BN1" s="43">
        <f t="shared" ref="BN1" si="4">DATE(YEAR(BM1),MONTH(BM1)+1,1)</f>
        <v>41883</v>
      </c>
      <c r="BO1" s="43">
        <f t="shared" ref="BO1" si="5">DATE(YEAR(BN1),MONTH(BN1)+1,1)</f>
        <v>41913</v>
      </c>
      <c r="BP1" s="43">
        <f t="shared" ref="BP1" si="6">DATE(YEAR(BO1),MONTH(BO1)+1,1)</f>
        <v>41944</v>
      </c>
      <c r="BQ1" s="43">
        <f t="shared" ref="BQ1" si="7">DATE(YEAR(BP1),MONTH(BP1)+1,1)</f>
        <v>41974</v>
      </c>
      <c r="BR1" s="43">
        <f t="shared" ref="BR1" si="8">DATE(YEAR(BQ1),MONTH(BQ1)+1,1)</f>
        <v>42005</v>
      </c>
      <c r="BS1" s="43">
        <f t="shared" ref="BS1" si="9">DATE(YEAR(BR1),MONTH(BR1)+1,1)</f>
        <v>42036</v>
      </c>
      <c r="BT1" s="43">
        <f t="shared" ref="BT1" si="10">DATE(YEAR(BS1),MONTH(BS1)+1,1)</f>
        <v>42064</v>
      </c>
      <c r="BU1" s="43">
        <f t="shared" ref="BU1" si="11">DATE(YEAR(BT1),MONTH(BT1)+1,1)</f>
        <v>42095</v>
      </c>
      <c r="BV1" s="43">
        <f t="shared" ref="BV1" si="12">DATE(YEAR(BU1),MONTH(BU1)+1,1)</f>
        <v>42125</v>
      </c>
      <c r="BW1" s="43">
        <f t="shared" ref="BW1" si="13">DATE(YEAR(BV1),MONTH(BV1)+1,1)</f>
        <v>42156</v>
      </c>
      <c r="BX1" s="59"/>
      <c r="BY1" s="59"/>
      <c r="BZ1" s="882">
        <f>DATE(YEAR(BW1),MONTH(BW1)+1,1)</f>
        <v>42186</v>
      </c>
      <c r="CA1" s="882">
        <f t="shared" ref="CA1" si="14">DATE(YEAR(BZ1),MONTH(BZ1)+1,1)</f>
        <v>42217</v>
      </c>
      <c r="CB1" s="882">
        <f t="shared" ref="CB1" si="15">DATE(YEAR(CA1),MONTH(CA1)+1,1)</f>
        <v>42248</v>
      </c>
      <c r="CC1" s="882">
        <f t="shared" ref="CC1" si="16">DATE(YEAR(CB1),MONTH(CB1)+1,1)</f>
        <v>42278</v>
      </c>
      <c r="CD1" s="882">
        <f t="shared" ref="CD1" si="17">DATE(YEAR(CC1),MONTH(CC1)+1,1)</f>
        <v>42309</v>
      </c>
      <c r="CE1" s="882">
        <f t="shared" ref="CE1" si="18">DATE(YEAR(CD1),MONTH(CD1)+1,1)</f>
        <v>42339</v>
      </c>
      <c r="CF1" s="882">
        <f t="shared" ref="CF1" si="19">DATE(YEAR(CE1),MONTH(CE1)+1,1)</f>
        <v>42370</v>
      </c>
      <c r="CG1" s="882">
        <f t="shared" ref="CG1" si="20">DATE(YEAR(CF1),MONTH(CF1)+1,1)</f>
        <v>42401</v>
      </c>
      <c r="CH1" s="882">
        <f t="shared" ref="CH1" si="21">DATE(YEAR(CG1),MONTH(CG1)+1,1)</f>
        <v>42430</v>
      </c>
      <c r="CI1" s="882">
        <f t="shared" ref="CI1" si="22">DATE(YEAR(CH1),MONTH(CH1)+1,1)</f>
        <v>42461</v>
      </c>
      <c r="CJ1" s="882">
        <f t="shared" ref="CJ1" si="23">DATE(YEAR(CI1),MONTH(CI1)+1,1)</f>
        <v>42491</v>
      </c>
      <c r="CK1" s="882">
        <f t="shared" ref="CK1" si="24">DATE(YEAR(CJ1),MONTH(CJ1)+1,1)</f>
        <v>42522</v>
      </c>
      <c r="CL1" s="59"/>
      <c r="CM1" s="59"/>
      <c r="CN1" s="984">
        <f>DATE(YEAR(CK1),MONTH(CK1)+1,1)</f>
        <v>42552</v>
      </c>
      <c r="CO1" s="984">
        <f t="shared" ref="CO1" si="25">DATE(YEAR(CN1),MONTH(CN1)+1,1)</f>
        <v>42583</v>
      </c>
      <c r="CP1" s="984">
        <f t="shared" ref="CP1" si="26">DATE(YEAR(CO1),MONTH(CO1)+1,1)</f>
        <v>42614</v>
      </c>
      <c r="CQ1" s="984">
        <f t="shared" ref="CQ1" si="27">DATE(YEAR(CP1),MONTH(CP1)+1,1)</f>
        <v>42644</v>
      </c>
      <c r="CR1" s="984">
        <f t="shared" ref="CR1" si="28">DATE(YEAR(CQ1),MONTH(CQ1)+1,1)</f>
        <v>42675</v>
      </c>
      <c r="CS1" s="984">
        <f t="shared" ref="CS1" si="29">DATE(YEAR(CR1),MONTH(CR1)+1,1)</f>
        <v>42705</v>
      </c>
      <c r="CT1" s="984">
        <f t="shared" ref="CT1" si="30">DATE(YEAR(CS1),MONTH(CS1)+1,1)</f>
        <v>42736</v>
      </c>
      <c r="CU1" s="984">
        <f t="shared" ref="CU1" si="31">DATE(YEAR(CT1),MONTH(CT1)+1,1)</f>
        <v>42767</v>
      </c>
      <c r="CV1" s="984">
        <f t="shared" ref="CV1" si="32">DATE(YEAR(CU1),MONTH(CU1)+1,1)</f>
        <v>42795</v>
      </c>
      <c r="CW1" s="984">
        <f t="shared" ref="CW1" si="33">DATE(YEAR(CV1),MONTH(CV1)+1,1)</f>
        <v>42826</v>
      </c>
      <c r="CX1" s="984">
        <f t="shared" ref="CX1" si="34">DATE(YEAR(CW1),MONTH(CW1)+1,1)</f>
        <v>42856</v>
      </c>
      <c r="CY1" s="984">
        <f t="shared" ref="CY1" si="35">DATE(YEAR(CX1),MONTH(CX1)+1,1)</f>
        <v>42887</v>
      </c>
      <c r="CZ1" s="59"/>
      <c r="DA1" s="59"/>
      <c r="DB1" s="1039">
        <f>DATE(YEAR(CY1),MONTH(CY1)+1,1)</f>
        <v>42917</v>
      </c>
      <c r="DC1" s="1039">
        <f t="shared" ref="DC1" si="36">DATE(YEAR(DB1),MONTH(DB1)+1,1)</f>
        <v>42948</v>
      </c>
      <c r="DD1" s="1039">
        <f t="shared" ref="DD1" si="37">DATE(YEAR(DC1),MONTH(DC1)+1,1)</f>
        <v>42979</v>
      </c>
      <c r="DE1" s="1039">
        <f t="shared" ref="DE1" si="38">DATE(YEAR(DD1),MONTH(DD1)+1,1)</f>
        <v>43009</v>
      </c>
      <c r="DF1" s="1039">
        <f t="shared" ref="DF1" si="39">DATE(YEAR(DE1),MONTH(DE1)+1,1)</f>
        <v>43040</v>
      </c>
      <c r="DG1" s="1039">
        <f t="shared" ref="DG1" si="40">DATE(YEAR(DF1),MONTH(DF1)+1,1)</f>
        <v>43070</v>
      </c>
      <c r="DH1" s="1039">
        <f t="shared" ref="DH1" si="41">DATE(YEAR(DG1),MONTH(DG1)+1,1)</f>
        <v>43101</v>
      </c>
      <c r="DI1" s="1039">
        <f t="shared" ref="DI1" si="42">DATE(YEAR(DH1),MONTH(DH1)+1,1)</f>
        <v>43132</v>
      </c>
      <c r="DJ1" s="1039">
        <f t="shared" ref="DJ1" si="43">DATE(YEAR(DI1),MONTH(DI1)+1,1)</f>
        <v>43160</v>
      </c>
      <c r="DK1" s="1039">
        <f t="shared" ref="DK1" si="44">DATE(YEAR(DJ1),MONTH(DJ1)+1,1)</f>
        <v>43191</v>
      </c>
      <c r="DL1" s="1039">
        <f t="shared" ref="DL1" si="45">DATE(YEAR(DK1),MONTH(DK1)+1,1)</f>
        <v>43221</v>
      </c>
      <c r="DM1" s="1039">
        <f t="shared" ref="DM1" si="46">DATE(YEAR(DL1),MONTH(DL1)+1,1)</f>
        <v>43252</v>
      </c>
      <c r="DN1" s="59"/>
      <c r="DO1" s="59"/>
      <c r="DP1" s="1039">
        <f>DATE(YEAR(DM1),MONTH(DM1)+1,1)</f>
        <v>43282</v>
      </c>
      <c r="DQ1" s="1039">
        <f t="shared" ref="DQ1" si="47">DATE(YEAR(DP1),MONTH(DP1)+1,1)</f>
        <v>43313</v>
      </c>
      <c r="DR1" s="1039">
        <f t="shared" ref="DR1" si="48">DATE(YEAR(DQ1),MONTH(DQ1)+1,1)</f>
        <v>43344</v>
      </c>
      <c r="DS1" s="1039">
        <f t="shared" ref="DS1" si="49">DATE(YEAR(DR1),MONTH(DR1)+1,1)</f>
        <v>43374</v>
      </c>
      <c r="DT1" s="1039">
        <f t="shared" ref="DT1" si="50">DATE(YEAR(DS1),MONTH(DS1)+1,1)</f>
        <v>43405</v>
      </c>
      <c r="DU1" s="1039">
        <f t="shared" ref="DU1" si="51">DATE(YEAR(DT1),MONTH(DT1)+1,1)</f>
        <v>43435</v>
      </c>
      <c r="DV1" s="1039">
        <f t="shared" ref="DV1" si="52">DATE(YEAR(DU1),MONTH(DU1)+1,1)</f>
        <v>43466</v>
      </c>
      <c r="DW1" s="1039">
        <f t="shared" ref="DW1" si="53">DATE(YEAR(DV1),MONTH(DV1)+1,1)</f>
        <v>43497</v>
      </c>
      <c r="DX1" s="1039">
        <f t="shared" ref="DX1" si="54">DATE(YEAR(DW1),MONTH(DW1)+1,1)</f>
        <v>43525</v>
      </c>
      <c r="DY1" s="1039">
        <f t="shared" ref="DY1" si="55">DATE(YEAR(DX1),MONTH(DX1)+1,1)</f>
        <v>43556</v>
      </c>
      <c r="DZ1" s="1039">
        <f t="shared" ref="DZ1" si="56">DATE(YEAR(DY1),MONTH(DY1)+1,1)</f>
        <v>43586</v>
      </c>
      <c r="EA1" s="1039">
        <f t="shared" ref="EA1" si="57">DATE(YEAR(DZ1),MONTH(DZ1)+1,1)</f>
        <v>43617</v>
      </c>
      <c r="EB1" s="59"/>
      <c r="EC1" s="59"/>
      <c r="ED1" s="1236"/>
      <c r="EE1" s="1237"/>
      <c r="EF1" s="1236"/>
      <c r="EG1" s="1237"/>
      <c r="EH1" s="1236"/>
      <c r="EI1" s="1237"/>
      <c r="EJ1" s="1236"/>
      <c r="EK1" s="1237"/>
      <c r="EL1" s="1236"/>
      <c r="EM1" s="1237"/>
      <c r="EN1" s="1236"/>
      <c r="EO1" s="1237"/>
      <c r="EP1" s="1236"/>
      <c r="EQ1" s="1237"/>
      <c r="ER1" s="1236"/>
      <c r="ES1" s="1237"/>
      <c r="ET1" s="1236"/>
      <c r="EU1" s="1237"/>
      <c r="EV1" s="1236"/>
      <c r="EW1" s="1237"/>
      <c r="EX1" s="1236"/>
      <c r="EY1" s="1237"/>
      <c r="EZ1" s="1236"/>
      <c r="FA1" s="1237"/>
      <c r="FB1" s="1236"/>
      <c r="FC1" s="1237"/>
      <c r="FD1" s="1236"/>
      <c r="FE1" s="1237"/>
      <c r="FF1" s="1236"/>
      <c r="FG1" s="1237"/>
      <c r="FH1" s="1236"/>
      <c r="FI1" s="1237"/>
      <c r="FJ1" s="1236"/>
      <c r="FK1" s="1237"/>
      <c r="FL1" s="1236"/>
      <c r="FM1" s="1237"/>
      <c r="FN1" s="1236"/>
      <c r="FO1" s="1237"/>
      <c r="FP1" s="1236"/>
      <c r="FQ1" s="1237"/>
      <c r="FR1" s="1236"/>
      <c r="FS1" s="1237"/>
      <c r="FT1" s="1236"/>
      <c r="FU1" s="1237"/>
      <c r="FV1" s="1236"/>
      <c r="FW1" s="1237"/>
      <c r="FX1" s="1236"/>
      <c r="FY1" s="1237"/>
      <c r="FZ1" s="1248"/>
      <c r="GA1" s="1249"/>
      <c r="GB1" s="1248"/>
      <c r="GC1" s="1249"/>
      <c r="GD1" s="1248"/>
      <c r="GE1" s="1249"/>
      <c r="GF1" s="1248"/>
      <c r="GG1" s="1249"/>
      <c r="GH1" s="1248"/>
      <c r="GI1" s="1249"/>
      <c r="GJ1" s="1248"/>
      <c r="GK1" s="1249"/>
      <c r="GL1" s="1248"/>
      <c r="GM1" s="1249"/>
      <c r="GN1" s="1248"/>
      <c r="GO1" s="1249"/>
      <c r="GP1" s="1248"/>
      <c r="GQ1" s="1249"/>
      <c r="GR1" s="1248"/>
      <c r="GS1" s="1249"/>
      <c r="GT1" s="1248"/>
      <c r="GU1" s="1249"/>
      <c r="GV1" s="1248"/>
      <c r="GW1" s="1249"/>
      <c r="GX1" s="1252"/>
      <c r="GY1" s="1253"/>
      <c r="GZ1" s="1252"/>
      <c r="HA1" s="1253"/>
      <c r="HB1" s="1252"/>
      <c r="HC1" s="1253"/>
      <c r="HD1" s="1252"/>
      <c r="HE1" s="1253"/>
      <c r="HF1" s="1252"/>
      <c r="HG1" s="1253"/>
      <c r="HH1" s="1252"/>
      <c r="HI1" s="1253"/>
      <c r="HJ1" s="1252"/>
      <c r="HK1" s="1253"/>
      <c r="HL1" s="1252"/>
      <c r="HM1" s="1253"/>
      <c r="HN1" s="1252"/>
      <c r="HO1" s="1253"/>
      <c r="HP1" s="1252"/>
      <c r="HQ1" s="1253"/>
      <c r="HR1" s="1252"/>
      <c r="HS1" s="1253"/>
      <c r="HT1" s="1252"/>
      <c r="HU1" s="1253"/>
      <c r="HV1" s="1206"/>
      <c r="HW1" s="1207"/>
      <c r="HX1" s="1206"/>
      <c r="HY1" s="1207"/>
      <c r="HZ1" s="1206"/>
      <c r="IA1" s="1207"/>
      <c r="IB1" s="1206"/>
      <c r="IC1" s="1207"/>
      <c r="ID1" s="1206"/>
      <c r="IE1" s="1207"/>
      <c r="IF1" s="1206"/>
      <c r="IG1" s="1207"/>
      <c r="IH1" s="1206"/>
      <c r="II1" s="1207"/>
      <c r="IJ1" s="1206"/>
      <c r="IK1" s="1207"/>
      <c r="IL1" s="1206"/>
      <c r="IM1" s="1207"/>
      <c r="IN1" s="1206"/>
      <c r="IO1" s="1207"/>
      <c r="IP1" s="1206"/>
      <c r="IQ1" s="1207"/>
      <c r="IR1" s="1206"/>
      <c r="IS1" s="1207"/>
      <c r="IT1" s="882"/>
      <c r="IU1" s="1053"/>
      <c r="IV1" s="1236" t="s">
        <v>193</v>
      </c>
      <c r="IW1" s="1237"/>
      <c r="IX1" s="692"/>
      <c r="IY1" s="692"/>
      <c r="IZ1" s="692"/>
      <c r="JB1" s="244"/>
      <c r="JC1" s="244"/>
      <c r="JD1" s="244"/>
      <c r="JE1" s="244"/>
      <c r="JF1" s="244"/>
      <c r="JG1" s="244"/>
      <c r="JH1" s="244"/>
      <c r="JI1" s="244"/>
      <c r="JJ1" s="244"/>
      <c r="JK1" s="244"/>
      <c r="JL1" s="244"/>
      <c r="JM1" s="245"/>
      <c r="JN1" s="245"/>
      <c r="JO1" s="245"/>
      <c r="JP1" s="245"/>
      <c r="JQ1" s="245"/>
      <c r="JR1" s="245"/>
      <c r="JS1" s="245"/>
      <c r="JT1" s="245"/>
      <c r="JU1" s="245"/>
      <c r="JV1" s="245"/>
      <c r="JW1" s="245"/>
      <c r="JX1" s="245"/>
      <c r="JY1" s="245"/>
      <c r="JZ1" s="245"/>
      <c r="KA1" s="245"/>
      <c r="KB1" s="245"/>
      <c r="KC1" s="245"/>
      <c r="KD1" s="245"/>
      <c r="KE1" s="245"/>
      <c r="KF1" s="245"/>
      <c r="KG1" s="245"/>
      <c r="KH1" s="245"/>
      <c r="KI1" s="245"/>
      <c r="KJ1" s="245"/>
      <c r="KK1" s="779"/>
      <c r="KL1" s="779"/>
      <c r="KM1" s="779"/>
      <c r="KN1" s="779"/>
      <c r="KO1" s="779"/>
      <c r="KP1" s="779"/>
      <c r="KQ1" s="779"/>
      <c r="KR1" s="779"/>
      <c r="KS1" s="779"/>
      <c r="KT1" s="779"/>
      <c r="KU1" s="779"/>
      <c r="KV1" s="779"/>
      <c r="KW1" s="890"/>
      <c r="KX1" s="890"/>
      <c r="KY1" s="890"/>
      <c r="KZ1" s="890"/>
      <c r="LA1" s="890"/>
      <c r="LB1" s="890"/>
      <c r="LC1" s="890"/>
      <c r="LD1" s="890"/>
      <c r="LE1" s="890"/>
      <c r="LF1" s="890"/>
      <c r="LG1" s="890"/>
      <c r="LH1" s="890"/>
      <c r="LU1" s="1148"/>
      <c r="LV1" s="1148"/>
      <c r="LW1" s="1148"/>
      <c r="LX1" s="1148"/>
      <c r="LY1" s="1148"/>
      <c r="LZ1" s="1148"/>
      <c r="MA1" s="1148"/>
      <c r="MB1" s="1148"/>
      <c r="MC1" s="1148"/>
      <c r="MD1" s="1148"/>
      <c r="ME1" s="1148"/>
      <c r="MF1" s="1148"/>
      <c r="MG1" s="1148"/>
      <c r="MH1" s="1148"/>
      <c r="MI1" s="1148"/>
      <c r="MJ1" s="1148"/>
      <c r="MK1" s="1148"/>
      <c r="ML1" s="1148"/>
      <c r="MM1" s="1148"/>
      <c r="MN1" s="1148"/>
      <c r="MO1" s="1148"/>
      <c r="MP1" s="1148"/>
      <c r="MQ1" s="1148"/>
      <c r="MR1" s="1148"/>
    </row>
    <row r="2" spans="1:356" s="42" customFormat="1" ht="12.75" hidden="1" customHeight="1" outlineLevel="2" x14ac:dyDescent="0.25">
      <c r="A2" s="41"/>
      <c r="G2" s="42">
        <f>DATE(YEAR(G1),MONTH(G1)+1,1)</f>
        <v>39904</v>
      </c>
      <c r="H2" s="43">
        <v>40391</v>
      </c>
      <c r="I2" s="43">
        <v>40422</v>
      </c>
      <c r="J2" s="43">
        <v>40452</v>
      </c>
      <c r="K2" s="43">
        <v>40483</v>
      </c>
      <c r="L2" s="43">
        <v>40513</v>
      </c>
      <c r="M2" s="43">
        <v>40544</v>
      </c>
      <c r="N2" s="43">
        <v>40575</v>
      </c>
      <c r="O2" s="43">
        <v>40603</v>
      </c>
      <c r="P2" s="43">
        <v>40634</v>
      </c>
      <c r="Q2" s="43">
        <v>40664</v>
      </c>
      <c r="R2" s="43">
        <v>40695</v>
      </c>
      <c r="S2" s="43">
        <v>40725</v>
      </c>
      <c r="T2" s="59"/>
      <c r="U2" s="59"/>
      <c r="V2" s="43">
        <f t="shared" ref="V2:Y2" si="58">DATE(YEAR(V1),MONTH(V1)+1,1)</f>
        <v>40756</v>
      </c>
      <c r="W2" s="43">
        <f t="shared" si="58"/>
        <v>40787</v>
      </c>
      <c r="X2" s="43">
        <f t="shared" si="58"/>
        <v>40817</v>
      </c>
      <c r="Y2" s="43">
        <f t="shared" si="58"/>
        <v>40848</v>
      </c>
      <c r="Z2" s="43">
        <v>40878</v>
      </c>
      <c r="AA2" s="43">
        <v>40909</v>
      </c>
      <c r="AB2" s="43">
        <v>40940</v>
      </c>
      <c r="AC2" s="43">
        <v>40969</v>
      </c>
      <c r="AD2" s="43">
        <v>41000</v>
      </c>
      <c r="AE2" s="43">
        <v>41030</v>
      </c>
      <c r="AF2" s="43">
        <v>41061</v>
      </c>
      <c r="AG2" s="43">
        <v>41091</v>
      </c>
      <c r="AH2" s="59"/>
      <c r="AI2" s="59"/>
      <c r="AJ2" s="43">
        <f t="shared" ref="AJ2:AU2" si="59">DATE(YEAR(AJ1),MONTH(AJ1)+1,1)</f>
        <v>41122</v>
      </c>
      <c r="AK2" s="43">
        <f t="shared" si="59"/>
        <v>41153</v>
      </c>
      <c r="AL2" s="43">
        <f t="shared" si="59"/>
        <v>41183</v>
      </c>
      <c r="AM2" s="43">
        <f t="shared" si="59"/>
        <v>41214</v>
      </c>
      <c r="AN2" s="43">
        <f t="shared" si="59"/>
        <v>41244</v>
      </c>
      <c r="AO2" s="43">
        <f t="shared" si="59"/>
        <v>41275</v>
      </c>
      <c r="AP2" s="43">
        <f t="shared" si="59"/>
        <v>41306</v>
      </c>
      <c r="AQ2" s="43">
        <f t="shared" si="59"/>
        <v>41334</v>
      </c>
      <c r="AR2" s="43">
        <f t="shared" si="59"/>
        <v>41365</v>
      </c>
      <c r="AS2" s="43">
        <f t="shared" si="59"/>
        <v>41395</v>
      </c>
      <c r="AT2" s="43">
        <f t="shared" si="59"/>
        <v>41426</v>
      </c>
      <c r="AU2" s="43">
        <f t="shared" si="59"/>
        <v>41456</v>
      </c>
      <c r="AV2" s="59"/>
      <c r="AW2" s="59"/>
      <c r="AX2" s="43">
        <f t="shared" ref="AX2:BI2" si="60">DATE(YEAR(AX1),MONTH(AX1)+1,1)</f>
        <v>41487</v>
      </c>
      <c r="AY2" s="43">
        <f t="shared" si="60"/>
        <v>41518</v>
      </c>
      <c r="AZ2" s="43">
        <f>DATE(YEAR(AZ1),MONTH(AZ1)+1,1)-1</f>
        <v>41547</v>
      </c>
      <c r="BA2" s="43">
        <f t="shared" si="60"/>
        <v>41579</v>
      </c>
      <c r="BB2" s="43">
        <f t="shared" si="60"/>
        <v>41609</v>
      </c>
      <c r="BC2" s="43">
        <f t="shared" si="60"/>
        <v>41640</v>
      </c>
      <c r="BD2" s="43">
        <f t="shared" si="60"/>
        <v>41671</v>
      </c>
      <c r="BE2" s="43">
        <f t="shared" si="60"/>
        <v>41699</v>
      </c>
      <c r="BF2" s="43">
        <f t="shared" si="60"/>
        <v>41730</v>
      </c>
      <c r="BG2" s="43">
        <f t="shared" si="60"/>
        <v>41760</v>
      </c>
      <c r="BH2" s="43">
        <f t="shared" si="60"/>
        <v>41791</v>
      </c>
      <c r="BI2" s="43">
        <f t="shared" si="60"/>
        <v>41821</v>
      </c>
      <c r="BJ2" s="59"/>
      <c r="BK2" s="59"/>
      <c r="BL2" s="43">
        <f t="shared" ref="BL2:BN2" si="61">DATE(YEAR(BL1),MONTH(BL1)+1,0)</f>
        <v>41851</v>
      </c>
      <c r="BM2" s="43">
        <f t="shared" si="61"/>
        <v>41882</v>
      </c>
      <c r="BN2" s="43">
        <f t="shared" si="61"/>
        <v>41912</v>
      </c>
      <c r="BO2" s="43">
        <f t="shared" ref="BO2:BW2" si="62">DATE(YEAR(BO1),MONTH(BO1)+1,0)</f>
        <v>41943</v>
      </c>
      <c r="BP2" s="43">
        <f t="shared" si="62"/>
        <v>41973</v>
      </c>
      <c r="BQ2" s="43">
        <f t="shared" si="62"/>
        <v>42004</v>
      </c>
      <c r="BR2" s="43">
        <f t="shared" si="62"/>
        <v>42035</v>
      </c>
      <c r="BS2" s="43">
        <f t="shared" si="62"/>
        <v>42063</v>
      </c>
      <c r="BT2" s="43">
        <f t="shared" si="62"/>
        <v>42094</v>
      </c>
      <c r="BU2" s="43">
        <f t="shared" si="62"/>
        <v>42124</v>
      </c>
      <c r="BV2" s="43">
        <f t="shared" si="62"/>
        <v>42155</v>
      </c>
      <c r="BW2" s="43">
        <f t="shared" si="62"/>
        <v>42185</v>
      </c>
      <c r="BX2" s="59"/>
      <c r="BY2" s="59"/>
      <c r="BZ2" s="882">
        <f>DATE(YEAR(BZ1),MONTH(BZ1)+1,0)</f>
        <v>42216</v>
      </c>
      <c r="CA2" s="882">
        <f t="shared" ref="CA2:CK2" si="63">DATE(YEAR(CA1),MONTH(CA1)+1,0)</f>
        <v>42247</v>
      </c>
      <c r="CB2" s="882">
        <f t="shared" si="63"/>
        <v>42277</v>
      </c>
      <c r="CC2" s="882">
        <f t="shared" si="63"/>
        <v>42308</v>
      </c>
      <c r="CD2" s="882">
        <f t="shared" si="63"/>
        <v>42338</v>
      </c>
      <c r="CE2" s="882">
        <f t="shared" si="63"/>
        <v>42369</v>
      </c>
      <c r="CF2" s="882">
        <f t="shared" si="63"/>
        <v>42400</v>
      </c>
      <c r="CG2" s="882">
        <f t="shared" si="63"/>
        <v>42429</v>
      </c>
      <c r="CH2" s="882">
        <f t="shared" si="63"/>
        <v>42460</v>
      </c>
      <c r="CI2" s="882">
        <f t="shared" si="63"/>
        <v>42490</v>
      </c>
      <c r="CJ2" s="882">
        <f t="shared" si="63"/>
        <v>42521</v>
      </c>
      <c r="CK2" s="882">
        <f t="shared" si="63"/>
        <v>42551</v>
      </c>
      <c r="CL2" s="59"/>
      <c r="CM2" s="59"/>
      <c r="CN2" s="984">
        <f>DATE(YEAR(CN1),MONTH(CN1)+1,0)</f>
        <v>42582</v>
      </c>
      <c r="CO2" s="984">
        <f t="shared" ref="CO2:CY2" si="64">DATE(YEAR(CO1),MONTH(CO1)+1,0)</f>
        <v>42613</v>
      </c>
      <c r="CP2" s="984">
        <f t="shared" si="64"/>
        <v>42643</v>
      </c>
      <c r="CQ2" s="984">
        <f t="shared" si="64"/>
        <v>42674</v>
      </c>
      <c r="CR2" s="984">
        <f t="shared" si="64"/>
        <v>42704</v>
      </c>
      <c r="CS2" s="984">
        <f t="shared" si="64"/>
        <v>42735</v>
      </c>
      <c r="CT2" s="984">
        <f t="shared" si="64"/>
        <v>42766</v>
      </c>
      <c r="CU2" s="984">
        <f t="shared" si="64"/>
        <v>42794</v>
      </c>
      <c r="CV2" s="984">
        <f t="shared" si="64"/>
        <v>42825</v>
      </c>
      <c r="CW2" s="984">
        <f t="shared" si="64"/>
        <v>42855</v>
      </c>
      <c r="CX2" s="984">
        <f t="shared" si="64"/>
        <v>42886</v>
      </c>
      <c r="CY2" s="984">
        <f t="shared" si="64"/>
        <v>42916</v>
      </c>
      <c r="CZ2" s="59"/>
      <c r="DA2" s="59"/>
      <c r="DB2" s="1039">
        <f>DATE(YEAR(DB1),MONTH(DB1)+1,0)</f>
        <v>42947</v>
      </c>
      <c r="DC2" s="1039">
        <f t="shared" ref="DC2:DM2" si="65">DATE(YEAR(DC1),MONTH(DC1)+1,0)</f>
        <v>42978</v>
      </c>
      <c r="DD2" s="1039">
        <f t="shared" si="65"/>
        <v>43008</v>
      </c>
      <c r="DE2" s="1039">
        <f t="shared" si="65"/>
        <v>43039</v>
      </c>
      <c r="DF2" s="1039">
        <f t="shared" si="65"/>
        <v>43069</v>
      </c>
      <c r="DG2" s="1039">
        <f t="shared" si="65"/>
        <v>43100</v>
      </c>
      <c r="DH2" s="1039">
        <f t="shared" si="65"/>
        <v>43131</v>
      </c>
      <c r="DI2" s="1039">
        <f t="shared" si="65"/>
        <v>43159</v>
      </c>
      <c r="DJ2" s="1039">
        <f t="shared" si="65"/>
        <v>43190</v>
      </c>
      <c r="DK2" s="1039">
        <f t="shared" si="65"/>
        <v>43220</v>
      </c>
      <c r="DL2" s="1039">
        <f t="shared" si="65"/>
        <v>43251</v>
      </c>
      <c r="DM2" s="1039">
        <f t="shared" si="65"/>
        <v>43281</v>
      </c>
      <c r="DN2" s="59"/>
      <c r="DO2" s="59"/>
      <c r="DP2" s="1039">
        <f>DATE(YEAR(DP1),MONTH(DP1)+1,0)</f>
        <v>43312</v>
      </c>
      <c r="DQ2" s="1039">
        <f t="shared" ref="DQ2:EA2" si="66">DATE(YEAR(DQ1),MONTH(DQ1)+1,0)</f>
        <v>43343</v>
      </c>
      <c r="DR2" s="1039">
        <f t="shared" si="66"/>
        <v>43373</v>
      </c>
      <c r="DS2" s="1039">
        <f t="shared" si="66"/>
        <v>43404</v>
      </c>
      <c r="DT2" s="1039">
        <f t="shared" si="66"/>
        <v>43434</v>
      </c>
      <c r="DU2" s="1039">
        <f t="shared" si="66"/>
        <v>43465</v>
      </c>
      <c r="DV2" s="1039">
        <f t="shared" si="66"/>
        <v>43496</v>
      </c>
      <c r="DW2" s="1039">
        <f t="shared" si="66"/>
        <v>43524</v>
      </c>
      <c r="DX2" s="1039">
        <f t="shared" si="66"/>
        <v>43555</v>
      </c>
      <c r="DY2" s="1039">
        <f t="shared" si="66"/>
        <v>43585</v>
      </c>
      <c r="DZ2" s="1039">
        <f t="shared" si="66"/>
        <v>43616</v>
      </c>
      <c r="EA2" s="1039">
        <f t="shared" si="66"/>
        <v>43646</v>
      </c>
      <c r="EB2" s="59"/>
      <c r="EC2" s="59"/>
      <c r="ED2" s="478"/>
      <c r="EE2" s="477"/>
      <c r="EF2" s="478"/>
      <c r="EG2" s="477"/>
      <c r="EH2" s="478"/>
      <c r="EI2" s="477"/>
      <c r="EJ2" s="478"/>
      <c r="EK2" s="477"/>
      <c r="EL2" s="478"/>
      <c r="EM2" s="477"/>
      <c r="EN2" s="478"/>
      <c r="EO2" s="477"/>
      <c r="EP2" s="478"/>
      <c r="EQ2" s="477"/>
      <c r="ER2" s="478"/>
      <c r="ES2" s="477"/>
      <c r="ET2" s="478"/>
      <c r="EU2" s="477"/>
      <c r="EV2" s="478"/>
      <c r="EW2" s="477"/>
      <c r="EX2" s="478"/>
      <c r="EY2" s="477"/>
      <c r="EZ2" s="478"/>
      <c r="FA2" s="477"/>
      <c r="FB2" s="478"/>
      <c r="FC2" s="477"/>
      <c r="FD2" s="478"/>
      <c r="FE2" s="477"/>
      <c r="FF2" s="478"/>
      <c r="FG2" s="477"/>
      <c r="FH2" s="478"/>
      <c r="FI2" s="477"/>
      <c r="FJ2" s="478"/>
      <c r="FK2" s="477"/>
      <c r="FL2" s="478"/>
      <c r="FM2" s="477"/>
      <c r="FN2" s="478"/>
      <c r="FO2" s="477"/>
      <c r="FP2" s="478"/>
      <c r="FQ2" s="477"/>
      <c r="FR2" s="880"/>
      <c r="FS2" s="477"/>
      <c r="FT2" s="478"/>
      <c r="FU2" s="477"/>
      <c r="FV2" s="478"/>
      <c r="FW2" s="477"/>
      <c r="FX2" s="478"/>
      <c r="FY2" s="477"/>
      <c r="FZ2" s="885"/>
      <c r="GA2" s="886"/>
      <c r="GB2" s="885"/>
      <c r="GC2" s="886"/>
      <c r="GD2" s="885"/>
      <c r="GE2" s="886"/>
      <c r="GF2" s="885"/>
      <c r="GG2" s="886"/>
      <c r="GH2" s="885"/>
      <c r="GI2" s="886"/>
      <c r="GJ2" s="885"/>
      <c r="GK2" s="886"/>
      <c r="GL2" s="885"/>
      <c r="GM2" s="886"/>
      <c r="GN2" s="885"/>
      <c r="GO2" s="886"/>
      <c r="GP2" s="885"/>
      <c r="GQ2" s="886"/>
      <c r="GR2" s="885"/>
      <c r="GS2" s="886"/>
      <c r="GT2" s="885"/>
      <c r="GU2" s="886"/>
      <c r="GV2" s="885"/>
      <c r="GW2" s="886"/>
      <c r="GX2" s="979"/>
      <c r="GY2" s="980"/>
      <c r="GZ2" s="979"/>
      <c r="HA2" s="980"/>
      <c r="HB2" s="979"/>
      <c r="HC2" s="980"/>
      <c r="HD2" s="979"/>
      <c r="HE2" s="980"/>
      <c r="HF2" s="979"/>
      <c r="HG2" s="980"/>
      <c r="HH2" s="979"/>
      <c r="HI2" s="980"/>
      <c r="HJ2" s="979"/>
      <c r="HK2" s="980"/>
      <c r="HL2" s="979"/>
      <c r="HM2" s="980"/>
      <c r="HN2" s="979"/>
      <c r="HO2" s="980"/>
      <c r="HP2" s="979"/>
      <c r="HQ2" s="980"/>
      <c r="HR2" s="979"/>
      <c r="HS2" s="980"/>
      <c r="HT2" s="979"/>
      <c r="HU2" s="980"/>
      <c r="HV2" s="1036"/>
      <c r="HW2" s="1034"/>
      <c r="HX2" s="1036"/>
      <c r="HY2" s="1034"/>
      <c r="HZ2" s="1036"/>
      <c r="IA2" s="1034"/>
      <c r="IB2" s="1036"/>
      <c r="IC2" s="1034"/>
      <c r="ID2" s="1036"/>
      <c r="IE2" s="1034"/>
      <c r="IF2" s="1036"/>
      <c r="IG2" s="1034"/>
      <c r="IH2" s="1036"/>
      <c r="II2" s="1034"/>
      <c r="IJ2" s="1036"/>
      <c r="IK2" s="1034"/>
      <c r="IL2" s="1036"/>
      <c r="IM2" s="1034"/>
      <c r="IN2" s="1036"/>
      <c r="IO2" s="1034"/>
      <c r="IP2" s="1036"/>
      <c r="IQ2" s="1034"/>
      <c r="IR2" s="1036"/>
      <c r="IS2" s="1034"/>
      <c r="IT2" s="882"/>
      <c r="IU2" s="1034"/>
      <c r="IW2" s="171"/>
      <c r="IX2" s="477"/>
      <c r="IY2" s="477"/>
      <c r="IZ2" s="477"/>
      <c r="JA2" s="171"/>
      <c r="JB2" s="244"/>
      <c r="JC2" s="244"/>
      <c r="JD2" s="244"/>
      <c r="JE2" s="244"/>
      <c r="JF2" s="244"/>
      <c r="JG2" s="244"/>
      <c r="JH2" s="244"/>
      <c r="JI2" s="244"/>
      <c r="JJ2" s="244"/>
      <c r="JK2" s="244"/>
      <c r="JL2" s="244"/>
      <c r="JM2" s="245"/>
      <c r="JN2" s="245"/>
      <c r="JO2" s="245"/>
      <c r="JP2" s="245"/>
      <c r="JQ2" s="245"/>
      <c r="JR2" s="245"/>
      <c r="JS2" s="245"/>
      <c r="JT2" s="245"/>
      <c r="JU2" s="245"/>
      <c r="JV2" s="245"/>
      <c r="JW2" s="245"/>
      <c r="JX2" s="245"/>
      <c r="JY2" s="245"/>
      <c r="JZ2" s="245"/>
      <c r="KA2" s="245"/>
      <c r="KB2" s="245"/>
      <c r="KC2" s="245"/>
      <c r="KD2" s="245"/>
      <c r="KE2" s="245"/>
      <c r="KF2" s="245"/>
      <c r="KG2" s="245"/>
      <c r="KH2" s="245"/>
      <c r="KI2" s="245"/>
      <c r="KJ2" s="245"/>
      <c r="KK2" s="779"/>
      <c r="KL2" s="779"/>
      <c r="KM2" s="779"/>
      <c r="KN2" s="779"/>
      <c r="KO2" s="779"/>
      <c r="KP2" s="779"/>
      <c r="KQ2" s="779"/>
      <c r="KR2" s="779"/>
      <c r="KS2" s="779"/>
      <c r="KT2" s="779"/>
      <c r="KU2" s="779"/>
      <c r="KV2" s="779"/>
      <c r="KW2" s="890"/>
      <c r="KX2" s="890"/>
      <c r="KY2" s="890"/>
      <c r="KZ2" s="890"/>
      <c r="LA2" s="890"/>
      <c r="LB2" s="890"/>
      <c r="LC2" s="890"/>
      <c r="LD2" s="890"/>
      <c r="LE2" s="890"/>
      <c r="LF2" s="890"/>
      <c r="LG2" s="890"/>
      <c r="LH2" s="890"/>
      <c r="LU2" s="1148"/>
      <c r="LV2" s="1148"/>
      <c r="LW2" s="1148"/>
      <c r="LX2" s="1148"/>
      <c r="LY2" s="1148"/>
      <c r="LZ2" s="1148"/>
      <c r="MA2" s="1148"/>
      <c r="MB2" s="1148"/>
      <c r="MC2" s="1148"/>
      <c r="MD2" s="1148"/>
      <c r="ME2" s="1148"/>
      <c r="MF2" s="1148"/>
      <c r="MG2" s="1148"/>
      <c r="MH2" s="1148"/>
      <c r="MI2" s="1148"/>
      <c r="MJ2" s="1148"/>
      <c r="MK2" s="1148"/>
      <c r="ML2" s="1148"/>
      <c r="MM2" s="1148"/>
      <c r="MN2" s="1148"/>
      <c r="MO2" s="1148"/>
      <c r="MP2" s="1148"/>
      <c r="MQ2" s="1148"/>
      <c r="MR2" s="1148"/>
    </row>
    <row r="3" spans="1:356" s="38" customFormat="1" ht="13.5" hidden="1" customHeight="1" outlineLevel="2" x14ac:dyDescent="0.25">
      <c r="A3" s="756"/>
      <c r="E3" s="39"/>
      <c r="F3" s="39"/>
      <c r="G3" s="39">
        <f>NETWORKDAYS(G1,G2,$A$73:$A$116)-(1)</f>
        <v>22</v>
      </c>
      <c r="H3" s="40">
        <v>21</v>
      </c>
      <c r="I3" s="40">
        <v>22</v>
      </c>
      <c r="J3" s="40">
        <v>22</v>
      </c>
      <c r="K3" s="40">
        <v>21</v>
      </c>
      <c r="L3" s="40">
        <v>19</v>
      </c>
      <c r="M3" s="40">
        <v>19</v>
      </c>
      <c r="N3" s="40">
        <v>20</v>
      </c>
      <c r="O3" s="40">
        <v>20</v>
      </c>
      <c r="P3" s="40">
        <v>23</v>
      </c>
      <c r="Q3" s="40">
        <v>19</v>
      </c>
      <c r="R3" s="40">
        <v>21</v>
      </c>
      <c r="S3" s="40">
        <v>22</v>
      </c>
      <c r="T3" s="60"/>
      <c r="U3" s="60"/>
      <c r="V3" s="40">
        <f>NETWORKDAYS(V1,V2,$A$77:$A$116)-(1)</f>
        <v>20</v>
      </c>
      <c r="W3" s="40">
        <f>NETWORKDAYS(W1,W2,$A$77:$A$116)-(1)</f>
        <v>23</v>
      </c>
      <c r="X3" s="40">
        <f>NETWORKDAYS(X1,X2,$A$77:$A$116)</f>
        <v>21</v>
      </c>
      <c r="Y3" s="40">
        <f t="shared" ref="Y3" si="67">NETWORKDAYS(Y1,Y2,$A$77:$A$116)-(1)</f>
        <v>21</v>
      </c>
      <c r="Z3" s="40">
        <v>19</v>
      </c>
      <c r="AA3" s="40">
        <v>19</v>
      </c>
      <c r="AB3" s="40">
        <v>20</v>
      </c>
      <c r="AC3" s="40">
        <v>21</v>
      </c>
      <c r="AD3" s="40">
        <v>22</v>
      </c>
      <c r="AE3" s="40">
        <v>20</v>
      </c>
      <c r="AF3" s="40">
        <v>23</v>
      </c>
      <c r="AG3" s="40">
        <v>21</v>
      </c>
      <c r="AH3" s="60"/>
      <c r="AI3" s="60"/>
      <c r="AJ3" s="40">
        <f>NETWORKDAYS(AJ1,AJ2,$A$77:$A$116)</f>
        <v>22</v>
      </c>
      <c r="AK3" s="40">
        <f>NETWORKDAYS(AK1,AK2,$A$77:$A$116)</f>
        <v>23</v>
      </c>
      <c r="AL3" s="40">
        <f>NETWORKDAYS(AL1,AL2,$A$77:$A$116)</f>
        <v>20</v>
      </c>
      <c r="AM3" s="40">
        <f>(NETWORKDAYS(AM1,AM2,$A$77:$A$116))-1</f>
        <v>23</v>
      </c>
      <c r="AN3" s="40">
        <f>NETWORKDAYS(AN1,AN2,$A$77:$A$116)</f>
        <v>19</v>
      </c>
      <c r="AO3" s="40">
        <f>(NETWORKDAYS(AO1,AO2,$A$77:$A$116))-1</f>
        <v>18</v>
      </c>
      <c r="AP3" s="40">
        <f>(NETWORKDAYS(AP1,AP2,$A$77:$A$116))-3</f>
        <v>21</v>
      </c>
      <c r="AQ3" s="40">
        <f>(NETWORKDAYS(AQ1,AQ2,$A$77:$A$116))-1</f>
        <v>20</v>
      </c>
      <c r="AR3" s="40">
        <f>(NETWORKDAYS(AR1,AR2,$A$77:$A$116))-2</f>
        <v>20</v>
      </c>
      <c r="AS3" s="40">
        <f>(NETWORKDAYS(AS1,AS2,$A$77:$A$116))-1</f>
        <v>22</v>
      </c>
      <c r="AT3" s="717">
        <f>NETWORKDAYS(AT1,AT2,$A$77:$A$116)-1</f>
        <v>22</v>
      </c>
      <c r="AU3" s="717">
        <f>NETWORKDAYS(AU1,AU2,$A$77:$A$116)-1</f>
        <v>20</v>
      </c>
      <c r="AV3" s="60"/>
      <c r="AW3" s="60"/>
      <c r="AX3" s="717">
        <f>NETWORKDAYS(AX1,AX2,$A$77:$A$116)-2</f>
        <v>22</v>
      </c>
      <c r="AY3" s="40">
        <f>NETWORKDAYS(AY1,AY2,$A$77:$A$128)</f>
        <v>22</v>
      </c>
      <c r="AZ3" s="40">
        <f>NETWORKDAYS(AZ1,AZ2,$A$77:$A$128)</f>
        <v>20</v>
      </c>
      <c r="BA3" s="40">
        <f>(NETWORKDAYS(BA1,BA2,$A$77:$A$128))-1</f>
        <v>23</v>
      </c>
      <c r="BB3" s="40">
        <f>(NETWORKDAYS(BB1,BB2,$A$77:$A$128))</f>
        <v>18</v>
      </c>
      <c r="BC3" s="40">
        <f>(NETWORKDAYS(BC1,BC2,$A$77:$A$128))-1</f>
        <v>19</v>
      </c>
      <c r="BD3" s="40">
        <f>(NETWORKDAYS(BD1,BD2,$A$77:$A$141))</f>
        <v>21</v>
      </c>
      <c r="BE3" s="40">
        <f>(NETWORKDAYS(BE1,BE2,$A$77:$A$141))</f>
        <v>20</v>
      </c>
      <c r="BF3" s="40">
        <f>(NETWORKDAYS(BF1,BF2,$A$77:$A$141))-1</f>
        <v>21</v>
      </c>
      <c r="BG3" s="40">
        <f>(NETWORKDAYS(BG1,BG2,$A$77:$A$141))-1</f>
        <v>21</v>
      </c>
      <c r="BH3" s="40">
        <f>(NETWORKDAYS(BH1,BH2,$A$77:$A$141))+1</f>
        <v>22</v>
      </c>
      <c r="BI3" s="40">
        <f>(NETWORKDAYS(BI1,BI2,$A$77:$A$141))-1</f>
        <v>21</v>
      </c>
      <c r="BJ3" s="60"/>
      <c r="BK3" s="60"/>
      <c r="BL3" s="717">
        <f>NETWORKDAYS(BL1,BL2,$A$77:$A$141)</f>
        <v>22</v>
      </c>
      <c r="BM3" s="717">
        <f>NETWORKDAYS(BM1,BM2,$A$77:$A$141)</f>
        <v>21</v>
      </c>
      <c r="BN3" s="717">
        <f t="shared" ref="BN3:BO3" si="68">NETWORKDAYS(BN1,BN2,$A$77:$A$141)</f>
        <v>21</v>
      </c>
      <c r="BO3" s="717">
        <f t="shared" si="68"/>
        <v>23</v>
      </c>
      <c r="BP3" s="717">
        <f>NETWORKDAYS(BP1,BP2,$A$77:$A$141)</f>
        <v>17</v>
      </c>
      <c r="BQ3" s="717">
        <f>NETWORKDAYS(BQ1,BQ2,$A$77:$A$202)</f>
        <v>20</v>
      </c>
      <c r="BR3" s="717">
        <f>NETWORKDAYS(BR1,BR2,$A$77:$A$202)</f>
        <v>20</v>
      </c>
      <c r="BS3" s="717">
        <f t="shared" ref="BS3" si="69">NETWORKDAYS(BS1,BS2,$A$77:$A$202)</f>
        <v>20</v>
      </c>
      <c r="BT3" s="717">
        <f>NETWORKDAYS(BT1,BT2,$A$77:$A$202)</f>
        <v>22</v>
      </c>
      <c r="BU3" s="717">
        <f>NETWORKDAYS(BU1,BU2,$A$77:$A$202)</f>
        <v>21</v>
      </c>
      <c r="BV3" s="717">
        <f>NETWORKDAYS(BV1,BV2,$A$77:$A$202)</f>
        <v>20</v>
      </c>
      <c r="BW3" s="717">
        <f>NETWORKDAYS(BW1,BW2,$A$77:$A$202)</f>
        <v>22</v>
      </c>
      <c r="BX3" s="60"/>
      <c r="BY3" s="60"/>
      <c r="BZ3" s="883">
        <f>NETWORKDAYS(BZ1,BZ2,$A$77:$A$202)</f>
        <v>22</v>
      </c>
      <c r="CA3" s="883">
        <f>NETWORKDAYS(CA1,CA2,$A$77:$A$202)</f>
        <v>21</v>
      </c>
      <c r="CB3" s="883">
        <f t="shared" ref="CB3:CD3" si="70">NETWORKDAYS(CB1,CB2,$A$77:$A$202)</f>
        <v>21</v>
      </c>
      <c r="CC3" s="883">
        <f t="shared" si="70"/>
        <v>22</v>
      </c>
      <c r="CD3" s="883">
        <f t="shared" si="70"/>
        <v>18</v>
      </c>
      <c r="CE3" s="883">
        <f t="shared" ref="CE3" si="71">NETWORKDAYS(CE1,CE2,$A$77:$A$202)</f>
        <v>20</v>
      </c>
      <c r="CF3" s="883">
        <f t="shared" ref="CF3" si="72">NETWORKDAYS(CF1,CF2,$A$77:$A$202)</f>
        <v>19</v>
      </c>
      <c r="CG3" s="883">
        <f t="shared" ref="CG3:CH3" si="73">NETWORKDAYS(CG1,CG2,$A$77:$A$202)</f>
        <v>21</v>
      </c>
      <c r="CH3" s="883">
        <f t="shared" si="73"/>
        <v>22</v>
      </c>
      <c r="CI3" s="883">
        <f t="shared" ref="CI3" si="74">NETWORKDAYS(CI1,CI2,$A$77:$A$202)</f>
        <v>21</v>
      </c>
      <c r="CJ3" s="883">
        <f t="shared" ref="CJ3" si="75">NETWORKDAYS(CJ1,CJ2,$A$77:$A$202)</f>
        <v>21</v>
      </c>
      <c r="CK3" s="883">
        <f t="shared" ref="CK3" si="76">NETWORKDAYS(CK1,CK2,$A$77:$A$202)</f>
        <v>22</v>
      </c>
      <c r="CL3" s="60"/>
      <c r="CM3" s="60"/>
      <c r="CN3" s="985">
        <f>NETWORKDAYS(CN1,CN2,$A$77:$A$202)</f>
        <v>20</v>
      </c>
      <c r="CO3" s="985">
        <f>NETWORKDAYS(CO1,CO2,$A$77:$A$202)</f>
        <v>23</v>
      </c>
      <c r="CP3" s="985">
        <f t="shared" ref="CP3:CY3" si="77">NETWORKDAYS(CP1,CP2,$A$77:$A$202)</f>
        <v>21</v>
      </c>
      <c r="CQ3" s="985">
        <f t="shared" si="77"/>
        <v>21</v>
      </c>
      <c r="CR3" s="985">
        <f t="shared" si="77"/>
        <v>19</v>
      </c>
      <c r="CS3" s="985">
        <f t="shared" si="77"/>
        <v>19</v>
      </c>
      <c r="CT3" s="985">
        <f t="shared" si="77"/>
        <v>20</v>
      </c>
      <c r="CU3" s="985">
        <f t="shared" si="77"/>
        <v>20</v>
      </c>
      <c r="CV3" s="985">
        <f t="shared" si="77"/>
        <v>23</v>
      </c>
      <c r="CW3" s="985">
        <f t="shared" si="77"/>
        <v>19</v>
      </c>
      <c r="CX3" s="985">
        <f t="shared" si="77"/>
        <v>22</v>
      </c>
      <c r="CY3" s="985">
        <f t="shared" si="77"/>
        <v>22</v>
      </c>
      <c r="CZ3" s="60"/>
      <c r="DA3" s="60"/>
      <c r="DB3" s="1040">
        <f>NETWORKDAYS(DB1,DB2,$A$77:$A$202)</f>
        <v>20</v>
      </c>
      <c r="DC3" s="1040">
        <f>NETWORKDAYS(DC1,DC2,$A$77:$A$202)</f>
        <v>23</v>
      </c>
      <c r="DD3" s="1040">
        <f t="shared" ref="DD3:DM3" si="78">NETWORKDAYS(DD1,DD2,$A$77:$A$202)</f>
        <v>20</v>
      </c>
      <c r="DE3" s="1040">
        <f t="shared" si="78"/>
        <v>22</v>
      </c>
      <c r="DF3" s="1040">
        <f t="shared" si="78"/>
        <v>19</v>
      </c>
      <c r="DG3" s="1040">
        <f t="shared" si="78"/>
        <v>18</v>
      </c>
      <c r="DH3" s="1040">
        <f t="shared" si="78"/>
        <v>21</v>
      </c>
      <c r="DI3" s="1040">
        <f t="shared" si="78"/>
        <v>20</v>
      </c>
      <c r="DJ3" s="1040">
        <f t="shared" si="78"/>
        <v>21</v>
      </c>
      <c r="DK3" s="1040">
        <f t="shared" si="78"/>
        <v>21</v>
      </c>
      <c r="DL3" s="1040">
        <f t="shared" si="78"/>
        <v>22</v>
      </c>
      <c r="DM3" s="1040">
        <f t="shared" si="78"/>
        <v>21</v>
      </c>
      <c r="DN3" s="60"/>
      <c r="DO3" s="60"/>
      <c r="DP3" s="1040">
        <f>NETWORKDAYS(DP1,DP2,$A$77:$A$202)</f>
        <v>21</v>
      </c>
      <c r="DQ3" s="1040">
        <f>NETWORKDAYS(DQ1,DQ2,$A$77:$A$202)</f>
        <v>23</v>
      </c>
      <c r="DR3" s="1040">
        <f t="shared" ref="DR3:EA3" si="79">NETWORKDAYS(DR1,DR2,$A$77:$A$202)</f>
        <v>19</v>
      </c>
      <c r="DS3" s="1040">
        <f t="shared" si="79"/>
        <v>23</v>
      </c>
      <c r="DT3" s="1040">
        <f t="shared" si="79"/>
        <v>19</v>
      </c>
      <c r="DU3" s="1040">
        <f t="shared" si="79"/>
        <v>19</v>
      </c>
      <c r="DV3" s="1040">
        <f t="shared" si="79"/>
        <v>21</v>
      </c>
      <c r="DW3" s="1040">
        <f t="shared" si="79"/>
        <v>20</v>
      </c>
      <c r="DX3" s="1040">
        <f t="shared" si="79"/>
        <v>21</v>
      </c>
      <c r="DY3" s="1040">
        <f t="shared" si="79"/>
        <v>21</v>
      </c>
      <c r="DZ3" s="1040">
        <f t="shared" si="79"/>
        <v>22</v>
      </c>
      <c r="EA3" s="1040">
        <f t="shared" si="79"/>
        <v>20</v>
      </c>
      <c r="EB3" s="60"/>
      <c r="EC3" s="60"/>
      <c r="ED3" s="479"/>
      <c r="EE3" s="477"/>
      <c r="EF3" s="479"/>
      <c r="EG3" s="477"/>
      <c r="EH3" s="479"/>
      <c r="EI3" s="477"/>
      <c r="EJ3" s="479"/>
      <c r="EK3" s="477"/>
      <c r="EL3" s="479"/>
      <c r="EM3" s="477"/>
      <c r="EN3" s="479"/>
      <c r="EO3" s="477"/>
      <c r="EP3" s="479"/>
      <c r="EQ3" s="477"/>
      <c r="ER3" s="479"/>
      <c r="ES3" s="477"/>
      <c r="ET3" s="479"/>
      <c r="EU3" s="477"/>
      <c r="EV3" s="479"/>
      <c r="EW3" s="477"/>
      <c r="EX3" s="479"/>
      <c r="EY3" s="477"/>
      <c r="EZ3" s="479"/>
      <c r="FA3" s="477"/>
      <c r="FB3" s="479"/>
      <c r="FC3" s="477"/>
      <c r="FD3" s="479"/>
      <c r="FE3" s="477"/>
      <c r="FF3" s="479"/>
      <c r="FG3" s="477"/>
      <c r="FH3" s="479"/>
      <c r="FI3" s="477"/>
      <c r="FJ3" s="479"/>
      <c r="FK3" s="477"/>
      <c r="FL3" s="479"/>
      <c r="FM3" s="477"/>
      <c r="FN3" s="479"/>
      <c r="FO3" s="477"/>
      <c r="FP3" s="479"/>
      <c r="FQ3" s="477"/>
      <c r="FR3" s="881"/>
      <c r="FS3" s="477"/>
      <c r="FT3" s="479"/>
      <c r="FU3" s="477"/>
      <c r="FV3" s="479"/>
      <c r="FW3" s="477"/>
      <c r="FX3" s="479"/>
      <c r="FY3" s="477"/>
      <c r="FZ3" s="887"/>
      <c r="GA3" s="886"/>
      <c r="GB3" s="887"/>
      <c r="GC3" s="886"/>
      <c r="GD3" s="887"/>
      <c r="GE3" s="886"/>
      <c r="GF3" s="887"/>
      <c r="GG3" s="886"/>
      <c r="GH3" s="887"/>
      <c r="GI3" s="886"/>
      <c r="GJ3" s="887"/>
      <c r="GK3" s="886"/>
      <c r="GL3" s="887"/>
      <c r="GM3" s="886"/>
      <c r="GN3" s="887"/>
      <c r="GO3" s="886"/>
      <c r="GP3" s="887"/>
      <c r="GQ3" s="886"/>
      <c r="GR3" s="887"/>
      <c r="GS3" s="886"/>
      <c r="GT3" s="887"/>
      <c r="GU3" s="886"/>
      <c r="GV3" s="887"/>
      <c r="GW3" s="886"/>
      <c r="GX3" s="981"/>
      <c r="GY3" s="980"/>
      <c r="GZ3" s="981"/>
      <c r="HA3" s="980"/>
      <c r="HB3" s="981"/>
      <c r="HC3" s="980"/>
      <c r="HD3" s="981"/>
      <c r="HE3" s="980"/>
      <c r="HF3" s="981"/>
      <c r="HG3" s="980"/>
      <c r="HH3" s="981"/>
      <c r="HI3" s="980"/>
      <c r="HJ3" s="981"/>
      <c r="HK3" s="980"/>
      <c r="HL3" s="981"/>
      <c r="HM3" s="980"/>
      <c r="HN3" s="981"/>
      <c r="HO3" s="980"/>
      <c r="HP3" s="981"/>
      <c r="HQ3" s="980"/>
      <c r="HR3" s="981"/>
      <c r="HS3" s="980"/>
      <c r="HT3" s="981"/>
      <c r="HU3" s="980"/>
      <c r="HV3" s="1037"/>
      <c r="HW3" s="1034"/>
      <c r="HX3" s="1037"/>
      <c r="HY3" s="1034"/>
      <c r="HZ3" s="1037"/>
      <c r="IA3" s="1034"/>
      <c r="IB3" s="1037"/>
      <c r="IC3" s="1034"/>
      <c r="ID3" s="1037"/>
      <c r="IE3" s="1034"/>
      <c r="IF3" s="1037"/>
      <c r="IG3" s="1034"/>
      <c r="IH3" s="1037"/>
      <c r="II3" s="1034"/>
      <c r="IJ3" s="1037"/>
      <c r="IK3" s="1034"/>
      <c r="IL3" s="1037"/>
      <c r="IM3" s="1034"/>
      <c r="IN3" s="1037"/>
      <c r="IO3" s="1034"/>
      <c r="IP3" s="1037"/>
      <c r="IQ3" s="1034"/>
      <c r="IR3" s="1037"/>
      <c r="IS3" s="1034"/>
      <c r="IT3" s="883"/>
      <c r="IU3" s="1034"/>
      <c r="IW3" s="171"/>
      <c r="IX3" s="477"/>
      <c r="IY3" s="477"/>
      <c r="IZ3" s="477"/>
      <c r="JA3" s="171"/>
      <c r="JB3" s="246"/>
      <c r="JC3" s="246"/>
      <c r="JD3" s="246"/>
      <c r="JE3" s="246"/>
      <c r="JF3" s="246"/>
      <c r="JG3" s="246"/>
      <c r="JH3" s="246"/>
      <c r="JI3" s="246"/>
      <c r="JJ3" s="246"/>
      <c r="JK3" s="246"/>
      <c r="JL3" s="246"/>
      <c r="JM3" s="247"/>
      <c r="JN3" s="247"/>
      <c r="JO3" s="247"/>
      <c r="JP3" s="247"/>
      <c r="JQ3" s="247"/>
      <c r="JR3" s="247"/>
      <c r="JS3" s="247"/>
      <c r="JT3" s="247"/>
      <c r="JU3" s="247"/>
      <c r="JV3" s="247"/>
      <c r="JW3" s="247"/>
      <c r="JX3" s="247"/>
      <c r="JY3" s="247"/>
      <c r="JZ3" s="247"/>
      <c r="KA3" s="247"/>
      <c r="KB3" s="247"/>
      <c r="KC3" s="247"/>
      <c r="KD3" s="247"/>
      <c r="KE3" s="247"/>
      <c r="KF3" s="247"/>
      <c r="KG3" s="247"/>
      <c r="KH3" s="247"/>
      <c r="KI3" s="247"/>
      <c r="KJ3" s="247"/>
      <c r="KK3" s="780"/>
      <c r="KL3" s="780"/>
      <c r="KM3" s="780"/>
      <c r="KN3" s="780"/>
      <c r="KO3" s="780"/>
      <c r="KP3" s="780"/>
      <c r="KQ3" s="780"/>
      <c r="KR3" s="780"/>
      <c r="KS3" s="780"/>
      <c r="KT3" s="780"/>
      <c r="KU3" s="780"/>
      <c r="KV3" s="780"/>
      <c r="KW3" s="891"/>
      <c r="KX3" s="891"/>
      <c r="KY3" s="891"/>
      <c r="KZ3" s="891"/>
      <c r="LA3" s="891"/>
      <c r="LB3" s="891"/>
      <c r="LC3" s="891"/>
      <c r="LD3" s="891"/>
      <c r="LE3" s="891"/>
      <c r="LF3" s="891"/>
      <c r="LG3" s="891"/>
      <c r="LH3" s="891"/>
      <c r="LU3" s="1149"/>
      <c r="LV3" s="1149"/>
      <c r="LW3" s="1149"/>
      <c r="LX3" s="1149"/>
      <c r="LY3" s="1149"/>
      <c r="LZ3" s="1149"/>
      <c r="MA3" s="1149"/>
      <c r="MB3" s="1149"/>
      <c r="MC3" s="1149"/>
      <c r="MD3" s="1149"/>
      <c r="ME3" s="1149"/>
      <c r="MF3" s="1149"/>
      <c r="MG3" s="1149"/>
      <c r="MH3" s="1149"/>
      <c r="MI3" s="1149"/>
      <c r="MJ3" s="1149"/>
      <c r="MK3" s="1149"/>
      <c r="ML3" s="1149"/>
      <c r="MM3" s="1149"/>
      <c r="MN3" s="1149"/>
      <c r="MO3" s="1149"/>
      <c r="MP3" s="1149"/>
      <c r="MQ3" s="1149"/>
      <c r="MR3" s="1149"/>
    </row>
    <row r="4" spans="1:356" s="44" customFormat="1" ht="13.5" hidden="1" customHeight="1" outlineLevel="2" thickBot="1" x14ac:dyDescent="0.3">
      <c r="A4" s="757"/>
      <c r="E4" s="45"/>
      <c r="F4" s="45"/>
      <c r="G4" s="45"/>
      <c r="H4" s="46">
        <v>1</v>
      </c>
      <c r="I4" s="46">
        <v>1</v>
      </c>
      <c r="J4" s="46">
        <v>1</v>
      </c>
      <c r="K4" s="46">
        <v>1</v>
      </c>
      <c r="L4" s="46">
        <v>1</v>
      </c>
      <c r="M4" s="46">
        <v>1</v>
      </c>
      <c r="N4" s="46">
        <v>1</v>
      </c>
      <c r="O4" s="46">
        <v>1</v>
      </c>
      <c r="P4" s="46">
        <v>1</v>
      </c>
      <c r="Q4" s="46">
        <v>1</v>
      </c>
      <c r="R4" s="46">
        <v>1</v>
      </c>
      <c r="S4" s="46">
        <v>1</v>
      </c>
      <c r="T4" s="243">
        <v>12</v>
      </c>
      <c r="U4" s="181"/>
      <c r="V4" s="46">
        <f t="shared" ref="V4:Y4" si="80">IF(V11&gt;0,1,)</f>
        <v>1</v>
      </c>
      <c r="W4" s="46">
        <f t="shared" si="80"/>
        <v>1</v>
      </c>
      <c r="X4" s="46">
        <f t="shared" si="80"/>
        <v>1</v>
      </c>
      <c r="Y4" s="46">
        <f t="shared" si="80"/>
        <v>1</v>
      </c>
      <c r="Z4" s="46">
        <v>1</v>
      </c>
      <c r="AA4" s="46">
        <v>1</v>
      </c>
      <c r="AB4" s="46">
        <v>1</v>
      </c>
      <c r="AC4" s="46">
        <v>1</v>
      </c>
      <c r="AD4" s="46">
        <v>1</v>
      </c>
      <c r="AE4" s="46">
        <v>1</v>
      </c>
      <c r="AF4" s="46">
        <v>1</v>
      </c>
      <c r="AG4" s="46">
        <v>1</v>
      </c>
      <c r="AH4" s="243">
        <v>12</v>
      </c>
      <c r="AI4" s="181"/>
      <c r="AJ4" s="46">
        <f t="shared" ref="AJ4:AU4" si="81">IF(AJ11&gt;0,1,)</f>
        <v>1</v>
      </c>
      <c r="AK4" s="46">
        <f t="shared" si="81"/>
        <v>1</v>
      </c>
      <c r="AL4" s="46">
        <f t="shared" si="81"/>
        <v>1</v>
      </c>
      <c r="AM4" s="46">
        <f t="shared" si="81"/>
        <v>1</v>
      </c>
      <c r="AN4" s="46">
        <f t="shared" si="81"/>
        <v>1</v>
      </c>
      <c r="AO4" s="46">
        <f t="shared" si="81"/>
        <v>1</v>
      </c>
      <c r="AP4" s="46">
        <f t="shared" si="81"/>
        <v>1</v>
      </c>
      <c r="AQ4" s="46">
        <f t="shared" si="81"/>
        <v>1</v>
      </c>
      <c r="AR4" s="46">
        <f t="shared" si="81"/>
        <v>1</v>
      </c>
      <c r="AS4" s="46">
        <f t="shared" si="81"/>
        <v>1</v>
      </c>
      <c r="AT4" s="46">
        <f t="shared" si="81"/>
        <v>1</v>
      </c>
      <c r="AU4" s="46">
        <f t="shared" si="81"/>
        <v>1</v>
      </c>
      <c r="AV4" s="243">
        <f>SUM(AJ4:AU4)</f>
        <v>12</v>
      </c>
      <c r="AW4" s="181"/>
      <c r="AX4" s="46">
        <f t="shared" ref="AX4:BI4" si="82">IF(AX11&gt;0,1,)</f>
        <v>1</v>
      </c>
      <c r="AY4" s="46">
        <f t="shared" si="82"/>
        <v>1</v>
      </c>
      <c r="AZ4" s="46">
        <f t="shared" si="82"/>
        <v>1</v>
      </c>
      <c r="BA4" s="46">
        <f t="shared" si="82"/>
        <v>1</v>
      </c>
      <c r="BB4" s="46">
        <f t="shared" si="82"/>
        <v>1</v>
      </c>
      <c r="BC4" s="46">
        <f t="shared" si="82"/>
        <v>1</v>
      </c>
      <c r="BD4" s="46">
        <f t="shared" si="82"/>
        <v>1</v>
      </c>
      <c r="BE4" s="46">
        <f t="shared" si="82"/>
        <v>1</v>
      </c>
      <c r="BF4" s="46">
        <f t="shared" si="82"/>
        <v>1</v>
      </c>
      <c r="BG4" s="46">
        <f t="shared" si="82"/>
        <v>1</v>
      </c>
      <c r="BH4" s="46">
        <f t="shared" si="82"/>
        <v>1</v>
      </c>
      <c r="BI4" s="46">
        <f t="shared" si="82"/>
        <v>1</v>
      </c>
      <c r="BJ4" s="243">
        <f>SUM(AX4:BI4)</f>
        <v>12</v>
      </c>
      <c r="BK4" s="181"/>
      <c r="BL4" s="46">
        <f t="shared" ref="BL4:BW4" si="83">IF(BL11&gt;0,1,)</f>
        <v>1</v>
      </c>
      <c r="BM4" s="46">
        <f t="shared" si="83"/>
        <v>1</v>
      </c>
      <c r="BN4" s="46">
        <f t="shared" si="83"/>
        <v>1</v>
      </c>
      <c r="BO4" s="46">
        <f t="shared" si="83"/>
        <v>1</v>
      </c>
      <c r="BP4" s="46">
        <f t="shared" si="83"/>
        <v>1</v>
      </c>
      <c r="BQ4" s="46">
        <f t="shared" si="83"/>
        <v>1</v>
      </c>
      <c r="BR4" s="46">
        <f t="shared" si="83"/>
        <v>1</v>
      </c>
      <c r="BS4" s="46">
        <f t="shared" si="83"/>
        <v>1</v>
      </c>
      <c r="BT4" s="46">
        <f t="shared" si="83"/>
        <v>1</v>
      </c>
      <c r="BU4" s="46">
        <f t="shared" si="83"/>
        <v>1</v>
      </c>
      <c r="BV4" s="46">
        <f t="shared" si="83"/>
        <v>1</v>
      </c>
      <c r="BW4" s="46">
        <f t="shared" si="83"/>
        <v>1</v>
      </c>
      <c r="BX4" s="243">
        <f>SUM(BL4:BW4)</f>
        <v>12</v>
      </c>
      <c r="BY4" s="181"/>
      <c r="BZ4" s="884">
        <f t="shared" ref="BZ4:CK4" si="84">IF(BZ11&gt;0,1,)</f>
        <v>1</v>
      </c>
      <c r="CA4" s="884">
        <f t="shared" si="84"/>
        <v>1</v>
      </c>
      <c r="CB4" s="884">
        <f t="shared" si="84"/>
        <v>1</v>
      </c>
      <c r="CC4" s="884">
        <f t="shared" si="84"/>
        <v>1</v>
      </c>
      <c r="CD4" s="884">
        <f t="shared" si="84"/>
        <v>1</v>
      </c>
      <c r="CE4" s="884">
        <f t="shared" si="84"/>
        <v>1</v>
      </c>
      <c r="CF4" s="884">
        <f t="shared" si="84"/>
        <v>1</v>
      </c>
      <c r="CG4" s="884">
        <f t="shared" si="84"/>
        <v>1</v>
      </c>
      <c r="CH4" s="884">
        <f t="shared" si="84"/>
        <v>1</v>
      </c>
      <c r="CI4" s="884">
        <f t="shared" si="84"/>
        <v>1</v>
      </c>
      <c r="CJ4" s="884">
        <f t="shared" si="84"/>
        <v>1</v>
      </c>
      <c r="CK4" s="884">
        <f t="shared" si="84"/>
        <v>1</v>
      </c>
      <c r="CL4" s="243">
        <f>SUM(BZ4:CK4)</f>
        <v>12</v>
      </c>
      <c r="CM4" s="181"/>
      <c r="CN4" s="986">
        <f t="shared" ref="CN4:CY4" si="85">IF(CN11&gt;0,1,)</f>
        <v>1</v>
      </c>
      <c r="CO4" s="986">
        <f t="shared" si="85"/>
        <v>1</v>
      </c>
      <c r="CP4" s="986">
        <f t="shared" si="85"/>
        <v>1</v>
      </c>
      <c r="CQ4" s="986">
        <f t="shared" si="85"/>
        <v>1</v>
      </c>
      <c r="CR4" s="986">
        <f t="shared" si="85"/>
        <v>1</v>
      </c>
      <c r="CS4" s="986">
        <f t="shared" si="85"/>
        <v>1</v>
      </c>
      <c r="CT4" s="986">
        <f t="shared" si="85"/>
        <v>1</v>
      </c>
      <c r="CU4" s="986">
        <f t="shared" si="85"/>
        <v>1</v>
      </c>
      <c r="CV4" s="986">
        <f t="shared" si="85"/>
        <v>1</v>
      </c>
      <c r="CW4" s="986">
        <f t="shared" si="85"/>
        <v>1</v>
      </c>
      <c r="CX4" s="986">
        <f t="shared" si="85"/>
        <v>1</v>
      </c>
      <c r="CY4" s="986">
        <f t="shared" si="85"/>
        <v>1</v>
      </c>
      <c r="CZ4" s="243">
        <f>SUM(CN4:CY4)</f>
        <v>12</v>
      </c>
      <c r="DA4" s="181"/>
      <c r="DB4" s="1041">
        <f t="shared" ref="DB4:DM4" si="86">IF(DB11&gt;0,1,)</f>
        <v>1</v>
      </c>
      <c r="DC4" s="1041">
        <f t="shared" si="86"/>
        <v>1</v>
      </c>
      <c r="DD4" s="1041">
        <f t="shared" si="86"/>
        <v>1</v>
      </c>
      <c r="DE4" s="1041">
        <f t="shared" si="86"/>
        <v>1</v>
      </c>
      <c r="DF4" s="1041">
        <f t="shared" si="86"/>
        <v>1</v>
      </c>
      <c r="DG4" s="1041">
        <f t="shared" si="86"/>
        <v>1</v>
      </c>
      <c r="DH4" s="1041">
        <f t="shared" si="86"/>
        <v>1</v>
      </c>
      <c r="DI4" s="1041">
        <f t="shared" si="86"/>
        <v>1</v>
      </c>
      <c r="DJ4" s="1041">
        <f t="shared" si="86"/>
        <v>1</v>
      </c>
      <c r="DK4" s="1041">
        <f t="shared" si="86"/>
        <v>1</v>
      </c>
      <c r="DL4" s="1041">
        <f t="shared" si="86"/>
        <v>0</v>
      </c>
      <c r="DM4" s="1041">
        <f t="shared" si="86"/>
        <v>0</v>
      </c>
      <c r="DN4" s="243">
        <f>SUM(DB4:DM4)</f>
        <v>10</v>
      </c>
      <c r="DO4" s="181"/>
      <c r="DP4" s="1041">
        <f t="shared" ref="DP4:EA4" si="87">IF(DP11&gt;0,1,)</f>
        <v>0</v>
      </c>
      <c r="DQ4" s="1041">
        <f t="shared" si="87"/>
        <v>0</v>
      </c>
      <c r="DR4" s="1041">
        <f t="shared" si="87"/>
        <v>0</v>
      </c>
      <c r="DS4" s="1041">
        <f t="shared" si="87"/>
        <v>0</v>
      </c>
      <c r="DT4" s="1041">
        <f t="shared" si="87"/>
        <v>0</v>
      </c>
      <c r="DU4" s="1041">
        <f t="shared" si="87"/>
        <v>0</v>
      </c>
      <c r="DV4" s="1041">
        <f t="shared" si="87"/>
        <v>0</v>
      </c>
      <c r="DW4" s="1041">
        <f t="shared" si="87"/>
        <v>0</v>
      </c>
      <c r="DX4" s="1041">
        <f t="shared" si="87"/>
        <v>0</v>
      </c>
      <c r="DY4" s="1041">
        <f t="shared" si="87"/>
        <v>0</v>
      </c>
      <c r="DZ4" s="1041">
        <f t="shared" si="87"/>
        <v>0</v>
      </c>
      <c r="EA4" s="1041">
        <f t="shared" si="87"/>
        <v>0</v>
      </c>
      <c r="EB4" s="243">
        <f>SUM(DP4:EA4)</f>
        <v>0</v>
      </c>
      <c r="EC4" s="181"/>
      <c r="ED4" s="481"/>
      <c r="EE4" s="480"/>
      <c r="EF4" s="481"/>
      <c r="EG4" s="480"/>
      <c r="EH4" s="481"/>
      <c r="EI4" s="480"/>
      <c r="EJ4" s="481"/>
      <c r="EK4" s="480"/>
      <c r="EL4" s="481"/>
      <c r="EM4" s="480"/>
      <c r="EN4" s="481"/>
      <c r="EO4" s="480"/>
      <c r="EP4" s="481"/>
      <c r="EQ4" s="480"/>
      <c r="ER4" s="481"/>
      <c r="ES4" s="480"/>
      <c r="ET4" s="481"/>
      <c r="EU4" s="480"/>
      <c r="EV4" s="481"/>
      <c r="EW4" s="480"/>
      <c r="EX4" s="481"/>
      <c r="EY4" s="480"/>
      <c r="EZ4" s="481"/>
      <c r="FA4" s="480"/>
      <c r="FB4" s="481"/>
      <c r="FC4" s="480"/>
      <c r="FD4" s="481"/>
      <c r="FE4" s="480"/>
      <c r="FF4" s="481"/>
      <c r="FG4" s="480"/>
      <c r="FH4" s="481"/>
      <c r="FI4" s="480"/>
      <c r="FJ4" s="481"/>
      <c r="FK4" s="480"/>
      <c r="FL4" s="481"/>
      <c r="FM4" s="480"/>
      <c r="FN4" s="481"/>
      <c r="FO4" s="480"/>
      <c r="FP4" s="481"/>
      <c r="FQ4" s="480"/>
      <c r="FR4" s="481"/>
      <c r="FS4" s="480"/>
      <c r="FT4" s="481"/>
      <c r="FU4" s="480"/>
      <c r="FV4" s="481"/>
      <c r="FW4" s="480"/>
      <c r="FX4" s="481"/>
      <c r="FY4" s="480"/>
      <c r="FZ4" s="888"/>
      <c r="GA4" s="889"/>
      <c r="GB4" s="888"/>
      <c r="GC4" s="889"/>
      <c r="GD4" s="888"/>
      <c r="GE4" s="889"/>
      <c r="GF4" s="888"/>
      <c r="GG4" s="889"/>
      <c r="GH4" s="888"/>
      <c r="GI4" s="889"/>
      <c r="GJ4" s="888"/>
      <c r="GK4" s="889"/>
      <c r="GL4" s="888"/>
      <c r="GM4" s="889"/>
      <c r="GN4" s="888"/>
      <c r="GO4" s="889"/>
      <c r="GP4" s="888"/>
      <c r="GQ4" s="889"/>
      <c r="GR4" s="888"/>
      <c r="GS4" s="889"/>
      <c r="GT4" s="888"/>
      <c r="GU4" s="889"/>
      <c r="GV4" s="888"/>
      <c r="GW4" s="889"/>
      <c r="GX4" s="982"/>
      <c r="GY4" s="983"/>
      <c r="GZ4" s="982"/>
      <c r="HA4" s="983"/>
      <c r="HB4" s="982"/>
      <c r="HC4" s="983"/>
      <c r="HD4" s="982"/>
      <c r="HE4" s="983"/>
      <c r="HF4" s="982"/>
      <c r="HG4" s="983"/>
      <c r="HH4" s="982"/>
      <c r="HI4" s="983"/>
      <c r="HJ4" s="982"/>
      <c r="HK4" s="983"/>
      <c r="HL4" s="982"/>
      <c r="HM4" s="983"/>
      <c r="HN4" s="982"/>
      <c r="HO4" s="983"/>
      <c r="HP4" s="982"/>
      <c r="HQ4" s="983"/>
      <c r="HR4" s="982"/>
      <c r="HS4" s="983"/>
      <c r="HT4" s="982"/>
      <c r="HU4" s="983"/>
      <c r="HV4" s="1038"/>
      <c r="HW4" s="1035"/>
      <c r="HX4" s="1038"/>
      <c r="HY4" s="1035"/>
      <c r="HZ4" s="1038"/>
      <c r="IA4" s="1035"/>
      <c r="IB4" s="1038"/>
      <c r="IC4" s="1035"/>
      <c r="ID4" s="1038"/>
      <c r="IE4" s="1035"/>
      <c r="IF4" s="1038"/>
      <c r="IG4" s="1035"/>
      <c r="IH4" s="1038"/>
      <c r="II4" s="1035"/>
      <c r="IJ4" s="1038"/>
      <c r="IK4" s="1035"/>
      <c r="IL4" s="1038"/>
      <c r="IM4" s="1035"/>
      <c r="IN4" s="1038"/>
      <c r="IO4" s="1035"/>
      <c r="IP4" s="1038"/>
      <c r="IQ4" s="1035"/>
      <c r="IR4" s="1038"/>
      <c r="IS4" s="1035"/>
      <c r="IT4" s="884"/>
      <c r="IU4" s="1035"/>
      <c r="IW4" s="172"/>
      <c r="IX4" s="480"/>
      <c r="IY4" s="480"/>
      <c r="IZ4" s="480"/>
      <c r="JA4" s="172"/>
      <c r="JB4" s="248"/>
      <c r="JC4" s="248"/>
      <c r="JD4" s="248"/>
      <c r="JE4" s="248"/>
      <c r="JF4" s="248"/>
      <c r="JG4" s="248"/>
      <c r="JH4" s="248"/>
      <c r="JI4" s="248"/>
      <c r="JJ4" s="248"/>
      <c r="JK4" s="248"/>
      <c r="JL4" s="248"/>
      <c r="JM4" s="249"/>
      <c r="JN4" s="249"/>
      <c r="JO4" s="249"/>
      <c r="JP4" s="249"/>
      <c r="JQ4" s="249"/>
      <c r="JR4" s="249"/>
      <c r="JS4" s="249"/>
      <c r="JT4" s="249"/>
      <c r="JU4" s="249"/>
      <c r="JV4" s="249"/>
      <c r="JW4" s="249"/>
      <c r="JX4" s="249"/>
      <c r="JY4" s="249"/>
      <c r="JZ4" s="249"/>
      <c r="KA4" s="249"/>
      <c r="KB4" s="249"/>
      <c r="KC4" s="249"/>
      <c r="KD4" s="249"/>
      <c r="KE4" s="249"/>
      <c r="KF4" s="249"/>
      <c r="KG4" s="249"/>
      <c r="KH4" s="249"/>
      <c r="KI4" s="249"/>
      <c r="KJ4" s="249"/>
      <c r="KK4" s="781"/>
      <c r="KL4" s="781"/>
      <c r="KM4" s="781"/>
      <c r="KN4" s="781"/>
      <c r="KO4" s="781"/>
      <c r="KP4" s="781"/>
      <c r="KQ4" s="781"/>
      <c r="KR4" s="781"/>
      <c r="KS4" s="781"/>
      <c r="KT4" s="781"/>
      <c r="KU4" s="781"/>
      <c r="KV4" s="781"/>
      <c r="KW4" s="892"/>
      <c r="KX4" s="892"/>
      <c r="KY4" s="892"/>
      <c r="KZ4" s="892"/>
      <c r="LA4" s="892"/>
      <c r="LB4" s="892"/>
      <c r="LC4" s="892"/>
      <c r="LD4" s="892"/>
      <c r="LE4" s="892"/>
      <c r="LF4" s="892"/>
      <c r="LG4" s="892"/>
      <c r="LH4" s="892"/>
      <c r="LU4" s="1150"/>
      <c r="LV4" s="1150"/>
      <c r="LW4" s="1150"/>
      <c r="LX4" s="1150"/>
      <c r="LY4" s="1150"/>
      <c r="LZ4" s="1150"/>
      <c r="MA4" s="1150"/>
      <c r="MB4" s="1150"/>
      <c r="MC4" s="1150"/>
      <c r="MD4" s="1150"/>
      <c r="ME4" s="1150"/>
      <c r="MF4" s="1150"/>
      <c r="MG4" s="1150"/>
      <c r="MH4" s="1150"/>
      <c r="MI4" s="1150"/>
      <c r="MJ4" s="1150"/>
      <c r="MK4" s="1150"/>
      <c r="ML4" s="1150"/>
      <c r="MM4" s="1150"/>
      <c r="MN4" s="1150"/>
      <c r="MO4" s="1150"/>
      <c r="MP4" s="1150"/>
      <c r="MQ4" s="1150"/>
      <c r="MR4" s="1150"/>
    </row>
    <row r="5" spans="1:356" s="50" customFormat="1" ht="13.5" hidden="1" customHeight="1" outlineLevel="1" collapsed="1" x14ac:dyDescent="0.25">
      <c r="A5" s="758"/>
      <c r="B5" s="47" t="s">
        <v>11</v>
      </c>
      <c r="C5" s="47"/>
      <c r="D5" s="47"/>
      <c r="E5" s="48"/>
      <c r="F5" s="48"/>
      <c r="G5" s="48"/>
      <c r="H5" s="49">
        <v>19</v>
      </c>
      <c r="I5" s="62">
        <v>56</v>
      </c>
      <c r="J5" s="49">
        <v>5</v>
      </c>
      <c r="K5" s="62">
        <v>346</v>
      </c>
      <c r="L5" s="49">
        <v>96</v>
      </c>
      <c r="M5" s="62">
        <v>37</v>
      </c>
      <c r="N5" s="49">
        <v>9</v>
      </c>
      <c r="O5" s="62">
        <v>14</v>
      </c>
      <c r="P5" s="49">
        <v>26</v>
      </c>
      <c r="Q5" s="62">
        <v>11</v>
      </c>
      <c r="R5" s="49">
        <v>14</v>
      </c>
      <c r="S5" s="62">
        <v>52</v>
      </c>
      <c r="T5" s="182">
        <v>685</v>
      </c>
      <c r="U5" s="185">
        <v>57.083333333333336</v>
      </c>
      <c r="V5" s="49">
        <v>32</v>
      </c>
      <c r="W5" s="62">
        <f>20+1</f>
        <v>21</v>
      </c>
      <c r="X5" s="49">
        <v>67</v>
      </c>
      <c r="Y5" s="62">
        <f>1+4</f>
        <v>5</v>
      </c>
      <c r="Z5" s="49">
        <v>112</v>
      </c>
      <c r="AA5" s="62">
        <v>427</v>
      </c>
      <c r="AB5" s="49">
        <v>25</v>
      </c>
      <c r="AC5" s="62">
        <v>16</v>
      </c>
      <c r="AD5" s="49">
        <v>10</v>
      </c>
      <c r="AE5" s="62">
        <v>21</v>
      </c>
      <c r="AF5" s="49">
        <v>25</v>
      </c>
      <c r="AG5" s="62">
        <v>15</v>
      </c>
      <c r="AH5" s="182">
        <v>776</v>
      </c>
      <c r="AI5" s="185">
        <v>64.666666666666671</v>
      </c>
      <c r="AJ5" s="49">
        <v>20</v>
      </c>
      <c r="AK5" s="62">
        <v>20</v>
      </c>
      <c r="AL5" s="49">
        <v>21</v>
      </c>
      <c r="AM5" s="62">
        <v>21</v>
      </c>
      <c r="AN5" s="49">
        <v>20</v>
      </c>
      <c r="AO5" s="62">
        <v>23</v>
      </c>
      <c r="AP5" s="49">
        <v>28</v>
      </c>
      <c r="AQ5" s="62">
        <v>14</v>
      </c>
      <c r="AR5" s="49">
        <v>10</v>
      </c>
      <c r="AS5" s="62">
        <v>19</v>
      </c>
      <c r="AT5" s="49">
        <f>3+17</f>
        <v>20</v>
      </c>
      <c r="AU5" s="62">
        <f>15+17</f>
        <v>32</v>
      </c>
      <c r="AV5" s="182">
        <f>SUM(AJ5:AU5)</f>
        <v>248</v>
      </c>
      <c r="AW5" s="185">
        <f>SUM(AJ5:AU5)/$AV$4</f>
        <v>20.666666666666668</v>
      </c>
      <c r="AX5" s="49">
        <v>27</v>
      </c>
      <c r="AY5" s="62">
        <f>13+9</f>
        <v>22</v>
      </c>
      <c r="AZ5" s="49">
        <v>68</v>
      </c>
      <c r="BA5" s="62">
        <v>86</v>
      </c>
      <c r="BB5" s="49">
        <f>6+7</f>
        <v>13</v>
      </c>
      <c r="BC5" s="62">
        <f>34+8</f>
        <v>42</v>
      </c>
      <c r="BD5" s="49">
        <f>13+14</f>
        <v>27</v>
      </c>
      <c r="BE5" s="62">
        <f>12+9</f>
        <v>21</v>
      </c>
      <c r="BF5" s="49">
        <f>15+17</f>
        <v>32</v>
      </c>
      <c r="BG5" s="62">
        <f>9+7+16</f>
        <v>32</v>
      </c>
      <c r="BH5" s="49">
        <f>8+17</f>
        <v>25</v>
      </c>
      <c r="BI5" s="62">
        <f>16+10+10</f>
        <v>36</v>
      </c>
      <c r="BJ5" s="182">
        <f>SUM(AX5:BI5)</f>
        <v>431</v>
      </c>
      <c r="BK5" s="185">
        <f>SUM(AX5:BI5)/$BJ$4</f>
        <v>35.916666666666664</v>
      </c>
      <c r="BL5" s="49">
        <f>13+100+11</f>
        <v>124</v>
      </c>
      <c r="BM5" s="62">
        <f>15+17</f>
        <v>32</v>
      </c>
      <c r="BN5" s="49">
        <f>33+6+35</f>
        <v>74</v>
      </c>
      <c r="BO5" s="62">
        <f>6+8+11</f>
        <v>25</v>
      </c>
      <c r="BP5" s="49">
        <f>6+8+3</f>
        <v>17</v>
      </c>
      <c r="BQ5" s="62">
        <f>9+10+27</f>
        <v>46</v>
      </c>
      <c r="BR5" s="49">
        <f>8+4+7</f>
        <v>19</v>
      </c>
      <c r="BS5" s="62">
        <f>42+12+12</f>
        <v>66</v>
      </c>
      <c r="BT5" s="49">
        <v>156</v>
      </c>
      <c r="BU5" s="62">
        <f>8+1+8</f>
        <v>17</v>
      </c>
      <c r="BV5" s="49">
        <f>0+6</f>
        <v>6</v>
      </c>
      <c r="BW5" s="62">
        <f>2+2+23</f>
        <v>27</v>
      </c>
      <c r="BX5" s="182">
        <f>SUM(BL5:BW5)</f>
        <v>609</v>
      </c>
      <c r="BY5" s="185">
        <f>SUM(BL5:BW5)/$BX$4</f>
        <v>50.75</v>
      </c>
      <c r="BZ5" s="948">
        <f>4+2+18</f>
        <v>24</v>
      </c>
      <c r="CA5" s="62">
        <f>5+1+25</f>
        <v>31</v>
      </c>
      <c r="CB5" s="49">
        <f>7+5+16</f>
        <v>28</v>
      </c>
      <c r="CC5" s="62">
        <f>4+7+14</f>
        <v>25</v>
      </c>
      <c r="CD5" s="49">
        <f>136+2+27</f>
        <v>165</v>
      </c>
      <c r="CE5" s="62">
        <f>2+7+45</f>
        <v>54</v>
      </c>
      <c r="CF5" s="49">
        <f>3+2+6</f>
        <v>11</v>
      </c>
      <c r="CG5" s="62">
        <f>6+6+24</f>
        <v>36</v>
      </c>
      <c r="CH5" s="49">
        <f>12+11+25</f>
        <v>48</v>
      </c>
      <c r="CI5" s="62">
        <f>13+4+27</f>
        <v>44</v>
      </c>
      <c r="CJ5" s="49">
        <v>24</v>
      </c>
      <c r="CK5" s="62">
        <f>25+10+16</f>
        <v>51</v>
      </c>
      <c r="CL5" s="182">
        <f>SUM(BZ5:CK5)</f>
        <v>541</v>
      </c>
      <c r="CM5" s="185">
        <f>SUM(BZ5:CK5)/$CL$4</f>
        <v>45.083333333333336</v>
      </c>
      <c r="CN5" s="948">
        <f>48+16</f>
        <v>64</v>
      </c>
      <c r="CO5" s="62">
        <f>17+16+16</f>
        <v>49</v>
      </c>
      <c r="CP5" s="49">
        <f>9+18+10</f>
        <v>37</v>
      </c>
      <c r="CQ5" s="62">
        <f>10+16+16</f>
        <v>42</v>
      </c>
      <c r="CR5" s="49">
        <f>8+9+18</f>
        <v>35</v>
      </c>
      <c r="CS5" s="62">
        <f>12+26+20</f>
        <v>58</v>
      </c>
      <c r="CT5" s="49">
        <f>3+2+6</f>
        <v>11</v>
      </c>
      <c r="CU5" s="62">
        <f>57+35+10</f>
        <v>102</v>
      </c>
      <c r="CV5" s="49">
        <f>7+2+9</f>
        <v>18</v>
      </c>
      <c r="CW5" s="62">
        <f>14+2+15</f>
        <v>31</v>
      </c>
      <c r="CX5" s="49">
        <f>11+13+23</f>
        <v>47</v>
      </c>
      <c r="CY5" s="62">
        <f>9+6+12</f>
        <v>27</v>
      </c>
      <c r="CZ5" s="182">
        <f>SUM(CN5:CY5)</f>
        <v>521</v>
      </c>
      <c r="DA5" s="185">
        <f>SUM(CN5:CY5)/$CZ$4</f>
        <v>43.416666666666664</v>
      </c>
      <c r="DB5" s="948">
        <f>22+5+12</f>
        <v>39</v>
      </c>
      <c r="DC5" s="62">
        <f>19+3+20</f>
        <v>42</v>
      </c>
      <c r="DD5" s="49">
        <f>3+4+39</f>
        <v>46</v>
      </c>
      <c r="DE5" s="62">
        <f>8+9+24</f>
        <v>41</v>
      </c>
      <c r="DF5" s="49">
        <f>5+4+20</f>
        <v>29</v>
      </c>
      <c r="DG5" s="62">
        <f>3+15+21</f>
        <v>39</v>
      </c>
      <c r="DH5" s="49">
        <f>23+19+6</f>
        <v>48</v>
      </c>
      <c r="DI5" s="62">
        <f>15+5+15</f>
        <v>35</v>
      </c>
      <c r="DJ5" s="49">
        <f>7+6+10</f>
        <v>23</v>
      </c>
      <c r="DK5" s="62">
        <f>16+25+15</f>
        <v>56</v>
      </c>
      <c r="DL5" s="49"/>
      <c r="DM5" s="62"/>
      <c r="DN5" s="182">
        <f>SUM(DB5:DM5)</f>
        <v>398</v>
      </c>
      <c r="DO5" s="185">
        <f>SUM(DB5:DM5)/$DN$4</f>
        <v>39.799999999999997</v>
      </c>
      <c r="DP5" s="948"/>
      <c r="DQ5" s="62"/>
      <c r="DR5" s="49"/>
      <c r="DS5" s="62"/>
      <c r="DT5" s="49"/>
      <c r="DU5" s="62"/>
      <c r="DV5" s="49"/>
      <c r="DW5" s="62"/>
      <c r="DX5" s="49"/>
      <c r="DY5" s="62"/>
      <c r="DZ5" s="49"/>
      <c r="EA5" s="62"/>
      <c r="EB5" s="182">
        <f>SUM(DP5:EA5)</f>
        <v>0</v>
      </c>
      <c r="EC5" s="185" t="e">
        <f>SUM(DP5:EA5)/$EB$4</f>
        <v>#DIV/0!</v>
      </c>
      <c r="ED5" s="125">
        <f>AX5-AU5</f>
        <v>-5</v>
      </c>
      <c r="EE5" s="399">
        <f>ED5/AU5</f>
        <v>-0.15625</v>
      </c>
      <c r="EF5" s="125">
        <f>AY5-AX5</f>
        <v>-5</v>
      </c>
      <c r="EG5" s="399">
        <f>EF5/AX5</f>
        <v>-0.18518518518518517</v>
      </c>
      <c r="EH5" s="125">
        <f>AZ5-AY5</f>
        <v>46</v>
      </c>
      <c r="EI5" s="399">
        <f>EH5/AY5</f>
        <v>2.0909090909090908</v>
      </c>
      <c r="EJ5" s="125">
        <f>BA5-AZ5</f>
        <v>18</v>
      </c>
      <c r="EK5" s="399">
        <f>EJ5/AZ5</f>
        <v>0.26470588235294118</v>
      </c>
      <c r="EL5" s="125">
        <f>BB5-BA5</f>
        <v>-73</v>
      </c>
      <c r="EM5" s="399">
        <f>EL5/BA5</f>
        <v>-0.84883720930232553</v>
      </c>
      <c r="EN5" s="125">
        <f>BC5-BB5</f>
        <v>29</v>
      </c>
      <c r="EO5" s="399">
        <f>EN5/BB5</f>
        <v>2.2307692307692308</v>
      </c>
      <c r="EP5" s="125">
        <f>BD5-BC5</f>
        <v>-15</v>
      </c>
      <c r="EQ5" s="399">
        <f>EP5/BC5</f>
        <v>-0.35714285714285715</v>
      </c>
      <c r="ER5" s="125">
        <f>BE5-BD5</f>
        <v>-6</v>
      </c>
      <c r="ES5" s="399">
        <f>ER5/BD5</f>
        <v>-0.22222222222222221</v>
      </c>
      <c r="ET5" s="125">
        <f>BF5-BE5</f>
        <v>11</v>
      </c>
      <c r="EU5" s="399">
        <f>ET5/BE5</f>
        <v>0.52380952380952384</v>
      </c>
      <c r="EV5" s="125">
        <f>BG5-BF5</f>
        <v>0</v>
      </c>
      <c r="EW5" s="399">
        <f>EV5/BF5</f>
        <v>0</v>
      </c>
      <c r="EX5" s="125">
        <f>BH5-BG5</f>
        <v>-7</v>
      </c>
      <c r="EY5" s="399">
        <f>EX5/BG5</f>
        <v>-0.21875</v>
      </c>
      <c r="EZ5" s="125">
        <f>BI5-BH5</f>
        <v>11</v>
      </c>
      <c r="FA5" s="399">
        <f>EZ5/BH5</f>
        <v>0.44</v>
      </c>
      <c r="FB5" s="662">
        <f>BL5-BI5</f>
        <v>88</v>
      </c>
      <c r="FC5" s="663">
        <f>FB5/BI5</f>
        <v>2.4444444444444446</v>
      </c>
      <c r="FD5" s="662">
        <f>BM5-BL5</f>
        <v>-92</v>
      </c>
      <c r="FE5" s="663">
        <f>FD5/BL5</f>
        <v>-0.74193548387096775</v>
      </c>
      <c r="FF5" s="662">
        <f>BN5-BM5</f>
        <v>42</v>
      </c>
      <c r="FG5" s="663">
        <f>FF5/BM5</f>
        <v>1.3125</v>
      </c>
      <c r="FH5" s="662">
        <f>BO5-BN5</f>
        <v>-49</v>
      </c>
      <c r="FI5" s="663">
        <f>FH5/BN5</f>
        <v>-0.66216216216216217</v>
      </c>
      <c r="FJ5" s="662">
        <f>BP5-BO5</f>
        <v>-8</v>
      </c>
      <c r="FK5" s="663">
        <f>FJ5/BO5</f>
        <v>-0.32</v>
      </c>
      <c r="FL5" s="662">
        <f>BQ5-BP5</f>
        <v>29</v>
      </c>
      <c r="FM5" s="663">
        <f>FL5/BP5</f>
        <v>1.7058823529411764</v>
      </c>
      <c r="FN5" s="662">
        <f>BR5-BQ5</f>
        <v>-27</v>
      </c>
      <c r="FO5" s="663">
        <f>FN5/BQ5</f>
        <v>-0.58695652173913049</v>
      </c>
      <c r="FP5" s="662">
        <f>BS5-BR5</f>
        <v>47</v>
      </c>
      <c r="FQ5" s="663">
        <f>FP5/BR5</f>
        <v>2.4736842105263159</v>
      </c>
      <c r="FR5" s="662">
        <f>BT5-BS5</f>
        <v>90</v>
      </c>
      <c r="FS5" s="663">
        <f>FR5/BS5</f>
        <v>1.3636363636363635</v>
      </c>
      <c r="FT5" s="662">
        <f>BU5-BT5</f>
        <v>-139</v>
      </c>
      <c r="FU5" s="663">
        <f>FT5/BT5</f>
        <v>-0.89102564102564108</v>
      </c>
      <c r="FV5" s="662">
        <f>BV5-BU5</f>
        <v>-11</v>
      </c>
      <c r="FW5" s="663">
        <f>FV5/BU5</f>
        <v>-0.6470588235294118</v>
      </c>
      <c r="FX5" s="662">
        <f>BW5-BV5</f>
        <v>21</v>
      </c>
      <c r="FY5" s="663">
        <f>FX5/BV5</f>
        <v>3.5</v>
      </c>
      <c r="FZ5" s="662">
        <f>BZ5-BW5</f>
        <v>-3</v>
      </c>
      <c r="GA5" s="663">
        <f>FZ5/BW5</f>
        <v>-0.1111111111111111</v>
      </c>
      <c r="GB5" s="662">
        <f>CA5-BZ5</f>
        <v>7</v>
      </c>
      <c r="GC5" s="663">
        <f>GB5/BZ5</f>
        <v>0.29166666666666669</v>
      </c>
      <c r="GD5" s="662">
        <f>CB5-CA5</f>
        <v>-3</v>
      </c>
      <c r="GE5" s="663">
        <f>GD5/CA5</f>
        <v>-9.6774193548387094E-2</v>
      </c>
      <c r="GF5" s="662">
        <f>CC5-CB5</f>
        <v>-3</v>
      </c>
      <c r="GG5" s="663">
        <f>GF5/CB5</f>
        <v>-0.10714285714285714</v>
      </c>
      <c r="GH5" s="662">
        <f>CD5-CC5</f>
        <v>140</v>
      </c>
      <c r="GI5" s="663">
        <f>GH5/CC5</f>
        <v>5.6</v>
      </c>
      <c r="GJ5" s="662">
        <f>CE5-CD5</f>
        <v>-111</v>
      </c>
      <c r="GK5" s="663">
        <f>GJ5/CD5</f>
        <v>-0.67272727272727273</v>
      </c>
      <c r="GL5" s="662">
        <f>CF5-CE5</f>
        <v>-43</v>
      </c>
      <c r="GM5" s="663">
        <f>GL5/CE5</f>
        <v>-0.79629629629629628</v>
      </c>
      <c r="GN5" s="662">
        <f>CG5-CF5</f>
        <v>25</v>
      </c>
      <c r="GO5" s="663">
        <f>GN5/CF5</f>
        <v>2.2727272727272729</v>
      </c>
      <c r="GP5" s="662">
        <f>CH5-CG5</f>
        <v>12</v>
      </c>
      <c r="GQ5" s="663">
        <f>GP5/CG5</f>
        <v>0.33333333333333331</v>
      </c>
      <c r="GR5" s="662">
        <f>CI5-CH5</f>
        <v>-4</v>
      </c>
      <c r="GS5" s="663">
        <f>GR5/CH5</f>
        <v>-8.3333333333333329E-2</v>
      </c>
      <c r="GT5" s="662">
        <f>CJ5-CI5</f>
        <v>-20</v>
      </c>
      <c r="GU5" s="663">
        <f>GT5/CI5</f>
        <v>-0.45454545454545453</v>
      </c>
      <c r="GV5" s="662">
        <f>CK5-CJ5</f>
        <v>27</v>
      </c>
      <c r="GW5" s="663">
        <f>GV5/CJ5</f>
        <v>1.125</v>
      </c>
      <c r="GX5" s="662">
        <f>CN5-CK5</f>
        <v>13</v>
      </c>
      <c r="GY5" s="663">
        <f>GX5/CK5</f>
        <v>0.25490196078431371</v>
      </c>
      <c r="GZ5" s="662">
        <f>CO5-CN5</f>
        <v>-15</v>
      </c>
      <c r="HA5" s="663">
        <f>GZ5/CN5</f>
        <v>-0.234375</v>
      </c>
      <c r="HB5" s="662">
        <f>CP5-CO5</f>
        <v>-12</v>
      </c>
      <c r="HC5" s="663">
        <f>HB5/CO5</f>
        <v>-0.24489795918367346</v>
      </c>
      <c r="HD5" s="662">
        <f>CQ5-CP5</f>
        <v>5</v>
      </c>
      <c r="HE5" s="663">
        <f>HD5/CP5</f>
        <v>0.13513513513513514</v>
      </c>
      <c r="HF5" s="662">
        <f>CR5-CQ5</f>
        <v>-7</v>
      </c>
      <c r="HG5" s="663">
        <f>HF5/CQ5</f>
        <v>-0.16666666666666666</v>
      </c>
      <c r="HH5" s="662">
        <f>CS5-CR5</f>
        <v>23</v>
      </c>
      <c r="HI5" s="663">
        <f>HH5/CR5</f>
        <v>0.65714285714285714</v>
      </c>
      <c r="HJ5" s="662">
        <f>CT5-CS5</f>
        <v>-47</v>
      </c>
      <c r="HK5" s="663">
        <f>HJ5/CS5</f>
        <v>-0.81034482758620685</v>
      </c>
      <c r="HL5" s="662">
        <f>CU5-CT5</f>
        <v>91</v>
      </c>
      <c r="HM5" s="663">
        <f>HL5/CT5</f>
        <v>8.2727272727272734</v>
      </c>
      <c r="HN5" s="662">
        <f>CV5-CU5</f>
        <v>-84</v>
      </c>
      <c r="HO5" s="663">
        <f>HN5/CU5</f>
        <v>-0.82352941176470584</v>
      </c>
      <c r="HP5" s="662">
        <f>CW5-CV5</f>
        <v>13</v>
      </c>
      <c r="HQ5" s="663">
        <f>HP5/CV5</f>
        <v>0.72222222222222221</v>
      </c>
      <c r="HR5" s="662">
        <f>CX5-CW5</f>
        <v>16</v>
      </c>
      <c r="HS5" s="663">
        <f>HR5/CW5</f>
        <v>0.5161290322580645</v>
      </c>
      <c r="HT5" s="662">
        <f>CY5-CX5</f>
        <v>-20</v>
      </c>
      <c r="HU5" s="663">
        <f>HT5/CX5</f>
        <v>-0.42553191489361702</v>
      </c>
      <c r="HV5" s="662">
        <f>DB5-CY5</f>
        <v>12</v>
      </c>
      <c r="HW5" s="663">
        <f>HV5/CY5</f>
        <v>0.44444444444444442</v>
      </c>
      <c r="HX5" s="662">
        <f>DC5-DB5</f>
        <v>3</v>
      </c>
      <c r="HY5" s="663">
        <f>HX5/DB5</f>
        <v>7.6923076923076927E-2</v>
      </c>
      <c r="HZ5" s="662">
        <f>DD5-DC5</f>
        <v>4</v>
      </c>
      <c r="IA5" s="663">
        <f>HZ5/DD5</f>
        <v>8.6956521739130432E-2</v>
      </c>
      <c r="IB5" s="662">
        <f>DE5-DD5</f>
        <v>-5</v>
      </c>
      <c r="IC5" s="663">
        <f>IB5/DD5</f>
        <v>-0.10869565217391304</v>
      </c>
      <c r="ID5" s="662">
        <f>DF5-DE5</f>
        <v>-12</v>
      </c>
      <c r="IE5" s="663">
        <f>ID5/DO5</f>
        <v>-0.30150753768844224</v>
      </c>
      <c r="IF5" s="662">
        <f>DG5-DF5</f>
        <v>10</v>
      </c>
      <c r="IG5" s="663">
        <f>IF5/DF5</f>
        <v>0.34482758620689657</v>
      </c>
      <c r="IH5" s="662">
        <f>DH5-DG5</f>
        <v>9</v>
      </c>
      <c r="II5" s="663">
        <f>IH5/DG5</f>
        <v>0.23076923076923078</v>
      </c>
      <c r="IJ5" s="662">
        <f>DI5-DH5</f>
        <v>-13</v>
      </c>
      <c r="IK5" s="663">
        <f>IJ5/DH5</f>
        <v>-0.27083333333333331</v>
      </c>
      <c r="IL5" s="662">
        <f>DJ5-DI5</f>
        <v>-12</v>
      </c>
      <c r="IM5" s="663">
        <f>IL5/DI5</f>
        <v>-0.34285714285714286</v>
      </c>
      <c r="IN5" s="662">
        <f>DK5-DJ5</f>
        <v>33</v>
      </c>
      <c r="IO5" s="663">
        <f>IN5/DJ5</f>
        <v>1.4347826086956521</v>
      </c>
      <c r="IP5" s="662">
        <f>DL5-DK5</f>
        <v>-56</v>
      </c>
      <c r="IQ5" s="663">
        <f>IP5/EI5</f>
        <v>-26.782608695652176</v>
      </c>
      <c r="IR5" s="662">
        <f>DM5-DL5</f>
        <v>0</v>
      </c>
      <c r="IS5" s="663">
        <f>IR5/EJ5</f>
        <v>0</v>
      </c>
      <c r="IT5" s="948">
        <f>CW5</f>
        <v>31</v>
      </c>
      <c r="IU5" s="1086">
        <f>DK5</f>
        <v>56</v>
      </c>
      <c r="IV5" s="662">
        <f>IU5-IT5</f>
        <v>25</v>
      </c>
      <c r="IW5" s="109">
        <f>IF(ISERROR(IV5/IT5),0,IV5/IT5)</f>
        <v>0.80645161290322576</v>
      </c>
      <c r="IX5" s="693"/>
      <c r="IY5" s="693"/>
      <c r="IZ5" s="693"/>
      <c r="JB5" s="250"/>
      <c r="JC5" s="250"/>
      <c r="JD5" s="250"/>
      <c r="JE5" s="250"/>
      <c r="JF5" s="250"/>
      <c r="JG5" s="250"/>
      <c r="JH5" s="250"/>
      <c r="JI5" s="250"/>
      <c r="JJ5" s="250"/>
      <c r="JK5" s="250"/>
      <c r="JL5" s="250"/>
      <c r="JM5" s="251"/>
      <c r="JN5" s="251"/>
      <c r="JO5" s="251"/>
      <c r="JP5" s="251"/>
      <c r="JQ5" s="251"/>
      <c r="JR5" s="251"/>
      <c r="JS5" s="251"/>
      <c r="JT5" s="251"/>
      <c r="JU5" s="251"/>
      <c r="JV5" s="251"/>
      <c r="JW5" s="251"/>
      <c r="JX5" s="251"/>
      <c r="JY5" s="251"/>
      <c r="JZ5" s="251"/>
      <c r="KA5" s="251"/>
      <c r="KB5" s="251"/>
      <c r="KC5" s="251"/>
      <c r="KD5" s="251"/>
      <c r="KE5" s="251"/>
      <c r="KF5" s="251"/>
      <c r="KG5" s="251"/>
      <c r="KH5" s="251"/>
      <c r="KI5" s="251"/>
      <c r="KJ5" s="251"/>
      <c r="KK5" s="782"/>
      <c r="KL5" s="782"/>
      <c r="KM5" s="782"/>
      <c r="KN5" s="782"/>
      <c r="KO5" s="782"/>
      <c r="KP5" s="782"/>
      <c r="KQ5" s="782"/>
      <c r="KR5" s="782"/>
      <c r="KS5" s="782"/>
      <c r="KT5" s="782"/>
      <c r="KU5" s="782"/>
      <c r="KV5" s="782"/>
      <c r="KW5" s="893"/>
      <c r="KX5" s="893"/>
      <c r="KY5" s="893"/>
      <c r="KZ5" s="893"/>
      <c r="LA5" s="893"/>
      <c r="LB5" s="893"/>
      <c r="LC5" s="893"/>
      <c r="LD5" s="893"/>
      <c r="LE5" s="893"/>
      <c r="LF5" s="893"/>
      <c r="LG5" s="893"/>
      <c r="LH5" s="893"/>
    </row>
    <row r="6" spans="1:356" s="11" customFormat="1" ht="13.5" hidden="1" customHeight="1" outlineLevel="1" x14ac:dyDescent="0.25">
      <c r="A6" s="759"/>
      <c r="B6" s="51" t="s">
        <v>12</v>
      </c>
      <c r="C6" s="51"/>
      <c r="D6" s="51"/>
      <c r="E6" s="52"/>
      <c r="F6" s="52"/>
      <c r="G6" s="52"/>
      <c r="H6" s="16">
        <v>2586</v>
      </c>
      <c r="I6" s="63">
        <v>2560</v>
      </c>
      <c r="J6" s="16">
        <v>2486</v>
      </c>
      <c r="K6" s="63">
        <v>3271</v>
      </c>
      <c r="L6" s="16">
        <v>2589</v>
      </c>
      <c r="M6" s="63">
        <v>2834</v>
      </c>
      <c r="N6" s="16">
        <v>3256</v>
      </c>
      <c r="O6" s="63">
        <v>2576</v>
      </c>
      <c r="P6" s="16">
        <v>2306</v>
      </c>
      <c r="Q6" s="63">
        <v>2089</v>
      </c>
      <c r="R6" s="16">
        <v>3180</v>
      </c>
      <c r="S6" s="63">
        <v>2879</v>
      </c>
      <c r="T6" s="183">
        <v>32612</v>
      </c>
      <c r="U6" s="186">
        <v>2717.6666666666665</v>
      </c>
      <c r="V6" s="16">
        <v>2491</v>
      </c>
      <c r="W6" s="63">
        <v>2424</v>
      </c>
      <c r="X6" s="16">
        <v>2274</v>
      </c>
      <c r="Y6" s="63">
        <v>3053</v>
      </c>
      <c r="Z6" s="16">
        <v>2300</v>
      </c>
      <c r="AA6" s="63">
        <v>2404</v>
      </c>
      <c r="AB6" s="16">
        <v>2989</v>
      </c>
      <c r="AC6" s="63">
        <v>2515</v>
      </c>
      <c r="AD6" s="16">
        <v>2896</v>
      </c>
      <c r="AE6" s="63">
        <v>2405</v>
      </c>
      <c r="AF6" s="16">
        <v>2232</v>
      </c>
      <c r="AG6" s="63">
        <v>2210</v>
      </c>
      <c r="AH6" s="183">
        <v>30193</v>
      </c>
      <c r="AI6" s="186">
        <v>2516.0833333333335</v>
      </c>
      <c r="AJ6" s="16">
        <v>2456</v>
      </c>
      <c r="AK6" s="63">
        <v>2554</v>
      </c>
      <c r="AL6" s="16">
        <v>2088</v>
      </c>
      <c r="AM6" s="63">
        <v>4295</v>
      </c>
      <c r="AN6" s="16">
        <v>2484</v>
      </c>
      <c r="AO6" s="63">
        <v>2293</v>
      </c>
      <c r="AP6" s="16">
        <v>3108</v>
      </c>
      <c r="AQ6" s="63">
        <v>2727</v>
      </c>
      <c r="AR6" s="16">
        <v>2289</v>
      </c>
      <c r="AS6" s="63">
        <v>2579</v>
      </c>
      <c r="AT6" s="16">
        <v>4421</v>
      </c>
      <c r="AU6" s="63">
        <v>3054</v>
      </c>
      <c r="AV6" s="183">
        <f>SUM(AJ6:AU6)</f>
        <v>34348</v>
      </c>
      <c r="AW6" s="186">
        <f>SUM(AJ6:AU6)/$AV$4</f>
        <v>2862.3333333333335</v>
      </c>
      <c r="AX6" s="16">
        <v>2882</v>
      </c>
      <c r="AY6" s="63">
        <v>2918</v>
      </c>
      <c r="AZ6" s="16">
        <v>3891</v>
      </c>
      <c r="BA6" s="63">
        <v>7280</v>
      </c>
      <c r="BB6" s="16">
        <v>3638</v>
      </c>
      <c r="BC6" s="63">
        <v>3533</v>
      </c>
      <c r="BD6" s="16">
        <v>4504</v>
      </c>
      <c r="BE6" s="63">
        <v>2728</v>
      </c>
      <c r="BF6" s="16">
        <v>2816</v>
      </c>
      <c r="BG6" s="63">
        <v>2696</v>
      </c>
      <c r="BH6" s="16">
        <v>2647</v>
      </c>
      <c r="BI6" s="63">
        <v>2824</v>
      </c>
      <c r="BJ6" s="183">
        <f>SUM(AX6:BI6)</f>
        <v>42357</v>
      </c>
      <c r="BK6" s="186">
        <f>SUM(AX6:BI6)/$BJ$4</f>
        <v>3529.75</v>
      </c>
      <c r="BL6" s="16">
        <v>2991</v>
      </c>
      <c r="BM6" s="63">
        <v>2863</v>
      </c>
      <c r="BN6" s="16">
        <v>3184</v>
      </c>
      <c r="BO6" s="63">
        <v>8394</v>
      </c>
      <c r="BP6" s="16">
        <v>2713</v>
      </c>
      <c r="BQ6" s="63">
        <v>2893</v>
      </c>
      <c r="BR6" s="16">
        <v>3614</v>
      </c>
      <c r="BS6" s="63">
        <v>2836</v>
      </c>
      <c r="BT6" s="16">
        <v>3083</v>
      </c>
      <c r="BU6" s="63">
        <v>3807</v>
      </c>
      <c r="BV6" s="16">
        <v>2575</v>
      </c>
      <c r="BW6" s="63">
        <v>2488</v>
      </c>
      <c r="BX6" s="183">
        <f>SUM(BL6:BW6)</f>
        <v>41441</v>
      </c>
      <c r="BY6" s="186">
        <f>SUM(BL6:BW6)/$BX$4</f>
        <v>3453.4166666666665</v>
      </c>
      <c r="BZ6" s="16">
        <v>2408</v>
      </c>
      <c r="CA6" s="63">
        <v>2346</v>
      </c>
      <c r="CB6" s="16">
        <v>2667</v>
      </c>
      <c r="CC6" s="63">
        <v>2966</v>
      </c>
      <c r="CD6" s="16">
        <v>2785</v>
      </c>
      <c r="CE6" s="63">
        <v>2495</v>
      </c>
      <c r="CF6" s="16">
        <v>2669</v>
      </c>
      <c r="CG6" s="63">
        <v>2470</v>
      </c>
      <c r="CH6" s="16">
        <v>2442</v>
      </c>
      <c r="CI6" s="63">
        <v>2166</v>
      </c>
      <c r="CJ6" s="16">
        <v>2192</v>
      </c>
      <c r="CK6" s="63">
        <v>2446</v>
      </c>
      <c r="CL6" s="183">
        <f>SUM(BZ6:CK6)</f>
        <v>30052</v>
      </c>
      <c r="CM6" s="186">
        <f>SUM(BZ6:CK6)/$CL$4</f>
        <v>2504.3333333333335</v>
      </c>
      <c r="CN6" s="16">
        <v>2421</v>
      </c>
      <c r="CO6" s="63">
        <v>2820</v>
      </c>
      <c r="CP6" s="16">
        <v>2603</v>
      </c>
      <c r="CQ6" s="63">
        <v>3051</v>
      </c>
      <c r="CR6" s="16">
        <v>2463</v>
      </c>
      <c r="CS6" s="63">
        <v>2334</v>
      </c>
      <c r="CT6" s="16">
        <v>2355</v>
      </c>
      <c r="CU6" s="63">
        <v>2362</v>
      </c>
      <c r="CV6" s="16">
        <v>2013</v>
      </c>
      <c r="CW6" s="63">
        <v>1706</v>
      </c>
      <c r="CX6" s="16">
        <v>1812</v>
      </c>
      <c r="CY6" s="63">
        <v>1739</v>
      </c>
      <c r="CZ6" s="183">
        <f>SUM(CN6:CY6)</f>
        <v>27679</v>
      </c>
      <c r="DA6" s="186">
        <f>SUM(CN6:CY6)/$CZ$4</f>
        <v>2306.5833333333335</v>
      </c>
      <c r="DB6" s="16">
        <v>1751</v>
      </c>
      <c r="DC6" s="63">
        <v>1814</v>
      </c>
      <c r="DD6" s="16">
        <v>1551</v>
      </c>
      <c r="DE6" s="63">
        <v>1915</v>
      </c>
      <c r="DF6" s="16">
        <v>1484</v>
      </c>
      <c r="DG6" s="63">
        <v>1441</v>
      </c>
      <c r="DH6" s="16">
        <v>2377</v>
      </c>
      <c r="DI6" s="63">
        <v>2124</v>
      </c>
      <c r="DJ6" s="16">
        <v>1830</v>
      </c>
      <c r="DK6" s="63">
        <v>1841</v>
      </c>
      <c r="DL6" s="16"/>
      <c r="DM6" s="63"/>
      <c r="DN6" s="183">
        <f>SUM(DB6:DM6)</f>
        <v>18128</v>
      </c>
      <c r="DO6" s="186">
        <f>SUM(DB6:DM6)/$DN$4</f>
        <v>1812.8</v>
      </c>
      <c r="DP6" s="16"/>
      <c r="DQ6" s="63"/>
      <c r="DR6" s="16"/>
      <c r="DS6" s="63"/>
      <c r="DT6" s="16"/>
      <c r="DU6" s="63"/>
      <c r="DV6" s="16"/>
      <c r="DW6" s="63"/>
      <c r="DX6" s="16"/>
      <c r="DY6" s="63"/>
      <c r="DZ6" s="16"/>
      <c r="EA6" s="63"/>
      <c r="EB6" s="183">
        <f>SUM(DP6:EA6)</f>
        <v>0</v>
      </c>
      <c r="EC6" s="186" t="e">
        <f>SUM(DP6:EA6)/$EB$4</f>
        <v>#DIV/0!</v>
      </c>
      <c r="ED6" s="125">
        <f>AX6-AU6</f>
        <v>-172</v>
      </c>
      <c r="EE6" s="399">
        <f>ED6/AU6</f>
        <v>-5.6319580877537655E-2</v>
      </c>
      <c r="EF6" s="125">
        <f>AY6-AX6</f>
        <v>36</v>
      </c>
      <c r="EG6" s="399">
        <f>EF6/AX6</f>
        <v>1.2491325468424705E-2</v>
      </c>
      <c r="EH6" s="125">
        <f>AZ6-AY6</f>
        <v>973</v>
      </c>
      <c r="EI6" s="399">
        <f>EH6/AY6</f>
        <v>0.33344756682659354</v>
      </c>
      <c r="EJ6" s="125">
        <f>BA6-AZ6</f>
        <v>3389</v>
      </c>
      <c r="EK6" s="399">
        <f>EJ6/AZ6</f>
        <v>0.87098432279619631</v>
      </c>
      <c r="EL6" s="125">
        <f>BB6-BA6</f>
        <v>-3642</v>
      </c>
      <c r="EM6" s="399">
        <f>EL6/BA6</f>
        <v>-0.50027472527472527</v>
      </c>
      <c r="EN6" s="125">
        <f>BC6-BB6</f>
        <v>-105</v>
      </c>
      <c r="EO6" s="399">
        <f>EN6/BB6</f>
        <v>-2.8862012094557448E-2</v>
      </c>
      <c r="EP6" s="125">
        <f>BD6-BC6</f>
        <v>971</v>
      </c>
      <c r="EQ6" s="399">
        <f>EP6/BC6</f>
        <v>0.27483724879705634</v>
      </c>
      <c r="ER6" s="125">
        <f>BE6-BD6</f>
        <v>-1776</v>
      </c>
      <c r="ES6" s="399">
        <f>ER6/BD6</f>
        <v>-0.39431616341030196</v>
      </c>
      <c r="ET6" s="125">
        <f>BF6-BE6</f>
        <v>88</v>
      </c>
      <c r="EU6" s="399">
        <f>ET6/BE6</f>
        <v>3.2258064516129031E-2</v>
      </c>
      <c r="EV6" s="125">
        <f>BG6-BF6</f>
        <v>-120</v>
      </c>
      <c r="EW6" s="399">
        <f>EV6/BF6</f>
        <v>-4.261363636363636E-2</v>
      </c>
      <c r="EX6" s="125">
        <f>BH6-BG6</f>
        <v>-49</v>
      </c>
      <c r="EY6" s="399">
        <f>EX6/BG6</f>
        <v>-1.8175074183976261E-2</v>
      </c>
      <c r="EZ6" s="125">
        <f>BI6-BH6</f>
        <v>177</v>
      </c>
      <c r="FA6" s="399">
        <f>EZ6/BH6</f>
        <v>6.6868152625613908E-2</v>
      </c>
      <c r="FB6" s="662">
        <f>BL6-BI6</f>
        <v>167</v>
      </c>
      <c r="FC6" s="663">
        <f>FB6/BI6</f>
        <v>5.9135977337110485E-2</v>
      </c>
      <c r="FD6" s="662">
        <f>BM6-BL6</f>
        <v>-128</v>
      </c>
      <c r="FE6" s="663">
        <f>FD6/BL6</f>
        <v>-4.2795051822133064E-2</v>
      </c>
      <c r="FF6" s="662">
        <f>BN6-BM6</f>
        <v>321</v>
      </c>
      <c r="FG6" s="663">
        <f>FF6/BM6</f>
        <v>0.11212015368494586</v>
      </c>
      <c r="FH6" s="662">
        <f>BO6-BN6</f>
        <v>5210</v>
      </c>
      <c r="FI6" s="663">
        <f>FH6/BN6</f>
        <v>1.6363065326633166</v>
      </c>
      <c r="FJ6" s="662">
        <f>BP6-BO6</f>
        <v>-5681</v>
      </c>
      <c r="FK6" s="663">
        <f>FJ6/BO6</f>
        <v>-0.6767929473433405</v>
      </c>
      <c r="FL6" s="662">
        <f>BQ6-BP6</f>
        <v>180</v>
      </c>
      <c r="FM6" s="663">
        <f>FL6/BP6</f>
        <v>6.6347217102838182E-2</v>
      </c>
      <c r="FN6" s="662">
        <f>BR6-BQ6</f>
        <v>721</v>
      </c>
      <c r="FO6" s="663">
        <f>FN6/BQ6</f>
        <v>0.24922226062910474</v>
      </c>
      <c r="FP6" s="662">
        <f>BS6-BR6</f>
        <v>-778</v>
      </c>
      <c r="FQ6" s="663">
        <f>FP6/BR6</f>
        <v>-0.21527393469839512</v>
      </c>
      <c r="FR6" s="662">
        <f>BT6-BS6</f>
        <v>247</v>
      </c>
      <c r="FS6" s="663">
        <f>FR6/BS6</f>
        <v>8.7094499294781386E-2</v>
      </c>
      <c r="FT6" s="662">
        <f>BU6-BT6</f>
        <v>724</v>
      </c>
      <c r="FU6" s="663">
        <f>FT6/BT6</f>
        <v>0.23483619850794679</v>
      </c>
      <c r="FV6" s="662">
        <f>BV6-BU6</f>
        <v>-1232</v>
      </c>
      <c r="FW6" s="663">
        <f>FV6/BU6</f>
        <v>-0.32361439453638036</v>
      </c>
      <c r="FX6" s="662">
        <f>BW6-BV6</f>
        <v>-87</v>
      </c>
      <c r="FY6" s="663">
        <f>FX6/BV6</f>
        <v>-3.3786407766990288E-2</v>
      </c>
      <c r="FZ6" s="662">
        <f>BZ6-BW6</f>
        <v>-80</v>
      </c>
      <c r="GA6" s="663">
        <f>FZ6/BW6</f>
        <v>-3.215434083601286E-2</v>
      </c>
      <c r="GB6" s="662">
        <f>CA6-BZ6</f>
        <v>-62</v>
      </c>
      <c r="GC6" s="663">
        <f>GB6/BZ6</f>
        <v>-2.5747508305647839E-2</v>
      </c>
      <c r="GD6" s="662">
        <f>CB6-CA6</f>
        <v>321</v>
      </c>
      <c r="GE6" s="663">
        <f>GD6/CA6</f>
        <v>0.13682864450127877</v>
      </c>
      <c r="GF6" s="662">
        <f>CC6-CB6</f>
        <v>299</v>
      </c>
      <c r="GG6" s="663">
        <f>GF6/CB6</f>
        <v>0.11211098612673416</v>
      </c>
      <c r="GH6" s="662">
        <f>CD6-CC6</f>
        <v>-181</v>
      </c>
      <c r="GI6" s="663">
        <f>GH6/CC6</f>
        <v>-6.1024949426837491E-2</v>
      </c>
      <c r="GJ6" s="662">
        <f>CE6-CD6</f>
        <v>-290</v>
      </c>
      <c r="GK6" s="663">
        <f>GJ6/CD6</f>
        <v>-0.10412926391382406</v>
      </c>
      <c r="GL6" s="662">
        <f>CF6-CE6</f>
        <v>174</v>
      </c>
      <c r="GM6" s="663">
        <f>GL6/CE6</f>
        <v>6.9739478957915838E-2</v>
      </c>
      <c r="GN6" s="662">
        <f>CG6-CF6</f>
        <v>-199</v>
      </c>
      <c r="GO6" s="663">
        <f>GN6/CF6</f>
        <v>-7.4559760209816417E-2</v>
      </c>
      <c r="GP6" s="662">
        <f>CH6-CG6</f>
        <v>-28</v>
      </c>
      <c r="GQ6" s="663">
        <f>GP6/CG6</f>
        <v>-1.1336032388663968E-2</v>
      </c>
      <c r="GR6" s="662">
        <f>CI6-CH6</f>
        <v>-276</v>
      </c>
      <c r="GS6" s="663">
        <f>GR6/CH6</f>
        <v>-0.11302211302211303</v>
      </c>
      <c r="GT6" s="662">
        <f>CJ6-CI6</f>
        <v>26</v>
      </c>
      <c r="GU6" s="663">
        <f>GT6/CI6</f>
        <v>1.2003693444136657E-2</v>
      </c>
      <c r="GV6" s="662">
        <f>CK6-CJ6</f>
        <v>254</v>
      </c>
      <c r="GW6" s="663">
        <f>GV6/CJ6</f>
        <v>0.11587591240875912</v>
      </c>
      <c r="GX6" s="662">
        <f>CN6-CK6</f>
        <v>-25</v>
      </c>
      <c r="GY6" s="663">
        <f>GX6/CK6</f>
        <v>-1.0220768601798855E-2</v>
      </c>
      <c r="GZ6" s="662">
        <f>CO6-CN6</f>
        <v>399</v>
      </c>
      <c r="HA6" s="663">
        <f>GZ6/CN6</f>
        <v>0.16480793060718713</v>
      </c>
      <c r="HB6" s="662">
        <f>CP6-CO6</f>
        <v>-217</v>
      </c>
      <c r="HC6" s="663">
        <f>HB6/CO6</f>
        <v>-7.6950354609929078E-2</v>
      </c>
      <c r="HD6" s="662">
        <f>CQ6-CP6</f>
        <v>448</v>
      </c>
      <c r="HE6" s="663">
        <f>HD6/CP6</f>
        <v>0.17210910487898579</v>
      </c>
      <c r="HF6" s="662">
        <f>CR6-CQ6</f>
        <v>-588</v>
      </c>
      <c r="HG6" s="663">
        <f>HF6/CQ6</f>
        <v>-0.1927236971484759</v>
      </c>
      <c r="HH6" s="662">
        <f>CS6-CR6</f>
        <v>-129</v>
      </c>
      <c r="HI6" s="663">
        <f>HH6/CR6</f>
        <v>-5.2375152253349572E-2</v>
      </c>
      <c r="HJ6" s="662">
        <f>CT6-CS6</f>
        <v>21</v>
      </c>
      <c r="HK6" s="663">
        <f>HJ6/CS6</f>
        <v>8.9974293059125968E-3</v>
      </c>
      <c r="HL6" s="662">
        <f>CU6-CT6</f>
        <v>7</v>
      </c>
      <c r="HM6" s="663">
        <f>HL6/CT6</f>
        <v>2.9723991507431E-3</v>
      </c>
      <c r="HN6" s="662">
        <f>CV6-CU6</f>
        <v>-349</v>
      </c>
      <c r="HO6" s="663">
        <f>HN6/CU6</f>
        <v>-0.14775613886536834</v>
      </c>
      <c r="HP6" s="662">
        <f>CW6-CV6</f>
        <v>-307</v>
      </c>
      <c r="HQ6" s="663">
        <f>HP6/CV6</f>
        <v>-0.15250869349230006</v>
      </c>
      <c r="HR6" s="662">
        <f>CX6-CW6</f>
        <v>106</v>
      </c>
      <c r="HS6" s="663">
        <f>HR6/CW6</f>
        <v>6.2133645955451351E-2</v>
      </c>
      <c r="HT6" s="662">
        <f>CY6-CX6</f>
        <v>-73</v>
      </c>
      <c r="HU6" s="663">
        <f>HT6/CX6</f>
        <v>-4.0286975717439291E-2</v>
      </c>
      <c r="HV6" s="662">
        <f>DB6-CY6</f>
        <v>12</v>
      </c>
      <c r="HW6" s="663">
        <f>HV6/CY6</f>
        <v>6.9005175388154108E-3</v>
      </c>
      <c r="HX6" s="662">
        <f>DC6-DB6</f>
        <v>63</v>
      </c>
      <c r="HY6" s="663">
        <f>HX6/DB6</f>
        <v>3.597944031981725E-2</v>
      </c>
      <c r="HZ6" s="662">
        <f>DD6-DC6</f>
        <v>-263</v>
      </c>
      <c r="IA6" s="663">
        <f>HZ6/DD6</f>
        <v>-0.16956802063185042</v>
      </c>
      <c r="IB6" s="662">
        <f>DE6-DD6</f>
        <v>364</v>
      </c>
      <c r="IC6" s="663">
        <f>IB6/DD6</f>
        <v>0.23468729851708575</v>
      </c>
      <c r="ID6" s="662">
        <f>DF6-DE6</f>
        <v>-431</v>
      </c>
      <c r="IE6" s="663">
        <f>ID6/DO6</f>
        <v>-0.23775375110326566</v>
      </c>
      <c r="IF6" s="662">
        <f>DG6-DF6</f>
        <v>-43</v>
      </c>
      <c r="IG6" s="663">
        <f>IF6/DF6</f>
        <v>-2.8975741239892182E-2</v>
      </c>
      <c r="IH6" s="662">
        <f>DH6-DG6</f>
        <v>936</v>
      </c>
      <c r="II6" s="663">
        <f>IH6/DG6</f>
        <v>0.64954892435808465</v>
      </c>
      <c r="IJ6" s="662">
        <f>DI6-DH6</f>
        <v>-253</v>
      </c>
      <c r="IK6" s="663">
        <f>IJ6/DH6</f>
        <v>-0.1064366848969289</v>
      </c>
      <c r="IL6" s="662">
        <f>DJ6-DI6</f>
        <v>-294</v>
      </c>
      <c r="IM6" s="663">
        <f>IL6/DI6</f>
        <v>-0.1384180790960452</v>
      </c>
      <c r="IN6" s="662">
        <f>DK6-DJ6</f>
        <v>11</v>
      </c>
      <c r="IO6" s="663">
        <f>IN6/DJ6</f>
        <v>6.0109289617486343E-3</v>
      </c>
      <c r="IP6" s="662">
        <f>DL6-DK6</f>
        <v>-1841</v>
      </c>
      <c r="IQ6" s="663">
        <f t="shared" ref="IQ6:IQ7" si="88">IP6/EI6</f>
        <v>-5521.1079136690651</v>
      </c>
      <c r="IR6" s="662">
        <f>EK6-EJ6</f>
        <v>-3388.1290156772038</v>
      </c>
      <c r="IS6" s="663">
        <f>IR6/EJ6</f>
        <v>-0.99974299665895661</v>
      </c>
      <c r="IT6" s="16">
        <f>CW6</f>
        <v>1706</v>
      </c>
      <c r="IU6" s="1086">
        <f>DK6</f>
        <v>1841</v>
      </c>
      <c r="IV6" s="662">
        <f>IU6-IT6</f>
        <v>135</v>
      </c>
      <c r="IW6" s="109">
        <f>IF(ISERROR(IV6/IT6),0,IV6/IT6)</f>
        <v>7.9132473622508789E-2</v>
      </c>
      <c r="IX6" s="693"/>
      <c r="IY6" s="693"/>
      <c r="IZ6" s="693"/>
      <c r="JB6" s="252"/>
      <c r="JC6" s="252"/>
      <c r="JD6" s="252"/>
      <c r="JE6" s="252"/>
      <c r="JF6" s="252"/>
      <c r="JG6" s="252"/>
      <c r="JH6" s="252"/>
      <c r="JI6" s="252"/>
      <c r="JJ6" s="252"/>
      <c r="JK6" s="252"/>
      <c r="JL6" s="252"/>
      <c r="JM6" s="253"/>
      <c r="JN6" s="253"/>
      <c r="JO6" s="253"/>
      <c r="JP6" s="253"/>
      <c r="JQ6" s="253"/>
      <c r="JR6" s="253"/>
      <c r="JS6" s="253"/>
      <c r="JT6" s="253"/>
      <c r="JU6" s="253"/>
      <c r="JV6" s="253"/>
      <c r="JW6" s="253"/>
      <c r="JX6" s="253"/>
      <c r="JY6" s="253"/>
      <c r="JZ6" s="253"/>
      <c r="KA6" s="253"/>
      <c r="KB6" s="253"/>
      <c r="KC6" s="253"/>
      <c r="KD6" s="253"/>
      <c r="KE6" s="253"/>
      <c r="KF6" s="253"/>
      <c r="KG6" s="253"/>
      <c r="KH6" s="253"/>
      <c r="KI6" s="253"/>
      <c r="KJ6" s="253"/>
      <c r="KK6" s="783"/>
      <c r="KL6" s="783"/>
      <c r="KM6" s="783"/>
      <c r="KN6" s="783"/>
      <c r="KO6" s="783"/>
      <c r="KP6" s="783"/>
      <c r="KQ6" s="783"/>
      <c r="KR6" s="783"/>
      <c r="KS6" s="783"/>
      <c r="KT6" s="783"/>
      <c r="KU6" s="783"/>
      <c r="KV6" s="783"/>
      <c r="KW6" s="894"/>
      <c r="KX6" s="894"/>
      <c r="KY6" s="894"/>
      <c r="KZ6" s="894"/>
      <c r="LA6" s="894"/>
      <c r="LB6" s="894"/>
      <c r="LC6" s="894"/>
      <c r="LD6" s="894"/>
      <c r="LE6" s="894"/>
      <c r="LF6" s="894"/>
      <c r="LG6" s="894"/>
      <c r="LH6" s="894"/>
    </row>
    <row r="7" spans="1:356" s="11" customFormat="1" ht="13.5" hidden="1" customHeight="1" outlineLevel="1" x14ac:dyDescent="0.25">
      <c r="A7" s="759"/>
      <c r="B7" s="1091" t="s">
        <v>13</v>
      </c>
      <c r="C7" s="51"/>
      <c r="D7" s="51"/>
      <c r="E7" s="52"/>
      <c r="F7" s="52"/>
      <c r="G7" s="52"/>
      <c r="H7" s="16">
        <v>65</v>
      </c>
      <c r="I7" s="63">
        <v>56</v>
      </c>
      <c r="J7" s="16">
        <v>35</v>
      </c>
      <c r="K7" s="63">
        <v>105</v>
      </c>
      <c r="L7" s="16">
        <v>71</v>
      </c>
      <c r="M7" s="63">
        <v>51</v>
      </c>
      <c r="N7" s="16">
        <v>104</v>
      </c>
      <c r="O7" s="63">
        <v>95</v>
      </c>
      <c r="P7" s="16">
        <v>49</v>
      </c>
      <c r="Q7" s="63">
        <v>45</v>
      </c>
      <c r="R7" s="16">
        <v>62</v>
      </c>
      <c r="S7" s="63">
        <v>96</v>
      </c>
      <c r="T7" s="183">
        <v>834</v>
      </c>
      <c r="U7" s="226">
        <v>69.5</v>
      </c>
      <c r="V7" s="16">
        <v>83</v>
      </c>
      <c r="W7" s="63">
        <v>44</v>
      </c>
      <c r="X7" s="16">
        <v>45</v>
      </c>
      <c r="Y7" s="63">
        <v>84</v>
      </c>
      <c r="Z7" s="16">
        <v>46</v>
      </c>
      <c r="AA7" s="63">
        <v>46</v>
      </c>
      <c r="AB7" s="16">
        <v>47</v>
      </c>
      <c r="AC7" s="63">
        <v>40</v>
      </c>
      <c r="AD7" s="16">
        <v>58</v>
      </c>
      <c r="AE7" s="63">
        <v>46</v>
      </c>
      <c r="AF7" s="16">
        <v>29</v>
      </c>
      <c r="AG7" s="63">
        <v>33</v>
      </c>
      <c r="AH7" s="183">
        <v>601</v>
      </c>
      <c r="AI7" s="226">
        <v>50.083333333333336</v>
      </c>
      <c r="AJ7" s="16">
        <v>66</v>
      </c>
      <c r="AK7" s="63">
        <v>79</v>
      </c>
      <c r="AL7" s="16">
        <v>77</v>
      </c>
      <c r="AM7" s="63">
        <v>593</v>
      </c>
      <c r="AN7" s="16">
        <v>88</v>
      </c>
      <c r="AO7" s="63">
        <v>53</v>
      </c>
      <c r="AP7" s="16">
        <v>65</v>
      </c>
      <c r="AQ7" s="63">
        <v>53</v>
      </c>
      <c r="AR7" s="16">
        <v>41</v>
      </c>
      <c r="AS7" s="63">
        <v>69</v>
      </c>
      <c r="AT7" s="16">
        <v>158</v>
      </c>
      <c r="AU7" s="63">
        <v>90</v>
      </c>
      <c r="AV7" s="183">
        <f>SUM(AJ7:AU7)</f>
        <v>1432</v>
      </c>
      <c r="AW7" s="226">
        <f>SUM(AJ7:AU7)/$AV$4</f>
        <v>119.33333333333333</v>
      </c>
      <c r="AX7" s="16">
        <v>73</v>
      </c>
      <c r="AY7" s="63">
        <v>86</v>
      </c>
      <c r="AZ7" s="16">
        <v>187</v>
      </c>
      <c r="BA7" s="63">
        <v>4485</v>
      </c>
      <c r="BB7" s="16">
        <v>898</v>
      </c>
      <c r="BC7" s="63">
        <v>394</v>
      </c>
      <c r="BD7" s="16">
        <v>226</v>
      </c>
      <c r="BE7" s="63">
        <v>145</v>
      </c>
      <c r="BF7" s="16">
        <v>77</v>
      </c>
      <c r="BG7" s="63">
        <v>42</v>
      </c>
      <c r="BH7" s="16">
        <v>49</v>
      </c>
      <c r="BI7" s="63">
        <v>77</v>
      </c>
      <c r="BJ7" s="183">
        <f>SUM(AX7:BI7)</f>
        <v>6739</v>
      </c>
      <c r="BK7" s="226">
        <f>SUM(AX7:BI7)/$BJ$4</f>
        <v>561.58333333333337</v>
      </c>
      <c r="BL7" s="16">
        <v>70</v>
      </c>
      <c r="BM7" s="63">
        <v>72</v>
      </c>
      <c r="BN7" s="16">
        <v>88</v>
      </c>
      <c r="BO7" s="63">
        <v>4469</v>
      </c>
      <c r="BP7" s="16">
        <v>65</v>
      </c>
      <c r="BQ7" s="63">
        <v>66</v>
      </c>
      <c r="BR7" s="16">
        <v>261</v>
      </c>
      <c r="BS7" s="63">
        <v>270</v>
      </c>
      <c r="BT7" s="16">
        <v>131</v>
      </c>
      <c r="BU7" s="63">
        <v>164</v>
      </c>
      <c r="BV7" s="16">
        <v>76</v>
      </c>
      <c r="BW7" s="63">
        <v>102</v>
      </c>
      <c r="BX7" s="183">
        <f>SUM(BL7:BW7)</f>
        <v>5834</v>
      </c>
      <c r="BY7" s="226">
        <f>SUM(BL7:BW7)/$BX$4</f>
        <v>486.16666666666669</v>
      </c>
      <c r="BZ7" s="16">
        <v>146</v>
      </c>
      <c r="CA7" s="63">
        <v>125</v>
      </c>
      <c r="CB7" s="16">
        <v>186</v>
      </c>
      <c r="CC7" s="63">
        <v>447</v>
      </c>
      <c r="CD7" s="16">
        <v>326</v>
      </c>
      <c r="CE7" s="63">
        <v>171</v>
      </c>
      <c r="CF7" s="16">
        <v>118</v>
      </c>
      <c r="CG7" s="63">
        <v>96</v>
      </c>
      <c r="CH7" s="16">
        <v>116</v>
      </c>
      <c r="CI7" s="63">
        <v>82</v>
      </c>
      <c r="CJ7" s="16">
        <v>57</v>
      </c>
      <c r="CK7" s="63">
        <v>67</v>
      </c>
      <c r="CL7" s="183">
        <f>SUM(BZ7:CK7)</f>
        <v>1937</v>
      </c>
      <c r="CM7" s="226">
        <f>SUM(BZ7:CK7)/$CL$4</f>
        <v>161.41666666666666</v>
      </c>
      <c r="CN7" s="16">
        <v>79</v>
      </c>
      <c r="CO7" s="63">
        <v>116</v>
      </c>
      <c r="CP7" s="16">
        <v>114</v>
      </c>
      <c r="CQ7" s="63">
        <v>126</v>
      </c>
      <c r="CR7" s="16">
        <v>60</v>
      </c>
      <c r="CS7" s="63">
        <v>68</v>
      </c>
      <c r="CT7" s="16">
        <v>199</v>
      </c>
      <c r="CU7" s="63">
        <v>39</v>
      </c>
      <c r="CV7" s="16">
        <v>50</v>
      </c>
      <c r="CW7" s="63">
        <v>57</v>
      </c>
      <c r="CX7" s="16">
        <v>59</v>
      </c>
      <c r="CY7" s="63">
        <v>17</v>
      </c>
      <c r="CZ7" s="183">
        <f>SUM(CN7:CY7)</f>
        <v>984</v>
      </c>
      <c r="DA7" s="226">
        <f>SUM(CN7:CY7)/$CZ$4</f>
        <v>82</v>
      </c>
      <c r="DB7" s="16">
        <v>21</v>
      </c>
      <c r="DC7" s="63">
        <v>20</v>
      </c>
      <c r="DD7" s="16">
        <v>21</v>
      </c>
      <c r="DE7" s="63">
        <v>32</v>
      </c>
      <c r="DF7" s="16">
        <v>26</v>
      </c>
      <c r="DG7" s="63">
        <v>21</v>
      </c>
      <c r="DH7" s="16">
        <v>147</v>
      </c>
      <c r="DI7" s="63">
        <v>46</v>
      </c>
      <c r="DJ7" s="16">
        <v>40</v>
      </c>
      <c r="DK7" s="63">
        <v>39</v>
      </c>
      <c r="DL7" s="16"/>
      <c r="DM7" s="63"/>
      <c r="DN7" s="183">
        <f>SUM(DB7:DM7)</f>
        <v>413</v>
      </c>
      <c r="DO7" s="226">
        <f>SUM(DB7:DM7)/$DN$4</f>
        <v>41.3</v>
      </c>
      <c r="DP7" s="16"/>
      <c r="DQ7" s="63"/>
      <c r="DR7" s="16"/>
      <c r="DS7" s="63"/>
      <c r="DT7" s="16"/>
      <c r="DU7" s="63"/>
      <c r="DV7" s="16"/>
      <c r="DW7" s="63"/>
      <c r="DX7" s="16"/>
      <c r="DY7" s="63"/>
      <c r="DZ7" s="16"/>
      <c r="EA7" s="63"/>
      <c r="EB7" s="183">
        <f>SUM(DP7:EA7)</f>
        <v>0</v>
      </c>
      <c r="EC7" s="226" t="e">
        <f>SUM(DP7:EA7)/$EB$4</f>
        <v>#DIV/0!</v>
      </c>
      <c r="ED7" s="125">
        <f>AX7-AU7</f>
        <v>-17</v>
      </c>
      <c r="EE7" s="399">
        <f>ED7/AU7</f>
        <v>-0.18888888888888888</v>
      </c>
      <c r="EF7" s="125">
        <f>AY7-AX7</f>
        <v>13</v>
      </c>
      <c r="EG7" s="399">
        <f>EF7/AX7</f>
        <v>0.17808219178082191</v>
      </c>
      <c r="EH7" s="125">
        <f>AZ7-AY7</f>
        <v>101</v>
      </c>
      <c r="EI7" s="399">
        <f>EH7/AY7</f>
        <v>1.1744186046511629</v>
      </c>
      <c r="EJ7" s="125">
        <f>BA7-AZ7</f>
        <v>4298</v>
      </c>
      <c r="EK7" s="399">
        <f>EJ7/AZ7</f>
        <v>22.983957219251337</v>
      </c>
      <c r="EL7" s="125">
        <f>BB7-BA7</f>
        <v>-3587</v>
      </c>
      <c r="EM7" s="399">
        <f>EL7/BA7</f>
        <v>-0.79977703455964322</v>
      </c>
      <c r="EN7" s="125">
        <f>BC7-BB7</f>
        <v>-504</v>
      </c>
      <c r="EO7" s="399">
        <f>EN7/BB7</f>
        <v>-0.56124721603563477</v>
      </c>
      <c r="EP7" s="125">
        <f>BD7-BC7</f>
        <v>-168</v>
      </c>
      <c r="EQ7" s="399">
        <f>EP7/BC7</f>
        <v>-0.42639593908629442</v>
      </c>
      <c r="ER7" s="125">
        <f>BE7-BD7</f>
        <v>-81</v>
      </c>
      <c r="ES7" s="399">
        <f>ER7/BD7</f>
        <v>-0.3584070796460177</v>
      </c>
      <c r="ET7" s="125">
        <f>BF7-BE7</f>
        <v>-68</v>
      </c>
      <c r="EU7" s="399">
        <f>ET7/BE7</f>
        <v>-0.4689655172413793</v>
      </c>
      <c r="EV7" s="125">
        <f>BG7-BF7</f>
        <v>-35</v>
      </c>
      <c r="EW7" s="399">
        <f>EV7/BF7</f>
        <v>-0.45454545454545453</v>
      </c>
      <c r="EX7" s="125">
        <f>BH7-BG7</f>
        <v>7</v>
      </c>
      <c r="EY7" s="399">
        <f>EX7/BG7</f>
        <v>0.16666666666666666</v>
      </c>
      <c r="EZ7" s="125">
        <f>BI7-BH7</f>
        <v>28</v>
      </c>
      <c r="FA7" s="399">
        <f>EZ7/BH7</f>
        <v>0.5714285714285714</v>
      </c>
      <c r="FB7" s="662">
        <f>BL7-BI7</f>
        <v>-7</v>
      </c>
      <c r="FC7" s="663">
        <f>FB7/BI7</f>
        <v>-9.0909090909090912E-2</v>
      </c>
      <c r="FD7" s="662">
        <f>BM7-BL7</f>
        <v>2</v>
      </c>
      <c r="FE7" s="663">
        <f>FD7/BL7</f>
        <v>2.8571428571428571E-2</v>
      </c>
      <c r="FF7" s="662">
        <f>BN7-BM7</f>
        <v>16</v>
      </c>
      <c r="FG7" s="663">
        <f>FF7/BM7</f>
        <v>0.22222222222222221</v>
      </c>
      <c r="FH7" s="662">
        <f>BO7-BN7</f>
        <v>4381</v>
      </c>
      <c r="FI7" s="663">
        <f>FH7/BN7</f>
        <v>49.784090909090907</v>
      </c>
      <c r="FJ7" s="662">
        <f>BP7-BO7</f>
        <v>-4404</v>
      </c>
      <c r="FK7" s="663">
        <f>FJ7/BO7</f>
        <v>-0.98545535914074733</v>
      </c>
      <c r="FL7" s="662">
        <f>BQ7-BP7</f>
        <v>1</v>
      </c>
      <c r="FM7" s="663">
        <f>FL7/BP7</f>
        <v>1.5384615384615385E-2</v>
      </c>
      <c r="FN7" s="662">
        <f>BR7-BQ7</f>
        <v>195</v>
      </c>
      <c r="FO7" s="663">
        <f>FN7/BQ7</f>
        <v>2.9545454545454546</v>
      </c>
      <c r="FP7" s="662">
        <f>BS7-BR7</f>
        <v>9</v>
      </c>
      <c r="FQ7" s="663">
        <f>FP7/BR7</f>
        <v>3.4482758620689655E-2</v>
      </c>
      <c r="FR7" s="662">
        <f>BT7-BS7</f>
        <v>-139</v>
      </c>
      <c r="FS7" s="663">
        <f>FR7/BS7</f>
        <v>-0.51481481481481484</v>
      </c>
      <c r="FT7" s="662">
        <f>BU7-BT7</f>
        <v>33</v>
      </c>
      <c r="FU7" s="663">
        <f>FT7/BT7</f>
        <v>0.25190839694656486</v>
      </c>
      <c r="FV7" s="662">
        <f>BV7-BU7</f>
        <v>-88</v>
      </c>
      <c r="FW7" s="663">
        <f>FV7/BU7</f>
        <v>-0.53658536585365857</v>
      </c>
      <c r="FX7" s="662">
        <f>BW7-BV7</f>
        <v>26</v>
      </c>
      <c r="FY7" s="663">
        <f>FX7/BV7</f>
        <v>0.34210526315789475</v>
      </c>
      <c r="FZ7" s="662">
        <f>BZ7-BW7</f>
        <v>44</v>
      </c>
      <c r="GA7" s="663">
        <f>FZ7/BW7</f>
        <v>0.43137254901960786</v>
      </c>
      <c r="GB7" s="662">
        <f>CA7-BZ7</f>
        <v>-21</v>
      </c>
      <c r="GC7" s="663">
        <f>GB7/BZ7</f>
        <v>-0.14383561643835616</v>
      </c>
      <c r="GD7" s="662">
        <f>CB7-CA7</f>
        <v>61</v>
      </c>
      <c r="GE7" s="663">
        <f>GD7/CA7</f>
        <v>0.48799999999999999</v>
      </c>
      <c r="GF7" s="662">
        <f>CC7-CB7</f>
        <v>261</v>
      </c>
      <c r="GG7" s="663">
        <f>GF7/CB7</f>
        <v>1.403225806451613</v>
      </c>
      <c r="GH7" s="662">
        <f>CD7-CC7</f>
        <v>-121</v>
      </c>
      <c r="GI7" s="663">
        <f>GH7/CC7</f>
        <v>-0.27069351230425054</v>
      </c>
      <c r="GJ7" s="662">
        <f>CE7-CD7</f>
        <v>-155</v>
      </c>
      <c r="GK7" s="663">
        <f>GJ7/CD7</f>
        <v>-0.47546012269938648</v>
      </c>
      <c r="GL7" s="662">
        <f>CF7-CE7</f>
        <v>-53</v>
      </c>
      <c r="GM7" s="663">
        <f>GL7/CE7</f>
        <v>-0.30994152046783624</v>
      </c>
      <c r="GN7" s="662">
        <f>CG7-CF7</f>
        <v>-22</v>
      </c>
      <c r="GO7" s="663">
        <f>GN7/CF7</f>
        <v>-0.1864406779661017</v>
      </c>
      <c r="GP7" s="662">
        <f>CH7-CG7</f>
        <v>20</v>
      </c>
      <c r="GQ7" s="663">
        <f>GP7/CG7</f>
        <v>0.20833333333333334</v>
      </c>
      <c r="GR7" s="662">
        <f>CI7-CH7</f>
        <v>-34</v>
      </c>
      <c r="GS7" s="663">
        <f>GR7/CH7</f>
        <v>-0.29310344827586204</v>
      </c>
      <c r="GT7" s="662">
        <f>CJ7-CI7</f>
        <v>-25</v>
      </c>
      <c r="GU7" s="663">
        <f>GT7/CI7</f>
        <v>-0.3048780487804878</v>
      </c>
      <c r="GV7" s="662">
        <f>CK7-CJ7</f>
        <v>10</v>
      </c>
      <c r="GW7" s="663">
        <f>GV7/CJ7</f>
        <v>0.17543859649122806</v>
      </c>
      <c r="GX7" s="662">
        <f>CN7-CK7</f>
        <v>12</v>
      </c>
      <c r="GY7" s="663">
        <f>GX7/CK7</f>
        <v>0.17910447761194029</v>
      </c>
      <c r="GZ7" s="662">
        <f>CO7-CN7</f>
        <v>37</v>
      </c>
      <c r="HA7" s="663">
        <f>GZ7/CN7</f>
        <v>0.46835443037974683</v>
      </c>
      <c r="HB7" s="662">
        <f>CP7-CO7</f>
        <v>-2</v>
      </c>
      <c r="HC7" s="663">
        <f>HB7/CO7</f>
        <v>-1.7241379310344827E-2</v>
      </c>
      <c r="HD7" s="662">
        <f>CQ7-CP7</f>
        <v>12</v>
      </c>
      <c r="HE7" s="663">
        <f>HD7/CP7</f>
        <v>0.10526315789473684</v>
      </c>
      <c r="HF7" s="662">
        <f>CR7-CQ7</f>
        <v>-66</v>
      </c>
      <c r="HG7" s="663">
        <f>HF7/CQ7</f>
        <v>-0.52380952380952384</v>
      </c>
      <c r="HH7" s="662">
        <f>CS7-CR7</f>
        <v>8</v>
      </c>
      <c r="HI7" s="663">
        <f>HH7/CR7</f>
        <v>0.13333333333333333</v>
      </c>
      <c r="HJ7" s="662">
        <f>CT7-CS7</f>
        <v>131</v>
      </c>
      <c r="HK7" s="663">
        <f>HJ7/CS7</f>
        <v>1.9264705882352942</v>
      </c>
      <c r="HL7" s="662">
        <f>CU7-CT7</f>
        <v>-160</v>
      </c>
      <c r="HM7" s="663">
        <f>HL7/CT7</f>
        <v>-0.8040201005025126</v>
      </c>
      <c r="HN7" s="662">
        <f>CV7-CU7</f>
        <v>11</v>
      </c>
      <c r="HO7" s="663">
        <f>HN7/CU7</f>
        <v>0.28205128205128205</v>
      </c>
      <c r="HP7" s="662">
        <f>CW7-CV7</f>
        <v>7</v>
      </c>
      <c r="HQ7" s="663">
        <f>HP7/CV7</f>
        <v>0.14000000000000001</v>
      </c>
      <c r="HR7" s="662">
        <f>CX7-CW7</f>
        <v>2</v>
      </c>
      <c r="HS7" s="663">
        <f>HR7/CW7</f>
        <v>3.5087719298245612E-2</v>
      </c>
      <c r="HT7" s="662">
        <f>CY7-CX7</f>
        <v>-42</v>
      </c>
      <c r="HU7" s="663">
        <f>HT7/CX7</f>
        <v>-0.71186440677966101</v>
      </c>
      <c r="HV7" s="662">
        <f>DB7-CY7</f>
        <v>4</v>
      </c>
      <c r="HW7" s="663">
        <f>HV7/CY7</f>
        <v>0.23529411764705882</v>
      </c>
      <c r="HX7" s="662">
        <f>DC7-DB7</f>
        <v>-1</v>
      </c>
      <c r="HY7" s="663">
        <f>HX7/DB7</f>
        <v>-4.7619047619047616E-2</v>
      </c>
      <c r="HZ7" s="662">
        <f>DD7-DC7</f>
        <v>1</v>
      </c>
      <c r="IA7" s="663">
        <f>HZ7/DD7</f>
        <v>4.7619047619047616E-2</v>
      </c>
      <c r="IB7" s="662">
        <f>DE7-DD7</f>
        <v>11</v>
      </c>
      <c r="IC7" s="663">
        <f>IB7/DD7</f>
        <v>0.52380952380952384</v>
      </c>
      <c r="ID7" s="662">
        <f>DF7-DE7</f>
        <v>-6</v>
      </c>
      <c r="IE7" s="663">
        <f>ID7/DO7</f>
        <v>-0.14527845036319614</v>
      </c>
      <c r="IF7" s="662">
        <f>DG7-DF7</f>
        <v>-5</v>
      </c>
      <c r="IG7" s="663">
        <f>IF7/DF7</f>
        <v>-0.19230769230769232</v>
      </c>
      <c r="IH7" s="662">
        <f>DH7-DG7</f>
        <v>126</v>
      </c>
      <c r="II7" s="663">
        <f>IH7/DG7</f>
        <v>6</v>
      </c>
      <c r="IJ7" s="662">
        <f>DI7-DH7</f>
        <v>-101</v>
      </c>
      <c r="IK7" s="663">
        <f>IJ7/DH7</f>
        <v>-0.68707482993197277</v>
      </c>
      <c r="IL7" s="662">
        <f>DJ7-DI7</f>
        <v>-6</v>
      </c>
      <c r="IM7" s="663">
        <f>IL7/DI7</f>
        <v>-0.13043478260869565</v>
      </c>
      <c r="IN7" s="662">
        <f>DK7-DJ7</f>
        <v>-1</v>
      </c>
      <c r="IO7" s="663">
        <f>IN7/DJ7</f>
        <v>-2.5000000000000001E-2</v>
      </c>
      <c r="IP7" s="662">
        <f>DL7-DK7</f>
        <v>-39</v>
      </c>
      <c r="IQ7" s="663">
        <f t="shared" si="88"/>
        <v>-33.207920792079207</v>
      </c>
      <c r="IR7" s="662">
        <f>EK7-EJ7</f>
        <v>-4275.0160427807486</v>
      </c>
      <c r="IS7" s="663">
        <f>IR7/EJ7</f>
        <v>-0.99465240641711228</v>
      </c>
      <c r="IT7" s="16">
        <f>CW7</f>
        <v>57</v>
      </c>
      <c r="IU7" s="1086">
        <f>DK7</f>
        <v>39</v>
      </c>
      <c r="IV7" s="662">
        <f>IU7-IT7</f>
        <v>-18</v>
      </c>
      <c r="IW7" s="109">
        <f>IF(ISERROR(IV7/IT7),0,IV7/IT7)</f>
        <v>-0.31578947368421051</v>
      </c>
      <c r="IX7" s="693"/>
      <c r="IY7" s="693"/>
      <c r="IZ7" s="693"/>
      <c r="JB7" s="252"/>
      <c r="JC7" s="252"/>
      <c r="JD7" s="252"/>
      <c r="JE7" s="252"/>
      <c r="JF7" s="252"/>
      <c r="JG7" s="252"/>
      <c r="JH7" s="252"/>
      <c r="JI7" s="252"/>
      <c r="JJ7" s="252"/>
      <c r="JK7" s="252"/>
      <c r="JL7" s="252"/>
      <c r="JM7" s="253"/>
      <c r="JN7" s="253"/>
      <c r="JO7" s="253"/>
      <c r="JP7" s="253"/>
      <c r="JQ7" s="253"/>
      <c r="JR7" s="253"/>
      <c r="JS7" s="253"/>
      <c r="JT7" s="253"/>
      <c r="JU7" s="253"/>
      <c r="JV7" s="253"/>
      <c r="JW7" s="253"/>
      <c r="JX7" s="253"/>
      <c r="JY7" s="253"/>
      <c r="JZ7" s="253"/>
      <c r="KA7" s="253"/>
      <c r="KB7" s="253"/>
      <c r="KC7" s="253"/>
      <c r="KD7" s="253"/>
      <c r="KE7" s="253"/>
      <c r="KF7" s="253"/>
      <c r="KG7" s="253"/>
      <c r="KH7" s="253"/>
      <c r="KI7" s="253"/>
      <c r="KJ7" s="253"/>
      <c r="KK7" s="783"/>
      <c r="KL7" s="783"/>
      <c r="KM7" s="783"/>
      <c r="KN7" s="783"/>
      <c r="KO7" s="783"/>
      <c r="KP7" s="783"/>
      <c r="KQ7" s="783"/>
      <c r="KR7" s="783"/>
      <c r="KS7" s="783"/>
      <c r="KT7" s="783"/>
      <c r="KU7" s="783"/>
      <c r="KV7" s="783"/>
      <c r="KW7" s="894"/>
      <c r="KX7" s="894"/>
      <c r="KY7" s="894"/>
      <c r="KZ7" s="894"/>
      <c r="LA7" s="894"/>
      <c r="LB7" s="894"/>
      <c r="LC7" s="894"/>
      <c r="LD7" s="894"/>
      <c r="LE7" s="894"/>
      <c r="LF7" s="894"/>
      <c r="LG7" s="894"/>
      <c r="LH7" s="894"/>
    </row>
    <row r="8" spans="1:356" s="168" customFormat="1" ht="13.5" hidden="1" customHeight="1" outlineLevel="1" thickBot="1" x14ac:dyDescent="0.3">
      <c r="A8" s="760"/>
      <c r="B8" s="53" t="s">
        <v>14</v>
      </c>
      <c r="C8" s="53"/>
      <c r="D8" s="53"/>
      <c r="E8" s="54"/>
      <c r="F8" s="54"/>
      <c r="G8" s="54"/>
      <c r="H8" s="55">
        <v>94733314</v>
      </c>
      <c r="I8" s="64">
        <v>94733314</v>
      </c>
      <c r="J8" s="55">
        <v>94733314</v>
      </c>
      <c r="K8" s="64">
        <v>94733314</v>
      </c>
      <c r="L8" s="55">
        <v>94733314</v>
      </c>
      <c r="M8" s="64">
        <v>94733314</v>
      </c>
      <c r="N8" s="55">
        <v>94733314</v>
      </c>
      <c r="O8" s="64">
        <v>94733314</v>
      </c>
      <c r="P8" s="55">
        <v>94733314</v>
      </c>
      <c r="Q8" s="64">
        <v>94733314</v>
      </c>
      <c r="R8" s="55">
        <v>94733314</v>
      </c>
      <c r="S8" s="64">
        <v>94733314</v>
      </c>
      <c r="T8" s="55">
        <v>94733314</v>
      </c>
      <c r="U8" s="55">
        <v>94733314</v>
      </c>
      <c r="V8" s="55">
        <f>S8</f>
        <v>94733314</v>
      </c>
      <c r="W8" s="64">
        <f t="shared" ref="W8:Y8" si="89">V8</f>
        <v>94733314</v>
      </c>
      <c r="X8" s="55">
        <f t="shared" si="89"/>
        <v>94733314</v>
      </c>
      <c r="Y8" s="64">
        <f t="shared" si="89"/>
        <v>94733314</v>
      </c>
      <c r="Z8" s="55">
        <v>94733314</v>
      </c>
      <c r="AA8" s="64">
        <v>94733314</v>
      </c>
      <c r="AB8" s="55">
        <v>94733314</v>
      </c>
      <c r="AC8" s="64">
        <v>94733314</v>
      </c>
      <c r="AD8" s="55">
        <v>94733314</v>
      </c>
      <c r="AE8" s="64">
        <v>94733314</v>
      </c>
      <c r="AF8" s="55">
        <v>94733314</v>
      </c>
      <c r="AG8" s="64">
        <v>94733314</v>
      </c>
      <c r="AH8" s="55">
        <v>94733314</v>
      </c>
      <c r="AI8" s="55">
        <v>94733314</v>
      </c>
      <c r="AJ8" s="55">
        <f>AG8</f>
        <v>94733314</v>
      </c>
      <c r="AK8" s="64">
        <f t="shared" ref="AK8:AU8" si="90">AJ8</f>
        <v>94733314</v>
      </c>
      <c r="AL8" s="55">
        <f t="shared" si="90"/>
        <v>94733314</v>
      </c>
      <c r="AM8" s="64">
        <f t="shared" si="90"/>
        <v>94733314</v>
      </c>
      <c r="AN8" s="55">
        <f t="shared" si="90"/>
        <v>94733314</v>
      </c>
      <c r="AO8" s="64">
        <f t="shared" si="90"/>
        <v>94733314</v>
      </c>
      <c r="AP8" s="55">
        <f t="shared" si="90"/>
        <v>94733314</v>
      </c>
      <c r="AQ8" s="64">
        <f t="shared" si="90"/>
        <v>94733314</v>
      </c>
      <c r="AR8" s="55">
        <f t="shared" si="90"/>
        <v>94733314</v>
      </c>
      <c r="AS8" s="64">
        <f t="shared" si="90"/>
        <v>94733314</v>
      </c>
      <c r="AT8" s="55">
        <f t="shared" si="90"/>
        <v>94733314</v>
      </c>
      <c r="AU8" s="64">
        <f t="shared" si="90"/>
        <v>94733314</v>
      </c>
      <c r="AV8" s="55">
        <f>AG8</f>
        <v>94733314</v>
      </c>
      <c r="AW8" s="55">
        <f>AV8</f>
        <v>94733314</v>
      </c>
      <c r="AX8" s="55">
        <f>AU8</f>
        <v>94733314</v>
      </c>
      <c r="AY8" s="64">
        <f t="shared" ref="AY8:BI8" si="91">AX8</f>
        <v>94733314</v>
      </c>
      <c r="AZ8" s="55">
        <f t="shared" si="91"/>
        <v>94733314</v>
      </c>
      <c r="BA8" s="64">
        <f t="shared" si="91"/>
        <v>94733314</v>
      </c>
      <c r="BB8" s="55">
        <f t="shared" si="91"/>
        <v>94733314</v>
      </c>
      <c r="BC8" s="64">
        <f t="shared" si="91"/>
        <v>94733314</v>
      </c>
      <c r="BD8" s="55">
        <f t="shared" si="91"/>
        <v>94733314</v>
      </c>
      <c r="BE8" s="64">
        <f t="shared" si="91"/>
        <v>94733314</v>
      </c>
      <c r="BF8" s="55">
        <f t="shared" si="91"/>
        <v>94733314</v>
      </c>
      <c r="BG8" s="64">
        <f t="shared" si="91"/>
        <v>94733314</v>
      </c>
      <c r="BH8" s="55">
        <f t="shared" si="91"/>
        <v>94733314</v>
      </c>
      <c r="BI8" s="64">
        <f t="shared" si="91"/>
        <v>94733314</v>
      </c>
      <c r="BJ8" s="55">
        <f>AU8</f>
        <v>94733314</v>
      </c>
      <c r="BK8" s="55">
        <f>BJ8</f>
        <v>94733314</v>
      </c>
      <c r="BL8" s="55">
        <f>BI8</f>
        <v>94733314</v>
      </c>
      <c r="BM8" s="64">
        <f t="shared" ref="BM8" si="92">BL8</f>
        <v>94733314</v>
      </c>
      <c r="BN8" s="55">
        <f t="shared" ref="BN8" si="93">BM8</f>
        <v>94733314</v>
      </c>
      <c r="BO8" s="64">
        <f t="shared" ref="BO8" si="94">BN8</f>
        <v>94733314</v>
      </c>
      <c r="BP8" s="55">
        <f t="shared" ref="BP8" si="95">BO8</f>
        <v>94733314</v>
      </c>
      <c r="BQ8" s="64">
        <f t="shared" ref="BQ8" si="96">BP8</f>
        <v>94733314</v>
      </c>
      <c r="BR8" s="55">
        <f t="shared" ref="BR8" si="97">BQ8</f>
        <v>94733314</v>
      </c>
      <c r="BS8" s="64">
        <f t="shared" ref="BS8" si="98">BR8</f>
        <v>94733314</v>
      </c>
      <c r="BT8" s="55">
        <f t="shared" ref="BT8" si="99">BS8</f>
        <v>94733314</v>
      </c>
      <c r="BU8" s="64">
        <f t="shared" ref="BU8" si="100">BT8</f>
        <v>94733314</v>
      </c>
      <c r="BV8" s="55">
        <f t="shared" ref="BV8" si="101">BU8</f>
        <v>94733314</v>
      </c>
      <c r="BW8" s="64">
        <f t="shared" ref="BW8" si="102">BV8</f>
        <v>94733314</v>
      </c>
      <c r="BX8" s="55">
        <f>BI8</f>
        <v>94733314</v>
      </c>
      <c r="BY8" s="55">
        <f>BX8</f>
        <v>94733314</v>
      </c>
      <c r="BZ8" s="55">
        <f>BW8</f>
        <v>94733314</v>
      </c>
      <c r="CA8" s="64">
        <f t="shared" ref="CA8" si="103">BZ8</f>
        <v>94733314</v>
      </c>
      <c r="CB8" s="55">
        <f t="shared" ref="CB8" si="104">CA8</f>
        <v>94733314</v>
      </c>
      <c r="CC8" s="64">
        <f t="shared" ref="CC8" si="105">CB8</f>
        <v>94733314</v>
      </c>
      <c r="CD8" s="55">
        <f t="shared" ref="CD8" si="106">CC8</f>
        <v>94733314</v>
      </c>
      <c r="CE8" s="64">
        <f t="shared" ref="CE8" si="107">CD8</f>
        <v>94733314</v>
      </c>
      <c r="CF8" s="55">
        <f t="shared" ref="CF8" si="108">CE8</f>
        <v>94733314</v>
      </c>
      <c r="CG8" s="64">
        <f t="shared" ref="CG8" si="109">CF8</f>
        <v>94733314</v>
      </c>
      <c r="CH8" s="55">
        <f t="shared" ref="CH8" si="110">CG8</f>
        <v>94733314</v>
      </c>
      <c r="CI8" s="64">
        <f t="shared" ref="CI8" si="111">CH8</f>
        <v>94733314</v>
      </c>
      <c r="CJ8" s="55">
        <f t="shared" ref="CJ8" si="112">CI8</f>
        <v>94733314</v>
      </c>
      <c r="CK8" s="64">
        <f t="shared" ref="CK8" si="113">CJ8</f>
        <v>94733314</v>
      </c>
      <c r="CL8" s="55">
        <f>BW8</f>
        <v>94733314</v>
      </c>
      <c r="CM8" s="55">
        <f>CL8</f>
        <v>94733314</v>
      </c>
      <c r="CN8" s="55">
        <f>CK8</f>
        <v>94733314</v>
      </c>
      <c r="CO8" s="64">
        <f t="shared" ref="CO8" si="114">CN8</f>
        <v>94733314</v>
      </c>
      <c r="CP8" s="55">
        <f t="shared" ref="CP8" si="115">CO8</f>
        <v>94733314</v>
      </c>
      <c r="CQ8" s="64">
        <f t="shared" ref="CQ8" si="116">CP8</f>
        <v>94733314</v>
      </c>
      <c r="CR8" s="55">
        <f t="shared" ref="CR8" si="117">CQ8</f>
        <v>94733314</v>
      </c>
      <c r="CS8" s="64">
        <f t="shared" ref="CS8" si="118">CR8</f>
        <v>94733314</v>
      </c>
      <c r="CT8" s="55">
        <f t="shared" ref="CT8" si="119">CS8</f>
        <v>94733314</v>
      </c>
      <c r="CU8" s="64">
        <f t="shared" ref="CU8" si="120">CT8</f>
        <v>94733314</v>
      </c>
      <c r="CV8" s="55">
        <f t="shared" ref="CV8" si="121">CU8</f>
        <v>94733314</v>
      </c>
      <c r="CW8" s="64">
        <f t="shared" ref="CW8" si="122">CV8</f>
        <v>94733314</v>
      </c>
      <c r="CX8" s="55">
        <f t="shared" ref="CX8" si="123">CW8</f>
        <v>94733314</v>
      </c>
      <c r="CY8" s="64">
        <f t="shared" ref="CY8" si="124">CX8</f>
        <v>94733314</v>
      </c>
      <c r="CZ8" s="55">
        <f>CK8</f>
        <v>94733314</v>
      </c>
      <c r="DA8" s="55">
        <f>CZ8</f>
        <v>94733314</v>
      </c>
      <c r="DB8" s="55">
        <f>CY8</f>
        <v>94733314</v>
      </c>
      <c r="DC8" s="64">
        <f t="shared" ref="DC8" si="125">DB8</f>
        <v>94733314</v>
      </c>
      <c r="DD8" s="55">
        <f t="shared" ref="DD8" si="126">DC8</f>
        <v>94733314</v>
      </c>
      <c r="DE8" s="64">
        <f t="shared" ref="DE8" si="127">DD8</f>
        <v>94733314</v>
      </c>
      <c r="DF8" s="55">
        <f t="shared" ref="DF8" si="128">DE8</f>
        <v>94733314</v>
      </c>
      <c r="DG8" s="64">
        <f t="shared" ref="DG8" si="129">DF8</f>
        <v>94733314</v>
      </c>
      <c r="DH8" s="55">
        <f t="shared" ref="DH8" si="130">DG8</f>
        <v>94733314</v>
      </c>
      <c r="DI8" s="64">
        <f t="shared" ref="DI8" si="131">DH8</f>
        <v>94733314</v>
      </c>
      <c r="DJ8" s="55">
        <f t="shared" ref="DJ8" si="132">DI8</f>
        <v>94733314</v>
      </c>
      <c r="DK8" s="64">
        <f t="shared" ref="DK8" si="133">DJ8</f>
        <v>94733314</v>
      </c>
      <c r="DL8" s="55">
        <f t="shared" ref="DL8" si="134">DK8</f>
        <v>94733314</v>
      </c>
      <c r="DM8" s="64">
        <f t="shared" ref="DM8" si="135">DL8</f>
        <v>94733314</v>
      </c>
      <c r="DN8" s="55">
        <f>CY8</f>
        <v>94733314</v>
      </c>
      <c r="DO8" s="55">
        <f>DN8</f>
        <v>94733314</v>
      </c>
      <c r="DP8" s="55">
        <f>DM8</f>
        <v>94733314</v>
      </c>
      <c r="DQ8" s="64">
        <f t="shared" ref="DQ8" si="136">DP8</f>
        <v>94733314</v>
      </c>
      <c r="DR8" s="55">
        <f t="shared" ref="DR8" si="137">DQ8</f>
        <v>94733314</v>
      </c>
      <c r="DS8" s="64">
        <f t="shared" ref="DS8" si="138">DR8</f>
        <v>94733314</v>
      </c>
      <c r="DT8" s="55">
        <f t="shared" ref="DT8" si="139">DS8</f>
        <v>94733314</v>
      </c>
      <c r="DU8" s="64">
        <f t="shared" ref="DU8" si="140">DT8</f>
        <v>94733314</v>
      </c>
      <c r="DV8" s="55">
        <f t="shared" ref="DV8" si="141">DU8</f>
        <v>94733314</v>
      </c>
      <c r="DW8" s="64">
        <f t="shared" ref="DW8" si="142">DV8</f>
        <v>94733314</v>
      </c>
      <c r="DX8" s="55">
        <f t="shared" ref="DX8" si="143">DW8</f>
        <v>94733314</v>
      </c>
      <c r="DY8" s="64">
        <f t="shared" ref="DY8" si="144">DX8</f>
        <v>94733314</v>
      </c>
      <c r="DZ8" s="55">
        <f t="shared" ref="DZ8" si="145">DY8</f>
        <v>94733314</v>
      </c>
      <c r="EA8" s="64">
        <f t="shared" ref="EA8" si="146">DZ8</f>
        <v>94733314</v>
      </c>
      <c r="EB8" s="55">
        <f>DM8</f>
        <v>94733314</v>
      </c>
      <c r="EC8" s="55">
        <f>EB8</f>
        <v>94733314</v>
      </c>
      <c r="ED8" s="126"/>
      <c r="EE8" s="468"/>
      <c r="EF8" s="126"/>
      <c r="EG8" s="468"/>
      <c r="EH8" s="126"/>
      <c r="EI8" s="468"/>
      <c r="EJ8" s="126"/>
      <c r="EK8" s="468"/>
      <c r="EL8" s="126"/>
      <c r="EM8" s="468"/>
      <c r="EN8" s="126"/>
      <c r="EO8" s="468"/>
      <c r="EP8" s="126"/>
      <c r="EQ8" s="468"/>
      <c r="ER8" s="126"/>
      <c r="ES8" s="468"/>
      <c r="ET8" s="126"/>
      <c r="EU8" s="468"/>
      <c r="EV8" s="126"/>
      <c r="EW8" s="468"/>
      <c r="EX8" s="126"/>
      <c r="EY8" s="468"/>
      <c r="EZ8" s="126"/>
      <c r="FA8" s="468"/>
      <c r="FB8" s="671"/>
      <c r="FC8" s="672"/>
      <c r="FD8" s="671"/>
      <c r="FE8" s="672"/>
      <c r="FF8" s="671"/>
      <c r="FG8" s="672"/>
      <c r="FH8" s="671"/>
      <c r="FI8" s="672"/>
      <c r="FJ8" s="671"/>
      <c r="FK8" s="672"/>
      <c r="FL8" s="671"/>
      <c r="FM8" s="672"/>
      <c r="FN8" s="671"/>
      <c r="FO8" s="672"/>
      <c r="FP8" s="671"/>
      <c r="FQ8" s="672"/>
      <c r="FR8" s="671"/>
      <c r="FS8" s="672"/>
      <c r="FT8" s="671"/>
      <c r="FU8" s="672"/>
      <c r="FV8" s="671"/>
      <c r="FW8" s="672"/>
      <c r="FX8" s="671"/>
      <c r="FY8" s="672"/>
      <c r="FZ8" s="671"/>
      <c r="GA8" s="672"/>
      <c r="GB8" s="671"/>
      <c r="GC8" s="672"/>
      <c r="GD8" s="671"/>
      <c r="GE8" s="672"/>
      <c r="GF8" s="671"/>
      <c r="GG8" s="672"/>
      <c r="GH8" s="671"/>
      <c r="GI8" s="672"/>
      <c r="GJ8" s="671"/>
      <c r="GK8" s="672"/>
      <c r="GL8" s="671"/>
      <c r="GM8" s="672"/>
      <c r="GN8" s="671"/>
      <c r="GO8" s="672"/>
      <c r="GP8" s="671"/>
      <c r="GQ8" s="672"/>
      <c r="GR8" s="671"/>
      <c r="GS8" s="672"/>
      <c r="GT8" s="671"/>
      <c r="GU8" s="672"/>
      <c r="GV8" s="671"/>
      <c r="GW8" s="672"/>
      <c r="GX8" s="671"/>
      <c r="GY8" s="672"/>
      <c r="GZ8" s="671"/>
      <c r="HA8" s="672"/>
      <c r="HB8" s="671"/>
      <c r="HC8" s="672"/>
      <c r="HD8" s="671"/>
      <c r="HE8" s="672"/>
      <c r="HF8" s="671"/>
      <c r="HG8" s="672"/>
      <c r="HH8" s="671"/>
      <c r="HI8" s="672"/>
      <c r="HJ8" s="671"/>
      <c r="HK8" s="672"/>
      <c r="HL8" s="671"/>
      <c r="HM8" s="672"/>
      <c r="HN8" s="671"/>
      <c r="HO8" s="672"/>
      <c r="HP8" s="671"/>
      <c r="HQ8" s="672"/>
      <c r="HR8" s="671"/>
      <c r="HS8" s="672"/>
      <c r="HT8" s="671"/>
      <c r="HU8" s="672"/>
      <c r="HV8" s="671"/>
      <c r="HW8" s="672"/>
      <c r="HX8" s="671"/>
      <c r="HY8" s="672"/>
      <c r="HZ8" s="671"/>
      <c r="IA8" s="672"/>
      <c r="IB8" s="671"/>
      <c r="IC8" s="672"/>
      <c r="ID8" s="671"/>
      <c r="IE8" s="672"/>
      <c r="IF8" s="671"/>
      <c r="IG8" s="672"/>
      <c r="IH8" s="671"/>
      <c r="II8" s="672"/>
      <c r="IJ8" s="671"/>
      <c r="IK8" s="672"/>
      <c r="IL8" s="671"/>
      <c r="IM8" s="672"/>
      <c r="IN8" s="671"/>
      <c r="IO8" s="672"/>
      <c r="IP8" s="671"/>
      <c r="IQ8" s="672"/>
      <c r="IR8" s="671"/>
      <c r="IS8" s="672"/>
      <c r="IT8" s="55">
        <f>CW8</f>
        <v>94733314</v>
      </c>
      <c r="IU8" s="1087">
        <f>DK8</f>
        <v>94733314</v>
      </c>
      <c r="IV8" s="704"/>
      <c r="IW8" s="705"/>
      <c r="IX8" s="694"/>
      <c r="IY8" s="694"/>
      <c r="IZ8" s="694"/>
      <c r="JB8" s="254"/>
      <c r="JC8" s="254"/>
      <c r="JD8" s="254"/>
      <c r="JE8" s="254"/>
      <c r="JF8" s="254"/>
      <c r="JG8" s="254"/>
      <c r="JH8" s="254"/>
      <c r="JI8" s="254"/>
      <c r="JJ8" s="254"/>
      <c r="JK8" s="254"/>
      <c r="JL8" s="254"/>
      <c r="JM8" s="255"/>
      <c r="JN8" s="255"/>
      <c r="JO8" s="255"/>
      <c r="JP8" s="255"/>
      <c r="JQ8" s="255"/>
      <c r="JR8" s="255"/>
      <c r="JS8" s="255"/>
      <c r="JT8" s="255"/>
      <c r="JU8" s="255"/>
      <c r="JV8" s="255"/>
      <c r="JW8" s="255"/>
      <c r="JX8" s="255"/>
      <c r="JY8" s="255"/>
      <c r="JZ8" s="255"/>
      <c r="KA8" s="255"/>
      <c r="KB8" s="255"/>
      <c r="KC8" s="255"/>
      <c r="KD8" s="255"/>
      <c r="KE8" s="255"/>
      <c r="KF8" s="255"/>
      <c r="KG8" s="255"/>
      <c r="KH8" s="255"/>
      <c r="KI8" s="255"/>
      <c r="KJ8" s="255"/>
      <c r="KK8" s="784"/>
      <c r="KL8" s="784"/>
      <c r="KM8" s="784"/>
      <c r="KN8" s="784"/>
      <c r="KO8" s="784"/>
      <c r="KP8" s="784"/>
      <c r="KQ8" s="784"/>
      <c r="KR8" s="784"/>
      <c r="KS8" s="784"/>
      <c r="KT8" s="784"/>
      <c r="KU8" s="784"/>
      <c r="KV8" s="784"/>
      <c r="KW8" s="895"/>
      <c r="KX8" s="895"/>
      <c r="KY8" s="895"/>
      <c r="KZ8" s="895"/>
      <c r="LA8" s="895"/>
      <c r="LB8" s="895"/>
      <c r="LC8" s="895"/>
      <c r="LD8" s="895"/>
      <c r="LE8" s="895"/>
      <c r="LF8" s="895"/>
      <c r="LG8" s="895"/>
      <c r="LH8" s="895"/>
    </row>
    <row r="9" spans="1:356" s="296" customFormat="1" ht="22.5" customHeight="1" collapsed="1" thickBot="1" x14ac:dyDescent="0.3">
      <c r="A9" s="761"/>
      <c r="B9" s="1243"/>
      <c r="C9" s="1243"/>
      <c r="D9" s="1243"/>
      <c r="E9" s="1243"/>
      <c r="F9" s="1243"/>
      <c r="G9" s="1243"/>
      <c r="H9" s="121"/>
      <c r="J9" s="121"/>
      <c r="K9" s="121"/>
      <c r="L9" s="121"/>
      <c r="M9" s="121"/>
      <c r="N9" s="121"/>
      <c r="O9" s="121"/>
      <c r="P9" s="121"/>
      <c r="Q9" s="121"/>
      <c r="R9" s="121"/>
      <c r="S9" s="121"/>
      <c r="T9" s="297"/>
      <c r="U9" s="297"/>
      <c r="V9" s="121"/>
      <c r="W9" s="121"/>
      <c r="X9" s="121"/>
      <c r="Y9" s="121"/>
      <c r="Z9" s="121"/>
      <c r="AA9" s="121"/>
      <c r="AB9" s="121"/>
      <c r="AC9" s="121"/>
      <c r="AD9" s="121"/>
      <c r="AE9" s="121"/>
      <c r="AF9" s="121"/>
      <c r="AG9" s="121"/>
      <c r="AH9" s="297"/>
      <c r="AI9" s="121"/>
      <c r="AJ9" s="121"/>
      <c r="AK9" s="121"/>
      <c r="AL9" s="121"/>
      <c r="AM9" s="121"/>
      <c r="AN9" s="121"/>
      <c r="AO9" s="121"/>
      <c r="AP9" s="121"/>
      <c r="AQ9" s="121"/>
      <c r="AR9" s="121"/>
      <c r="AS9" s="121"/>
      <c r="AT9" s="121"/>
      <c r="AU9" s="121"/>
      <c r="AV9" s="297"/>
      <c r="AW9" s="297"/>
      <c r="AX9" s="121"/>
      <c r="AY9" s="121"/>
      <c r="AZ9" s="121"/>
      <c r="BA9" s="121"/>
      <c r="BB9" s="121"/>
      <c r="BC9" s="121"/>
      <c r="BD9" s="121"/>
      <c r="BE9" s="121"/>
      <c r="BF9" s="121"/>
      <c r="BG9" s="121"/>
      <c r="BH9" s="121"/>
      <c r="BI9" s="121"/>
      <c r="BJ9" s="297"/>
      <c r="BK9" s="753"/>
      <c r="BL9" s="121"/>
      <c r="BM9" s="121"/>
      <c r="BN9" s="121"/>
      <c r="BO9" s="121"/>
      <c r="BP9" s="121"/>
      <c r="BQ9" s="121"/>
      <c r="BR9" s="121"/>
      <c r="BS9" s="121"/>
      <c r="BT9" s="121"/>
      <c r="BU9" s="121"/>
      <c r="BV9" s="121"/>
      <c r="BW9" s="121"/>
      <c r="BX9" s="297"/>
      <c r="BY9" s="753"/>
      <c r="BZ9" s="121"/>
      <c r="CA9" s="121"/>
      <c r="CB9" s="121"/>
      <c r="CC9" s="121"/>
      <c r="CD9" s="121"/>
      <c r="CE9" s="121"/>
      <c r="CF9" s="121"/>
      <c r="CG9" s="121"/>
      <c r="CH9" s="121"/>
      <c r="CI9" s="121"/>
      <c r="CJ9" s="121"/>
      <c r="CK9" s="121"/>
      <c r="CL9" s="297"/>
      <c r="CM9" s="753"/>
      <c r="CN9" s="1008"/>
      <c r="CO9" s="1008"/>
      <c r="CP9" s="1008"/>
      <c r="CQ9" s="1008"/>
      <c r="CR9" s="1008"/>
      <c r="CS9" s="1008"/>
      <c r="CT9" s="1008"/>
      <c r="CU9" s="1008"/>
      <c r="CV9" s="1008"/>
      <c r="CW9" s="1008"/>
      <c r="CX9" s="1008"/>
      <c r="CY9" s="1008"/>
      <c r="CZ9" s="1009"/>
      <c r="DA9" s="1010"/>
      <c r="DB9" s="1031"/>
      <c r="DC9" s="1031"/>
      <c r="DD9" s="1031"/>
      <c r="DE9" s="1031"/>
      <c r="DF9" s="1031"/>
      <c r="DG9" s="1031"/>
      <c r="DH9" s="1031"/>
      <c r="DI9" s="1031"/>
      <c r="DJ9" s="1031"/>
      <c r="DK9" s="1031"/>
      <c r="DL9" s="1031"/>
      <c r="DM9" s="1031"/>
      <c r="DN9" s="1032"/>
      <c r="DO9" s="1033"/>
      <c r="DP9" s="1132"/>
      <c r="DQ9" s="1132"/>
      <c r="DR9" s="1132"/>
      <c r="DS9" s="1132"/>
      <c r="DT9" s="1132"/>
      <c r="DU9" s="1132"/>
      <c r="DV9" s="1132"/>
      <c r="DW9" s="1132"/>
      <c r="DX9" s="1132"/>
      <c r="DY9" s="1132"/>
      <c r="DZ9" s="1132"/>
      <c r="EA9" s="1132"/>
      <c r="EB9" s="1133"/>
      <c r="EC9" s="1134"/>
      <c r="ED9" s="754" t="s">
        <v>133</v>
      </c>
      <c r="EE9" s="483" t="s">
        <v>192</v>
      </c>
      <c r="EF9" s="482" t="s">
        <v>134</v>
      </c>
      <c r="EG9" s="483" t="s">
        <v>192</v>
      </c>
      <c r="EH9" s="484" t="s">
        <v>135</v>
      </c>
      <c r="EI9" s="483" t="s">
        <v>192</v>
      </c>
      <c r="EJ9" s="484" t="s">
        <v>136</v>
      </c>
      <c r="EK9" s="483" t="s">
        <v>192</v>
      </c>
      <c r="EL9" s="484" t="s">
        <v>117</v>
      </c>
      <c r="EM9" s="483" t="s">
        <v>192</v>
      </c>
      <c r="EN9" s="484" t="s">
        <v>118</v>
      </c>
      <c r="EO9" s="483" t="s">
        <v>192</v>
      </c>
      <c r="EP9" s="484" t="s">
        <v>119</v>
      </c>
      <c r="EQ9" s="483" t="s">
        <v>192</v>
      </c>
      <c r="ER9" s="484" t="s">
        <v>120</v>
      </c>
      <c r="ES9" s="483" t="s">
        <v>192</v>
      </c>
      <c r="ET9" s="484" t="s">
        <v>121</v>
      </c>
      <c r="EU9" s="483" t="s">
        <v>192</v>
      </c>
      <c r="EV9" s="484" t="s">
        <v>122</v>
      </c>
      <c r="EW9" s="483" t="s">
        <v>192</v>
      </c>
      <c r="EX9" s="484" t="s">
        <v>123</v>
      </c>
      <c r="EY9" s="483" t="s">
        <v>192</v>
      </c>
      <c r="EZ9" s="484" t="s">
        <v>137</v>
      </c>
      <c r="FA9" s="483" t="s">
        <v>192</v>
      </c>
      <c r="FB9" s="484" t="s">
        <v>133</v>
      </c>
      <c r="FC9" s="483" t="s">
        <v>215</v>
      </c>
      <c r="FD9" s="484" t="s">
        <v>134</v>
      </c>
      <c r="FE9" s="483" t="s">
        <v>215</v>
      </c>
      <c r="FF9" s="484" t="s">
        <v>135</v>
      </c>
      <c r="FG9" s="483" t="s">
        <v>215</v>
      </c>
      <c r="FH9" s="484" t="s">
        <v>216</v>
      </c>
      <c r="FI9" s="483" t="s">
        <v>215</v>
      </c>
      <c r="FJ9" s="484" t="s">
        <v>117</v>
      </c>
      <c r="FK9" s="483" t="s">
        <v>215</v>
      </c>
      <c r="FL9" s="484" t="s">
        <v>118</v>
      </c>
      <c r="FM9" s="483" t="s">
        <v>215</v>
      </c>
      <c r="FN9" s="484" t="s">
        <v>119</v>
      </c>
      <c r="FO9" s="483" t="s">
        <v>215</v>
      </c>
      <c r="FP9" s="484" t="s">
        <v>120</v>
      </c>
      <c r="FQ9" s="483" t="s">
        <v>215</v>
      </c>
      <c r="FR9" s="484" t="s">
        <v>121</v>
      </c>
      <c r="FS9" s="483" t="s">
        <v>215</v>
      </c>
      <c r="FT9" s="484" t="s">
        <v>122</v>
      </c>
      <c r="FU9" s="483" t="s">
        <v>215</v>
      </c>
      <c r="FV9" s="484" t="s">
        <v>123</v>
      </c>
      <c r="FW9" s="483" t="s">
        <v>215</v>
      </c>
      <c r="FX9" s="484" t="s">
        <v>137</v>
      </c>
      <c r="FY9" s="483" t="s">
        <v>215</v>
      </c>
      <c r="FZ9" s="484" t="s">
        <v>133</v>
      </c>
      <c r="GA9" s="483" t="s">
        <v>251</v>
      </c>
      <c r="GB9" s="484" t="s">
        <v>134</v>
      </c>
      <c r="GC9" s="483" t="s">
        <v>251</v>
      </c>
      <c r="GD9" s="484" t="s">
        <v>135</v>
      </c>
      <c r="GE9" s="483" t="s">
        <v>251</v>
      </c>
      <c r="GF9" s="484" t="s">
        <v>216</v>
      </c>
      <c r="GG9" s="483" t="s">
        <v>251</v>
      </c>
      <c r="GH9" s="484" t="s">
        <v>117</v>
      </c>
      <c r="GI9" s="483" t="s">
        <v>251</v>
      </c>
      <c r="GJ9" s="484" t="s">
        <v>118</v>
      </c>
      <c r="GK9" s="483" t="s">
        <v>251</v>
      </c>
      <c r="GL9" s="484" t="s">
        <v>119</v>
      </c>
      <c r="GM9" s="483" t="s">
        <v>251</v>
      </c>
      <c r="GN9" s="484" t="s">
        <v>120</v>
      </c>
      <c r="GO9" s="483" t="s">
        <v>251</v>
      </c>
      <c r="GP9" s="484" t="s">
        <v>121</v>
      </c>
      <c r="GQ9" s="483" t="s">
        <v>251</v>
      </c>
      <c r="GR9" s="484" t="s">
        <v>122</v>
      </c>
      <c r="GS9" s="483" t="s">
        <v>251</v>
      </c>
      <c r="GT9" s="484" t="s">
        <v>123</v>
      </c>
      <c r="GU9" s="483" t="s">
        <v>251</v>
      </c>
      <c r="GV9" s="484" t="s">
        <v>137</v>
      </c>
      <c r="GW9" s="483" t="s">
        <v>251</v>
      </c>
      <c r="GX9" s="484" t="s">
        <v>133</v>
      </c>
      <c r="GY9" s="483" t="s">
        <v>271</v>
      </c>
      <c r="GZ9" s="484" t="s">
        <v>134</v>
      </c>
      <c r="HA9" s="483" t="s">
        <v>271</v>
      </c>
      <c r="HB9" s="484" t="s">
        <v>135</v>
      </c>
      <c r="HC9" s="483" t="s">
        <v>271</v>
      </c>
      <c r="HD9" s="484" t="s">
        <v>272</v>
      </c>
      <c r="HE9" s="483" t="s">
        <v>271</v>
      </c>
      <c r="HF9" s="484" t="s">
        <v>117</v>
      </c>
      <c r="HG9" s="483" t="s">
        <v>271</v>
      </c>
      <c r="HH9" s="484" t="s">
        <v>118</v>
      </c>
      <c r="HI9" s="483" t="s">
        <v>271</v>
      </c>
      <c r="HJ9" s="484" t="s">
        <v>119</v>
      </c>
      <c r="HK9" s="483" t="s">
        <v>271</v>
      </c>
      <c r="HL9" s="484" t="s">
        <v>120</v>
      </c>
      <c r="HM9" s="483" t="s">
        <v>271</v>
      </c>
      <c r="HN9" s="484" t="s">
        <v>121</v>
      </c>
      <c r="HO9" s="483" t="s">
        <v>271</v>
      </c>
      <c r="HP9" s="484" t="s">
        <v>122</v>
      </c>
      <c r="HQ9" s="483" t="s">
        <v>271</v>
      </c>
      <c r="HR9" s="484" t="s">
        <v>123</v>
      </c>
      <c r="HS9" s="483" t="s">
        <v>271</v>
      </c>
      <c r="HT9" s="484" t="s">
        <v>137</v>
      </c>
      <c r="HU9" s="483" t="s">
        <v>271</v>
      </c>
      <c r="HV9" s="484" t="s">
        <v>133</v>
      </c>
      <c r="HW9" s="483" t="s">
        <v>280</v>
      </c>
      <c r="HX9" s="484" t="s">
        <v>134</v>
      </c>
      <c r="HY9" s="483" t="s">
        <v>280</v>
      </c>
      <c r="HZ9" s="484" t="s">
        <v>135</v>
      </c>
      <c r="IA9" s="483" t="s">
        <v>280</v>
      </c>
      <c r="IB9" s="484" t="s">
        <v>272</v>
      </c>
      <c r="IC9" s="483" t="s">
        <v>280</v>
      </c>
      <c r="ID9" s="484" t="s">
        <v>117</v>
      </c>
      <c r="IE9" s="483" t="s">
        <v>280</v>
      </c>
      <c r="IF9" s="484" t="s">
        <v>118</v>
      </c>
      <c r="IG9" s="483" t="s">
        <v>280</v>
      </c>
      <c r="IH9" s="484" t="s">
        <v>119</v>
      </c>
      <c r="II9" s="483" t="s">
        <v>280</v>
      </c>
      <c r="IJ9" s="484" t="s">
        <v>120</v>
      </c>
      <c r="IK9" s="483" t="s">
        <v>280</v>
      </c>
      <c r="IL9" s="484" t="s">
        <v>121</v>
      </c>
      <c r="IM9" s="483" t="s">
        <v>280</v>
      </c>
      <c r="IN9" s="484" t="s">
        <v>122</v>
      </c>
      <c r="IO9" s="483" t="s">
        <v>280</v>
      </c>
      <c r="IP9" s="484" t="s">
        <v>123</v>
      </c>
      <c r="IQ9" s="483" t="s">
        <v>280</v>
      </c>
      <c r="IR9" s="484" t="s">
        <v>137</v>
      </c>
      <c r="IS9" s="483" t="s">
        <v>280</v>
      </c>
      <c r="IT9" s="121" t="s">
        <v>282</v>
      </c>
      <c r="IU9" s="121" t="s">
        <v>283</v>
      </c>
      <c r="IX9" s="483"/>
      <c r="IY9" s="483"/>
      <c r="IZ9" s="483"/>
      <c r="JA9" s="778"/>
      <c r="JB9" s="517" t="s">
        <v>106</v>
      </c>
      <c r="JC9" s="517" t="s">
        <v>106</v>
      </c>
      <c r="JD9" s="517" t="s">
        <v>106</v>
      </c>
      <c r="JE9" s="517" t="s">
        <v>106</v>
      </c>
      <c r="JF9" s="517" t="s">
        <v>106</v>
      </c>
      <c r="JG9" s="517" t="s">
        <v>106</v>
      </c>
      <c r="JH9" s="517" t="s">
        <v>106</v>
      </c>
      <c r="JI9" s="517" t="s">
        <v>106</v>
      </c>
      <c r="JJ9" s="517" t="s">
        <v>106</v>
      </c>
      <c r="JK9" s="517" t="s">
        <v>106</v>
      </c>
      <c r="JL9" s="517" t="s">
        <v>106</v>
      </c>
      <c r="JM9" s="517" t="s">
        <v>156</v>
      </c>
      <c r="JN9" s="517" t="s">
        <v>156</v>
      </c>
      <c r="JO9" s="517" t="s">
        <v>156</v>
      </c>
      <c r="JP9" s="517" t="s">
        <v>156</v>
      </c>
      <c r="JQ9" s="517" t="s">
        <v>156</v>
      </c>
      <c r="JR9" s="517" t="s">
        <v>156</v>
      </c>
      <c r="JS9" s="517" t="s">
        <v>156</v>
      </c>
      <c r="JT9" s="517" t="s">
        <v>156</v>
      </c>
      <c r="JU9" s="517" t="s">
        <v>156</v>
      </c>
      <c r="JV9" s="517" t="s">
        <v>156</v>
      </c>
      <c r="JW9" s="517" t="s">
        <v>156</v>
      </c>
      <c r="JX9" s="517" t="s">
        <v>156</v>
      </c>
      <c r="JY9" s="517" t="s">
        <v>191</v>
      </c>
      <c r="JZ9" s="517" t="s">
        <v>191</v>
      </c>
      <c r="KA9" s="517" t="s">
        <v>191</v>
      </c>
      <c r="KB9" s="517" t="s">
        <v>191</v>
      </c>
      <c r="KC9" s="517" t="s">
        <v>191</v>
      </c>
      <c r="KD9" s="517" t="s">
        <v>191</v>
      </c>
      <c r="KE9" s="517" t="s">
        <v>191</v>
      </c>
      <c r="KF9" s="517" t="s">
        <v>191</v>
      </c>
      <c r="KG9" s="517" t="s">
        <v>191</v>
      </c>
      <c r="KH9" s="517" t="s">
        <v>191</v>
      </c>
      <c r="KI9" s="517" t="s">
        <v>191</v>
      </c>
      <c r="KJ9" s="517" t="s">
        <v>191</v>
      </c>
      <c r="KK9" s="517" t="s">
        <v>217</v>
      </c>
      <c r="KL9" s="517" t="s">
        <v>217</v>
      </c>
      <c r="KM9" s="517" t="s">
        <v>217</v>
      </c>
      <c r="KN9" s="517" t="s">
        <v>217</v>
      </c>
      <c r="KO9" s="517" t="s">
        <v>217</v>
      </c>
      <c r="KP9" s="517" t="s">
        <v>217</v>
      </c>
      <c r="KQ9" s="517" t="s">
        <v>217</v>
      </c>
      <c r="KR9" s="517" t="s">
        <v>217</v>
      </c>
      <c r="KS9" s="517" t="s">
        <v>217</v>
      </c>
      <c r="KT9" s="517" t="s">
        <v>217</v>
      </c>
      <c r="KU9" s="517" t="s">
        <v>217</v>
      </c>
      <c r="KV9" s="517" t="s">
        <v>217</v>
      </c>
      <c r="KW9" s="896" t="s">
        <v>252</v>
      </c>
      <c r="KX9" s="896" t="s">
        <v>252</v>
      </c>
      <c r="KY9" s="896" t="s">
        <v>252</v>
      </c>
      <c r="KZ9" s="896" t="s">
        <v>252</v>
      </c>
      <c r="LA9" s="896" t="s">
        <v>252</v>
      </c>
      <c r="LB9" s="896" t="s">
        <v>252</v>
      </c>
      <c r="LC9" s="896" t="s">
        <v>252</v>
      </c>
      <c r="LD9" s="896" t="s">
        <v>252</v>
      </c>
      <c r="LE9" s="896" t="s">
        <v>252</v>
      </c>
      <c r="LF9" s="896" t="s">
        <v>252</v>
      </c>
      <c r="LG9" s="896" t="s">
        <v>252</v>
      </c>
      <c r="LH9" s="896" t="s">
        <v>252</v>
      </c>
      <c r="LI9" s="977" t="s">
        <v>269</v>
      </c>
      <c r="LJ9" s="977" t="s">
        <v>269</v>
      </c>
      <c r="LK9" s="977" t="s">
        <v>269</v>
      </c>
      <c r="LL9" s="977" t="s">
        <v>269</v>
      </c>
      <c r="LM9" s="977" t="s">
        <v>269</v>
      </c>
      <c r="LN9" s="977" t="s">
        <v>269</v>
      </c>
      <c r="LO9" s="977" t="s">
        <v>269</v>
      </c>
      <c r="LP9" s="977" t="s">
        <v>269</v>
      </c>
      <c r="LQ9" s="977" t="s">
        <v>269</v>
      </c>
      <c r="LR9" s="977" t="s">
        <v>269</v>
      </c>
      <c r="LS9" s="977" t="s">
        <v>269</v>
      </c>
      <c r="LT9" s="977" t="s">
        <v>269</v>
      </c>
      <c r="LU9" s="1151" t="s">
        <v>281</v>
      </c>
      <c r="LV9" s="1151" t="s">
        <v>281</v>
      </c>
      <c r="LW9" s="1151" t="s">
        <v>281</v>
      </c>
      <c r="LX9" s="1151" t="s">
        <v>281</v>
      </c>
      <c r="LY9" s="1151" t="s">
        <v>281</v>
      </c>
      <c r="LZ9" s="1151" t="s">
        <v>281</v>
      </c>
      <c r="MA9" s="1151" t="s">
        <v>281</v>
      </c>
      <c r="MB9" s="1151" t="s">
        <v>281</v>
      </c>
      <c r="MC9" s="1151" t="s">
        <v>281</v>
      </c>
      <c r="MD9" s="1151" t="s">
        <v>281</v>
      </c>
      <c r="ME9" s="1151" t="s">
        <v>281</v>
      </c>
      <c r="MF9" s="1151" t="s">
        <v>281</v>
      </c>
      <c r="MG9" s="1174" t="s">
        <v>281</v>
      </c>
      <c r="MH9" s="1174" t="s">
        <v>281</v>
      </c>
      <c r="MI9" s="1174" t="s">
        <v>281</v>
      </c>
      <c r="MJ9" s="1174" t="s">
        <v>281</v>
      </c>
      <c r="MK9" s="1174" t="s">
        <v>281</v>
      </c>
      <c r="ML9" s="1174" t="s">
        <v>281</v>
      </c>
      <c r="MM9" s="1174" t="s">
        <v>281</v>
      </c>
      <c r="MN9" s="1174" t="s">
        <v>281</v>
      </c>
      <c r="MO9" s="1174" t="s">
        <v>281</v>
      </c>
      <c r="MP9" s="1174" t="s">
        <v>281</v>
      </c>
      <c r="MQ9" s="1174" t="s">
        <v>292</v>
      </c>
      <c r="MR9" s="1174" t="s">
        <v>293</v>
      </c>
    </row>
    <row r="10" spans="1:356" s="10" customFormat="1" ht="47.25" customHeight="1" thickBot="1" x14ac:dyDescent="0.3">
      <c r="A10" s="1238" t="s">
        <v>157</v>
      </c>
      <c r="B10" s="1239"/>
      <c r="C10" s="1239"/>
      <c r="D10" s="1239"/>
      <c r="E10" s="1239"/>
      <c r="F10" s="1239"/>
      <c r="G10" s="1240"/>
      <c r="H10" s="365">
        <v>40390</v>
      </c>
      <c r="I10" s="224">
        <v>40421</v>
      </c>
      <c r="J10" s="225">
        <v>40451</v>
      </c>
      <c r="K10" s="224">
        <v>40482</v>
      </c>
      <c r="L10" s="225">
        <v>40512</v>
      </c>
      <c r="M10" s="224">
        <v>40543</v>
      </c>
      <c r="N10" s="225">
        <v>40574</v>
      </c>
      <c r="O10" s="224">
        <v>40602</v>
      </c>
      <c r="P10" s="225">
        <v>40633</v>
      </c>
      <c r="Q10" s="224">
        <v>40663</v>
      </c>
      <c r="R10" s="225">
        <v>40694</v>
      </c>
      <c r="S10" s="224">
        <v>40724</v>
      </c>
      <c r="T10" s="127" t="s">
        <v>151</v>
      </c>
      <c r="U10" s="148" t="s">
        <v>152</v>
      </c>
      <c r="V10" s="365">
        <v>40755</v>
      </c>
      <c r="W10" s="224">
        <v>40786</v>
      </c>
      <c r="X10" s="225">
        <v>40816</v>
      </c>
      <c r="Y10" s="224">
        <v>40847</v>
      </c>
      <c r="Z10" s="225">
        <v>40877</v>
      </c>
      <c r="AA10" s="224">
        <v>40908</v>
      </c>
      <c r="AB10" s="225">
        <v>40939</v>
      </c>
      <c r="AC10" s="224">
        <v>40967</v>
      </c>
      <c r="AD10" s="225">
        <v>40999</v>
      </c>
      <c r="AE10" s="224">
        <v>41029</v>
      </c>
      <c r="AF10" s="225">
        <v>41060</v>
      </c>
      <c r="AG10" s="224">
        <v>41090</v>
      </c>
      <c r="AH10" s="127" t="s">
        <v>173</v>
      </c>
      <c r="AI10" s="148" t="s">
        <v>174</v>
      </c>
      <c r="AJ10" s="365">
        <v>41121</v>
      </c>
      <c r="AK10" s="224">
        <v>41152</v>
      </c>
      <c r="AL10" s="225">
        <v>41182</v>
      </c>
      <c r="AM10" s="224">
        <v>41213</v>
      </c>
      <c r="AN10" s="225">
        <v>41243</v>
      </c>
      <c r="AO10" s="476">
        <v>41274</v>
      </c>
      <c r="AP10" s="225">
        <v>41305</v>
      </c>
      <c r="AQ10" s="224">
        <v>41333</v>
      </c>
      <c r="AR10" s="225">
        <v>41364</v>
      </c>
      <c r="AS10" s="224">
        <v>41394</v>
      </c>
      <c r="AT10" s="225">
        <v>41425</v>
      </c>
      <c r="AU10" s="224">
        <v>41455</v>
      </c>
      <c r="AV10" s="127" t="s">
        <v>154</v>
      </c>
      <c r="AW10" s="148" t="s">
        <v>155</v>
      </c>
      <c r="AX10" s="365">
        <v>41486</v>
      </c>
      <c r="AY10" s="224">
        <v>41517</v>
      </c>
      <c r="AZ10" s="225">
        <v>41547</v>
      </c>
      <c r="BA10" s="224">
        <v>41578</v>
      </c>
      <c r="BB10" s="225">
        <v>41608</v>
      </c>
      <c r="BC10" s="224">
        <v>41639</v>
      </c>
      <c r="BD10" s="225">
        <v>41670</v>
      </c>
      <c r="BE10" s="224">
        <v>41698</v>
      </c>
      <c r="BF10" s="225">
        <v>41729</v>
      </c>
      <c r="BG10" s="224">
        <v>41759</v>
      </c>
      <c r="BH10" s="225">
        <v>41790</v>
      </c>
      <c r="BI10" s="224">
        <v>41820</v>
      </c>
      <c r="BJ10" s="127" t="s">
        <v>189</v>
      </c>
      <c r="BK10" s="148" t="s">
        <v>190</v>
      </c>
      <c r="BL10" s="365">
        <v>41851</v>
      </c>
      <c r="BM10" s="224">
        <v>41882</v>
      </c>
      <c r="BN10" s="225">
        <v>41912</v>
      </c>
      <c r="BO10" s="224">
        <v>41943</v>
      </c>
      <c r="BP10" s="225">
        <v>41973</v>
      </c>
      <c r="BQ10" s="224">
        <v>42004</v>
      </c>
      <c r="BR10" s="225">
        <v>42035</v>
      </c>
      <c r="BS10" s="224">
        <v>42063</v>
      </c>
      <c r="BT10" s="225">
        <v>42094</v>
      </c>
      <c r="BU10" s="224">
        <v>42124</v>
      </c>
      <c r="BV10" s="225">
        <v>42155</v>
      </c>
      <c r="BW10" s="224">
        <v>42185</v>
      </c>
      <c r="BX10" s="127" t="s">
        <v>213</v>
      </c>
      <c r="BY10" s="148" t="s">
        <v>214</v>
      </c>
      <c r="BZ10" s="365">
        <v>42216</v>
      </c>
      <c r="CA10" s="224">
        <v>42247</v>
      </c>
      <c r="CB10" s="225">
        <v>42277</v>
      </c>
      <c r="CC10" s="224">
        <v>42308</v>
      </c>
      <c r="CD10" s="225">
        <v>42338</v>
      </c>
      <c r="CE10" s="224">
        <v>42369</v>
      </c>
      <c r="CF10" s="225">
        <v>42400</v>
      </c>
      <c r="CG10" s="224">
        <v>42428</v>
      </c>
      <c r="CH10" s="225">
        <v>42460</v>
      </c>
      <c r="CI10" s="224">
        <v>42490</v>
      </c>
      <c r="CJ10" s="225">
        <v>42521</v>
      </c>
      <c r="CK10" s="224">
        <v>42551</v>
      </c>
      <c r="CL10" s="127" t="s">
        <v>249</v>
      </c>
      <c r="CM10" s="148" t="s">
        <v>250</v>
      </c>
      <c r="CN10" s="365">
        <v>42582</v>
      </c>
      <c r="CO10" s="224">
        <v>42613</v>
      </c>
      <c r="CP10" s="225">
        <v>42643</v>
      </c>
      <c r="CQ10" s="224">
        <v>42674</v>
      </c>
      <c r="CR10" s="225">
        <v>42704</v>
      </c>
      <c r="CS10" s="224">
        <v>42735</v>
      </c>
      <c r="CT10" s="225">
        <v>42766</v>
      </c>
      <c r="CU10" s="224">
        <v>42794</v>
      </c>
      <c r="CV10" s="225">
        <v>42825</v>
      </c>
      <c r="CW10" s="1093">
        <v>42855</v>
      </c>
      <c r="CX10" s="225">
        <v>42886</v>
      </c>
      <c r="CY10" s="224">
        <v>42916</v>
      </c>
      <c r="CZ10" s="127" t="s">
        <v>267</v>
      </c>
      <c r="DA10" s="148" t="s">
        <v>268</v>
      </c>
      <c r="DB10" s="365">
        <v>42947</v>
      </c>
      <c r="DC10" s="224">
        <v>42978</v>
      </c>
      <c r="DD10" s="225">
        <v>43008</v>
      </c>
      <c r="DE10" s="224">
        <v>43039</v>
      </c>
      <c r="DF10" s="225">
        <v>43069</v>
      </c>
      <c r="DG10" s="224">
        <v>43100</v>
      </c>
      <c r="DH10" s="225">
        <v>43131</v>
      </c>
      <c r="DI10" s="224">
        <v>43159</v>
      </c>
      <c r="DJ10" s="225">
        <v>43190</v>
      </c>
      <c r="DK10" s="224">
        <v>43220</v>
      </c>
      <c r="DL10" s="225">
        <v>43251</v>
      </c>
      <c r="DM10" s="224">
        <v>43281</v>
      </c>
      <c r="DN10" s="127" t="s">
        <v>278</v>
      </c>
      <c r="DO10" s="148" t="s">
        <v>279</v>
      </c>
      <c r="DP10" s="365">
        <v>43312</v>
      </c>
      <c r="DQ10" s="224">
        <v>43343</v>
      </c>
      <c r="DR10" s="225">
        <v>43373</v>
      </c>
      <c r="DS10" s="224">
        <v>43404</v>
      </c>
      <c r="DT10" s="225">
        <v>43434</v>
      </c>
      <c r="DU10" s="224">
        <v>43465</v>
      </c>
      <c r="DV10" s="225">
        <v>43496</v>
      </c>
      <c r="DW10" s="224">
        <v>43524</v>
      </c>
      <c r="DX10" s="225">
        <v>43555</v>
      </c>
      <c r="DY10" s="224">
        <v>43585</v>
      </c>
      <c r="DZ10" s="225">
        <v>43616</v>
      </c>
      <c r="EA10" s="224">
        <v>43646</v>
      </c>
      <c r="EB10" s="127" t="s">
        <v>290</v>
      </c>
      <c r="EC10" s="148" t="s">
        <v>291</v>
      </c>
      <c r="ED10" s="1236" t="s">
        <v>96</v>
      </c>
      <c r="EE10" s="1237"/>
      <c r="EF10" s="1236" t="s">
        <v>201</v>
      </c>
      <c r="EG10" s="1237"/>
      <c r="EH10" s="1236" t="s">
        <v>201</v>
      </c>
      <c r="EI10" s="1237"/>
      <c r="EJ10" s="1236" t="s">
        <v>201</v>
      </c>
      <c r="EK10" s="1237"/>
      <c r="EL10" s="1236" t="s">
        <v>201</v>
      </c>
      <c r="EM10" s="1237"/>
      <c r="EN10" s="1236" t="s">
        <v>201</v>
      </c>
      <c r="EO10" s="1237"/>
      <c r="EP10" s="1236" t="s">
        <v>201</v>
      </c>
      <c r="EQ10" s="1237"/>
      <c r="ER10" s="1236" t="s">
        <v>201</v>
      </c>
      <c r="ES10" s="1237"/>
      <c r="ET10" s="1236" t="s">
        <v>201</v>
      </c>
      <c r="EU10" s="1237"/>
      <c r="EV10" s="1236" t="s">
        <v>201</v>
      </c>
      <c r="EW10" s="1237"/>
      <c r="EX10" s="1236" t="s">
        <v>201</v>
      </c>
      <c r="EY10" s="1237"/>
      <c r="EZ10" s="1236" t="s">
        <v>201</v>
      </c>
      <c r="FA10" s="1237"/>
      <c r="FB10" s="1236" t="s">
        <v>201</v>
      </c>
      <c r="FC10" s="1237"/>
      <c r="FD10" s="1236" t="s">
        <v>96</v>
      </c>
      <c r="FE10" s="1237"/>
      <c r="FF10" s="1236" t="s">
        <v>96</v>
      </c>
      <c r="FG10" s="1237"/>
      <c r="FH10" s="1236" t="s">
        <v>96</v>
      </c>
      <c r="FI10" s="1237"/>
      <c r="FJ10" s="1236" t="s">
        <v>96</v>
      </c>
      <c r="FK10" s="1237"/>
      <c r="FL10" s="1236" t="s">
        <v>96</v>
      </c>
      <c r="FM10" s="1237"/>
      <c r="FN10" s="1236" t="s">
        <v>96</v>
      </c>
      <c r="FO10" s="1237"/>
      <c r="FP10" s="1236" t="s">
        <v>96</v>
      </c>
      <c r="FQ10" s="1237"/>
      <c r="FR10" s="1236" t="s">
        <v>96</v>
      </c>
      <c r="FS10" s="1237"/>
      <c r="FT10" s="1236" t="s">
        <v>96</v>
      </c>
      <c r="FU10" s="1237"/>
      <c r="FV10" s="1236" t="s">
        <v>96</v>
      </c>
      <c r="FW10" s="1237"/>
      <c r="FX10" s="1236" t="s">
        <v>96</v>
      </c>
      <c r="FY10" s="1237"/>
      <c r="FZ10" s="1236" t="s">
        <v>96</v>
      </c>
      <c r="GA10" s="1237"/>
      <c r="GB10" s="1236" t="s">
        <v>96</v>
      </c>
      <c r="GC10" s="1237"/>
      <c r="GD10" s="1236" t="s">
        <v>96</v>
      </c>
      <c r="GE10" s="1237"/>
      <c r="GF10" s="1236" t="s">
        <v>96</v>
      </c>
      <c r="GG10" s="1237"/>
      <c r="GH10" s="1236" t="s">
        <v>96</v>
      </c>
      <c r="GI10" s="1237"/>
      <c r="GJ10" s="1236" t="s">
        <v>96</v>
      </c>
      <c r="GK10" s="1237"/>
      <c r="GL10" s="1236" t="s">
        <v>96</v>
      </c>
      <c r="GM10" s="1237"/>
      <c r="GN10" s="1236" t="s">
        <v>96</v>
      </c>
      <c r="GO10" s="1237"/>
      <c r="GP10" s="1236" t="s">
        <v>96</v>
      </c>
      <c r="GQ10" s="1237"/>
      <c r="GR10" s="1236" t="s">
        <v>96</v>
      </c>
      <c r="GS10" s="1237"/>
      <c r="GT10" s="1236" t="s">
        <v>96</v>
      </c>
      <c r="GU10" s="1237"/>
      <c r="GV10" s="1250" t="s">
        <v>270</v>
      </c>
      <c r="GW10" s="1251"/>
      <c r="GX10" s="1208" t="s">
        <v>270</v>
      </c>
      <c r="GY10" s="1209"/>
      <c r="GZ10" s="1208" t="s">
        <v>270</v>
      </c>
      <c r="HA10" s="1209"/>
      <c r="HB10" s="1208" t="s">
        <v>270</v>
      </c>
      <c r="HC10" s="1209"/>
      <c r="HD10" s="1208" t="s">
        <v>270</v>
      </c>
      <c r="HE10" s="1209"/>
      <c r="HF10" s="1208" t="s">
        <v>270</v>
      </c>
      <c r="HG10" s="1209"/>
      <c r="HH10" s="1208" t="s">
        <v>270</v>
      </c>
      <c r="HI10" s="1209"/>
      <c r="HJ10" s="1208" t="s">
        <v>270</v>
      </c>
      <c r="HK10" s="1209"/>
      <c r="HL10" s="1208" t="s">
        <v>270</v>
      </c>
      <c r="HM10" s="1209"/>
      <c r="HN10" s="1208" t="s">
        <v>270</v>
      </c>
      <c r="HO10" s="1209"/>
      <c r="HP10" s="1208" t="s">
        <v>270</v>
      </c>
      <c r="HQ10" s="1209"/>
      <c r="HR10" s="1208" t="s">
        <v>270</v>
      </c>
      <c r="HS10" s="1209"/>
      <c r="HT10" s="1208" t="s">
        <v>270</v>
      </c>
      <c r="HU10" s="1209"/>
      <c r="HV10" s="1208" t="s">
        <v>270</v>
      </c>
      <c r="HW10" s="1209"/>
      <c r="HX10" s="1208" t="s">
        <v>270</v>
      </c>
      <c r="HY10" s="1209"/>
      <c r="HZ10" s="1208" t="s">
        <v>270</v>
      </c>
      <c r="IA10" s="1209"/>
      <c r="IB10" s="1208" t="s">
        <v>270</v>
      </c>
      <c r="IC10" s="1209"/>
      <c r="ID10" s="1208" t="s">
        <v>270</v>
      </c>
      <c r="IE10" s="1209"/>
      <c r="IF10" s="1208" t="s">
        <v>270</v>
      </c>
      <c r="IG10" s="1209"/>
      <c r="IH10" s="1208" t="s">
        <v>270</v>
      </c>
      <c r="II10" s="1209"/>
      <c r="IJ10" s="1208" t="s">
        <v>270</v>
      </c>
      <c r="IK10" s="1209"/>
      <c r="IL10" s="1208" t="s">
        <v>270</v>
      </c>
      <c r="IM10" s="1209"/>
      <c r="IN10" s="1208" t="s">
        <v>270</v>
      </c>
      <c r="IO10" s="1209"/>
      <c r="IP10" s="1208" t="s">
        <v>270</v>
      </c>
      <c r="IQ10" s="1209"/>
      <c r="IR10" s="1208" t="s">
        <v>270</v>
      </c>
      <c r="IS10" s="1209"/>
      <c r="IT10" s="225">
        <f>CW10</f>
        <v>42855</v>
      </c>
      <c r="IU10" s="1054">
        <f>DK10</f>
        <v>43220</v>
      </c>
      <c r="IV10" s="1236" t="s">
        <v>200</v>
      </c>
      <c r="IW10" s="1237"/>
      <c r="IX10" s="695"/>
      <c r="IY10" s="695"/>
      <c r="IZ10" s="695"/>
      <c r="JA10" s="10" t="s">
        <v>160</v>
      </c>
      <c r="JB10" s="256">
        <v>40025</v>
      </c>
      <c r="JC10" s="256">
        <v>40056</v>
      </c>
      <c r="JD10" s="256">
        <v>40086</v>
      </c>
      <c r="JE10" s="256">
        <v>40117</v>
      </c>
      <c r="JF10" s="256">
        <v>40147</v>
      </c>
      <c r="JG10" s="256">
        <v>40178</v>
      </c>
      <c r="JH10" s="256">
        <v>40209</v>
      </c>
      <c r="JI10" s="256">
        <v>40237</v>
      </c>
      <c r="JJ10" s="256">
        <v>40268</v>
      </c>
      <c r="JK10" s="256">
        <v>40298</v>
      </c>
      <c r="JL10" s="256">
        <v>40329</v>
      </c>
      <c r="JM10" s="257">
        <f t="shared" ref="JM10:JX11" si="147">AJ10</f>
        <v>41121</v>
      </c>
      <c r="JN10" s="257">
        <f t="shared" si="147"/>
        <v>41152</v>
      </c>
      <c r="JO10" s="257">
        <f t="shared" si="147"/>
        <v>41182</v>
      </c>
      <c r="JP10" s="257">
        <f t="shared" si="147"/>
        <v>41213</v>
      </c>
      <c r="JQ10" s="257">
        <f t="shared" si="147"/>
        <v>41243</v>
      </c>
      <c r="JR10" s="257">
        <f t="shared" si="147"/>
        <v>41274</v>
      </c>
      <c r="JS10" s="257">
        <f t="shared" si="147"/>
        <v>41305</v>
      </c>
      <c r="JT10" s="257">
        <f t="shared" si="147"/>
        <v>41333</v>
      </c>
      <c r="JU10" s="257">
        <f t="shared" si="147"/>
        <v>41364</v>
      </c>
      <c r="JV10" s="257">
        <f t="shared" si="147"/>
        <v>41394</v>
      </c>
      <c r="JW10" s="257">
        <f t="shared" si="147"/>
        <v>41425</v>
      </c>
      <c r="JX10" s="257">
        <f t="shared" si="147"/>
        <v>41455</v>
      </c>
      <c r="JY10" s="257">
        <f t="shared" ref="JY10:KJ11" si="148">AX10</f>
        <v>41486</v>
      </c>
      <c r="JZ10" s="257">
        <f t="shared" si="148"/>
        <v>41517</v>
      </c>
      <c r="KA10" s="257">
        <f t="shared" si="148"/>
        <v>41547</v>
      </c>
      <c r="KB10" s="257">
        <f t="shared" si="148"/>
        <v>41578</v>
      </c>
      <c r="KC10" s="257">
        <f t="shared" si="148"/>
        <v>41608</v>
      </c>
      <c r="KD10" s="257">
        <f t="shared" si="148"/>
        <v>41639</v>
      </c>
      <c r="KE10" s="257">
        <f t="shared" si="148"/>
        <v>41670</v>
      </c>
      <c r="KF10" s="257">
        <f t="shared" si="148"/>
        <v>41698</v>
      </c>
      <c r="KG10" s="257">
        <f t="shared" si="148"/>
        <v>41729</v>
      </c>
      <c r="KH10" s="257">
        <f t="shared" si="148"/>
        <v>41759</v>
      </c>
      <c r="KI10" s="257">
        <f t="shared" si="148"/>
        <v>41790</v>
      </c>
      <c r="KJ10" s="257">
        <f t="shared" si="148"/>
        <v>41820</v>
      </c>
      <c r="KK10" s="785">
        <f t="shared" ref="KK10:KV11" si="149">BL10</f>
        <v>41851</v>
      </c>
      <c r="KL10" s="785">
        <f t="shared" si="149"/>
        <v>41882</v>
      </c>
      <c r="KM10" s="785">
        <f t="shared" si="149"/>
        <v>41912</v>
      </c>
      <c r="KN10" s="785">
        <f t="shared" si="149"/>
        <v>41943</v>
      </c>
      <c r="KO10" s="785">
        <f t="shared" si="149"/>
        <v>41973</v>
      </c>
      <c r="KP10" s="785">
        <f t="shared" si="149"/>
        <v>42004</v>
      </c>
      <c r="KQ10" s="785">
        <f t="shared" si="149"/>
        <v>42035</v>
      </c>
      <c r="KR10" s="785">
        <f t="shared" si="149"/>
        <v>42063</v>
      </c>
      <c r="KS10" s="785">
        <f t="shared" si="149"/>
        <v>42094</v>
      </c>
      <c r="KT10" s="785">
        <f t="shared" si="149"/>
        <v>42124</v>
      </c>
      <c r="KU10" s="785">
        <f t="shared" si="149"/>
        <v>42155</v>
      </c>
      <c r="KV10" s="785">
        <f t="shared" si="149"/>
        <v>42185</v>
      </c>
      <c r="KW10" s="897">
        <f t="shared" ref="KW10:LH11" si="150">BZ10</f>
        <v>42216</v>
      </c>
      <c r="KX10" s="897">
        <f t="shared" si="150"/>
        <v>42247</v>
      </c>
      <c r="KY10" s="897">
        <f t="shared" si="150"/>
        <v>42277</v>
      </c>
      <c r="KZ10" s="897">
        <f t="shared" si="150"/>
        <v>42308</v>
      </c>
      <c r="LA10" s="897">
        <f t="shared" si="150"/>
        <v>42338</v>
      </c>
      <c r="LB10" s="897">
        <f t="shared" si="150"/>
        <v>42369</v>
      </c>
      <c r="LC10" s="897">
        <f t="shared" si="150"/>
        <v>42400</v>
      </c>
      <c r="LD10" s="897">
        <f t="shared" si="150"/>
        <v>42428</v>
      </c>
      <c r="LE10" s="897">
        <f t="shared" si="150"/>
        <v>42460</v>
      </c>
      <c r="LF10" s="897">
        <f t="shared" si="150"/>
        <v>42490</v>
      </c>
      <c r="LG10" s="897">
        <f t="shared" si="150"/>
        <v>42521</v>
      </c>
      <c r="LH10" s="897">
        <f t="shared" si="150"/>
        <v>42551</v>
      </c>
      <c r="LI10" s="956">
        <f t="shared" ref="LI10:LT11" si="151">CN10</f>
        <v>42582</v>
      </c>
      <c r="LJ10" s="956">
        <f t="shared" si="151"/>
        <v>42613</v>
      </c>
      <c r="LK10" s="956">
        <f t="shared" si="151"/>
        <v>42643</v>
      </c>
      <c r="LL10" s="956">
        <f t="shared" si="151"/>
        <v>42674</v>
      </c>
      <c r="LM10" s="956">
        <f t="shared" si="151"/>
        <v>42704</v>
      </c>
      <c r="LN10" s="956">
        <f t="shared" si="151"/>
        <v>42735</v>
      </c>
      <c r="LO10" s="956">
        <f t="shared" si="151"/>
        <v>42766</v>
      </c>
      <c r="LP10" s="956">
        <f t="shared" si="151"/>
        <v>42794</v>
      </c>
      <c r="LQ10" s="956">
        <f t="shared" si="151"/>
        <v>42825</v>
      </c>
      <c r="LR10" s="956">
        <f t="shared" si="151"/>
        <v>42855</v>
      </c>
      <c r="LS10" s="956">
        <f t="shared" si="151"/>
        <v>42886</v>
      </c>
      <c r="LT10" s="956">
        <f t="shared" si="151"/>
        <v>42916</v>
      </c>
      <c r="LU10" s="1152">
        <f t="shared" ref="LU10:MF11" si="152">DB10</f>
        <v>42947</v>
      </c>
      <c r="LV10" s="1152">
        <f t="shared" si="152"/>
        <v>42978</v>
      </c>
      <c r="LW10" s="1152">
        <f t="shared" si="152"/>
        <v>43008</v>
      </c>
      <c r="LX10" s="1152">
        <f t="shared" si="152"/>
        <v>43039</v>
      </c>
      <c r="LY10" s="1152">
        <f t="shared" si="152"/>
        <v>43069</v>
      </c>
      <c r="LZ10" s="1152">
        <f t="shared" si="152"/>
        <v>43100</v>
      </c>
      <c r="MA10" s="1152">
        <f t="shared" si="152"/>
        <v>43131</v>
      </c>
      <c r="MB10" s="1152">
        <f t="shared" si="152"/>
        <v>43159</v>
      </c>
      <c r="MC10" s="1152">
        <f t="shared" si="152"/>
        <v>43190</v>
      </c>
      <c r="MD10" s="1152">
        <f t="shared" si="152"/>
        <v>43220</v>
      </c>
      <c r="ME10" s="1152">
        <f t="shared" si="152"/>
        <v>43251</v>
      </c>
      <c r="MF10" s="1152">
        <f t="shared" si="152"/>
        <v>43281</v>
      </c>
      <c r="MG10" s="1173">
        <f t="shared" ref="MG10:MP11" si="153">DP10</f>
        <v>43312</v>
      </c>
      <c r="MH10" s="1173">
        <f t="shared" si="153"/>
        <v>43343</v>
      </c>
      <c r="MI10" s="1173">
        <f t="shared" si="153"/>
        <v>43373</v>
      </c>
      <c r="MJ10" s="1173">
        <f t="shared" si="153"/>
        <v>43404</v>
      </c>
      <c r="MK10" s="1173">
        <f t="shared" si="153"/>
        <v>43434</v>
      </c>
      <c r="ML10" s="1173">
        <f t="shared" si="153"/>
        <v>43465</v>
      </c>
      <c r="MM10" s="1173">
        <f t="shared" si="153"/>
        <v>43496</v>
      </c>
      <c r="MN10" s="1173">
        <f t="shared" si="153"/>
        <v>43524</v>
      </c>
      <c r="MO10" s="1173">
        <f t="shared" si="153"/>
        <v>43555</v>
      </c>
      <c r="MP10" s="1173">
        <f t="shared" si="153"/>
        <v>43585</v>
      </c>
      <c r="MQ10" s="1173">
        <f t="shared" ref="MQ10:MR11" si="154">DZ10</f>
        <v>43616</v>
      </c>
      <c r="MR10" s="1173">
        <f t="shared" si="154"/>
        <v>43646</v>
      </c>
    </row>
    <row r="11" spans="1:356" s="101" customFormat="1" ht="15.75" customHeight="1" thickBot="1" x14ac:dyDescent="0.3">
      <c r="A11" s="762">
        <v>1</v>
      </c>
      <c r="B11" s="1241" t="s">
        <v>163</v>
      </c>
      <c r="C11" s="1241"/>
      <c r="D11" s="1241"/>
      <c r="E11" s="1241"/>
      <c r="F11" s="1241"/>
      <c r="G11" s="1242"/>
      <c r="H11" s="366">
        <v>126699</v>
      </c>
      <c r="I11" s="100">
        <v>126741</v>
      </c>
      <c r="J11" s="99">
        <v>126838</v>
      </c>
      <c r="K11" s="100">
        <v>126572</v>
      </c>
      <c r="L11" s="99">
        <v>126945</v>
      </c>
      <c r="M11" s="100">
        <v>126740</v>
      </c>
      <c r="N11" s="99">
        <v>126515</v>
      </c>
      <c r="O11" s="100">
        <v>125849</v>
      </c>
      <c r="P11" s="99">
        <v>156184</v>
      </c>
      <c r="Q11" s="100">
        <v>126852</v>
      </c>
      <c r="R11" s="99">
        <v>126190</v>
      </c>
      <c r="S11" s="100">
        <v>125191</v>
      </c>
      <c r="T11" s="128">
        <v>1547316</v>
      </c>
      <c r="U11" s="178">
        <v>128943</v>
      </c>
      <c r="V11" s="366">
        <f t="shared" ref="V11:Y11" si="155">V38+(V37)</f>
        <v>125806</v>
      </c>
      <c r="W11" s="100">
        <f t="shared" si="155"/>
        <v>158093</v>
      </c>
      <c r="X11" s="99">
        <f t="shared" si="155"/>
        <v>127601</v>
      </c>
      <c r="Y11" s="100">
        <f t="shared" si="155"/>
        <v>127126</v>
      </c>
      <c r="Z11" s="99">
        <v>127310</v>
      </c>
      <c r="AA11" s="100">
        <v>126982</v>
      </c>
      <c r="AB11" s="99">
        <v>159360</v>
      </c>
      <c r="AC11" s="100">
        <v>126853</v>
      </c>
      <c r="AD11" s="99">
        <v>124326</v>
      </c>
      <c r="AE11" s="100">
        <v>124270</v>
      </c>
      <c r="AF11" s="99">
        <v>101154</v>
      </c>
      <c r="AG11" s="100">
        <v>107450</v>
      </c>
      <c r="AH11" s="128">
        <v>1536331</v>
      </c>
      <c r="AI11" s="178">
        <v>128027.58333333333</v>
      </c>
      <c r="AJ11" s="366">
        <f t="shared" ref="AJ11:AU11" si="156">AJ38+(AJ37)</f>
        <v>111549</v>
      </c>
      <c r="AK11" s="100">
        <f t="shared" si="156"/>
        <v>134889</v>
      </c>
      <c r="AL11" s="99">
        <f t="shared" si="156"/>
        <v>111390</v>
      </c>
      <c r="AM11" s="100">
        <f t="shared" si="156"/>
        <v>111467</v>
      </c>
      <c r="AN11" s="99">
        <f t="shared" si="156"/>
        <v>111297</v>
      </c>
      <c r="AO11" s="100">
        <f t="shared" si="156"/>
        <v>111106</v>
      </c>
      <c r="AP11" s="99">
        <f t="shared" si="156"/>
        <v>111020</v>
      </c>
      <c r="AQ11" s="100">
        <f t="shared" si="156"/>
        <v>132508</v>
      </c>
      <c r="AR11" s="99">
        <f t="shared" si="156"/>
        <v>110944</v>
      </c>
      <c r="AS11" s="100">
        <f t="shared" si="156"/>
        <v>111316</v>
      </c>
      <c r="AT11" s="99">
        <f t="shared" si="156"/>
        <v>111603</v>
      </c>
      <c r="AU11" s="100">
        <f t="shared" si="156"/>
        <v>112436</v>
      </c>
      <c r="AV11" s="128">
        <f>SUM(AJ11:AU11)</f>
        <v>1381525</v>
      </c>
      <c r="AW11" s="178">
        <f>SUM(AJ11:AU11)/$AH$4</f>
        <v>115127.08333333333</v>
      </c>
      <c r="AX11" s="366">
        <f t="shared" ref="AX11:BI11" si="157">AX38+(AX37)</f>
        <v>112399</v>
      </c>
      <c r="AY11" s="100">
        <f>AY38+(AY37)</f>
        <v>133843</v>
      </c>
      <c r="AZ11" s="99">
        <f t="shared" si="157"/>
        <v>110716</v>
      </c>
      <c r="BA11" s="100">
        <f t="shared" si="157"/>
        <v>110651</v>
      </c>
      <c r="BB11" s="99">
        <f t="shared" si="157"/>
        <v>110119</v>
      </c>
      <c r="BC11" s="100">
        <f t="shared" si="157"/>
        <v>109794</v>
      </c>
      <c r="BD11" s="99">
        <f t="shared" si="157"/>
        <v>123268</v>
      </c>
      <c r="BE11" s="100">
        <f t="shared" si="157"/>
        <v>109540</v>
      </c>
      <c r="BF11" s="99">
        <f t="shared" si="157"/>
        <v>109775</v>
      </c>
      <c r="BG11" s="100">
        <f t="shared" si="157"/>
        <v>110455</v>
      </c>
      <c r="BH11" s="99">
        <f t="shared" si="157"/>
        <v>111303</v>
      </c>
      <c r="BI11" s="100">
        <f t="shared" si="157"/>
        <v>136203</v>
      </c>
      <c r="BJ11" s="128">
        <f>SUM(AX11:BI11)</f>
        <v>1388066</v>
      </c>
      <c r="BK11" s="178">
        <f>SUM(AX11:BI11)/$AH$4</f>
        <v>115672.16666666667</v>
      </c>
      <c r="BL11" s="366">
        <f t="shared" ref="BL11" si="158">BL38+(BL37)</f>
        <v>113834</v>
      </c>
      <c r="BM11" s="100">
        <f>BM38+(BM37)</f>
        <v>115414</v>
      </c>
      <c r="BN11" s="99">
        <f t="shared" ref="BN11:BT11" si="159">BN38+(BN37)</f>
        <v>115875</v>
      </c>
      <c r="BO11" s="100">
        <f t="shared" si="159"/>
        <v>116600</v>
      </c>
      <c r="BP11" s="99">
        <f t="shared" si="159"/>
        <v>117464</v>
      </c>
      <c r="BQ11" s="100">
        <f t="shared" si="159"/>
        <v>117293</v>
      </c>
      <c r="BR11" s="99">
        <f t="shared" si="159"/>
        <v>142567</v>
      </c>
      <c r="BS11" s="100">
        <f t="shared" si="159"/>
        <v>117052</v>
      </c>
      <c r="BT11" s="99">
        <f t="shared" si="159"/>
        <v>117471</v>
      </c>
      <c r="BU11" s="99">
        <f t="shared" ref="BU11:BW11" si="160">BU38+(BU37)</f>
        <v>118989</v>
      </c>
      <c r="BV11" s="99">
        <f t="shared" si="160"/>
        <v>119836</v>
      </c>
      <c r="BW11" s="99">
        <f t="shared" si="160"/>
        <v>121134</v>
      </c>
      <c r="BX11" s="128">
        <f>SUM(BL11:BW11)</f>
        <v>1433529</v>
      </c>
      <c r="BY11" s="178">
        <f>SUM(BL11:BW11)/$AH$4</f>
        <v>119460.75</v>
      </c>
      <c r="BZ11" s="366">
        <f t="shared" ref="BZ11" si="161">BZ38+(BZ37)</f>
        <v>148617</v>
      </c>
      <c r="CA11" s="100">
        <f>CA38+(CA37)</f>
        <v>121181</v>
      </c>
      <c r="CB11" s="99">
        <f t="shared" ref="CB11:CK11" si="162">CB38+(CB37)</f>
        <v>120655</v>
      </c>
      <c r="CC11" s="100">
        <f t="shared" si="162"/>
        <v>120725</v>
      </c>
      <c r="CD11" s="99">
        <f t="shared" si="162"/>
        <v>120484</v>
      </c>
      <c r="CE11" s="100">
        <f t="shared" si="162"/>
        <v>146930</v>
      </c>
      <c r="CF11" s="99">
        <f t="shared" si="162"/>
        <v>122677</v>
      </c>
      <c r="CG11" s="100">
        <f t="shared" si="162"/>
        <v>118613</v>
      </c>
      <c r="CH11" s="99">
        <f t="shared" si="162"/>
        <v>117993</v>
      </c>
      <c r="CI11" s="99">
        <f t="shared" si="162"/>
        <v>118591</v>
      </c>
      <c r="CJ11" s="99">
        <f t="shared" si="162"/>
        <v>118832</v>
      </c>
      <c r="CK11" s="99">
        <f t="shared" si="162"/>
        <v>119298</v>
      </c>
      <c r="CL11" s="128">
        <f>SUM(BZ11:CK11)</f>
        <v>1494596</v>
      </c>
      <c r="CM11" s="178">
        <f>SUM(BZ11:CK11)/$AH$4</f>
        <v>124549.66666666667</v>
      </c>
      <c r="CN11" s="366">
        <f t="shared" ref="CN11" si="163">CN38+(CN37)</f>
        <v>145790</v>
      </c>
      <c r="CO11" s="100">
        <f>CO38+(CO37)</f>
        <v>116206</v>
      </c>
      <c r="CP11" s="99">
        <f t="shared" ref="CP11:CY11" si="164">CP38+(CP37)</f>
        <v>115029</v>
      </c>
      <c r="CQ11" s="100">
        <f t="shared" si="164"/>
        <v>119153</v>
      </c>
      <c r="CR11" s="99">
        <f t="shared" si="164"/>
        <v>118608</v>
      </c>
      <c r="CS11" s="100">
        <f t="shared" si="164"/>
        <v>138463</v>
      </c>
      <c r="CT11" s="99">
        <f t="shared" si="164"/>
        <v>122677</v>
      </c>
      <c r="CU11" s="100">
        <f t="shared" si="164"/>
        <v>118351</v>
      </c>
      <c r="CV11" s="99">
        <f t="shared" si="164"/>
        <v>118694</v>
      </c>
      <c r="CW11" s="1094">
        <f t="shared" si="164"/>
        <v>118948</v>
      </c>
      <c r="CX11" s="99">
        <f t="shared" si="164"/>
        <v>119134</v>
      </c>
      <c r="CY11" s="100">
        <f t="shared" si="164"/>
        <v>145902</v>
      </c>
      <c r="CZ11" s="128">
        <f>SUM(CN11:CY11)</f>
        <v>1496955</v>
      </c>
      <c r="DA11" s="178">
        <f>SUM(CN11:CY11)/$CZ$4</f>
        <v>124746.25</v>
      </c>
      <c r="DB11" s="366">
        <f t="shared" ref="DB11:DJ11" si="165">DB38+(DB37)</f>
        <v>120333</v>
      </c>
      <c r="DC11" s="100">
        <f t="shared" si="165"/>
        <v>120439</v>
      </c>
      <c r="DD11" s="99">
        <f t="shared" si="165"/>
        <v>120457</v>
      </c>
      <c r="DE11" s="100">
        <f t="shared" si="165"/>
        <v>123696</v>
      </c>
      <c r="DF11" s="99">
        <f t="shared" si="165"/>
        <v>123112</v>
      </c>
      <c r="DG11" s="100">
        <f t="shared" si="165"/>
        <v>150674</v>
      </c>
      <c r="DH11" s="99">
        <f t="shared" si="165"/>
        <v>122749</v>
      </c>
      <c r="DI11" s="100">
        <f t="shared" si="165"/>
        <v>122426</v>
      </c>
      <c r="DJ11" s="1195">
        <f t="shared" si="165"/>
        <v>122432</v>
      </c>
      <c r="DK11" s="100">
        <f t="shared" ref="DK11" si="166">DK38+(DK37)</f>
        <v>123204</v>
      </c>
      <c r="DL11" s="99"/>
      <c r="DM11" s="100"/>
      <c r="DN11" s="128">
        <f>SUM(DB11:DM11)</f>
        <v>1249522</v>
      </c>
      <c r="DO11" s="178">
        <f>SUM(DB11:DM11)/$DN$4</f>
        <v>124952.2</v>
      </c>
      <c r="DP11" s="366"/>
      <c r="DQ11" s="100"/>
      <c r="DR11" s="99"/>
      <c r="DS11" s="100"/>
      <c r="DT11" s="99"/>
      <c r="DU11" s="100"/>
      <c r="DV11" s="99"/>
      <c r="DW11" s="100"/>
      <c r="DX11" s="99"/>
      <c r="DY11" s="100"/>
      <c r="DZ11" s="99"/>
      <c r="EA11" s="100"/>
      <c r="EB11" s="128">
        <f>SUM(DP11:EA11)</f>
        <v>0</v>
      </c>
      <c r="EC11" s="178" t="e">
        <f>SUM(DP11:EA11)/$EB$4</f>
        <v>#DIV/0!</v>
      </c>
      <c r="ED11" s="658">
        <f>AX11-AU11</f>
        <v>-37</v>
      </c>
      <c r="EE11" s="659">
        <f>ED11/AU11</f>
        <v>-3.2907609662385711E-4</v>
      </c>
      <c r="EF11" s="658">
        <f>AY11-AX11</f>
        <v>21444</v>
      </c>
      <c r="EG11" s="659">
        <f>EF11/AX11</f>
        <v>0.1907846155214904</v>
      </c>
      <c r="EH11" s="658">
        <f>AZ11-AY11</f>
        <v>-23127</v>
      </c>
      <c r="EI11" s="659">
        <f>EH11/AY11</f>
        <v>-0.17279200257017552</v>
      </c>
      <c r="EJ11" s="658">
        <f>BA11-AZ11</f>
        <v>-65</v>
      </c>
      <c r="EK11" s="659">
        <f>EJ11/AZ11</f>
        <v>-5.8708768380360567E-4</v>
      </c>
      <c r="EL11" s="658">
        <f>BB11-BA11</f>
        <v>-532</v>
      </c>
      <c r="EM11" s="659">
        <f>EL11/BA11</f>
        <v>-4.8079095534608813E-3</v>
      </c>
      <c r="EN11" s="658">
        <f>BC11-BB11</f>
        <v>-325</v>
      </c>
      <c r="EO11" s="659">
        <f>EN11/BB11</f>
        <v>-2.9513526276119472E-3</v>
      </c>
      <c r="EP11" s="658">
        <f>BD11-BC11</f>
        <v>13474</v>
      </c>
      <c r="EQ11" s="659">
        <f>EP11/BC11</f>
        <v>0.12272073155181522</v>
      </c>
      <c r="ER11" s="658">
        <f>BE11-BD11</f>
        <v>-13728</v>
      </c>
      <c r="ES11" s="659">
        <f>ER11/BD11</f>
        <v>-0.11136710257325502</v>
      </c>
      <c r="ET11" s="658">
        <f>BF11-BE11</f>
        <v>235</v>
      </c>
      <c r="EU11" s="659">
        <f>ET11/BE11</f>
        <v>2.1453350374292498E-3</v>
      </c>
      <c r="EV11" s="658">
        <f>BG11-BF11</f>
        <v>680</v>
      </c>
      <c r="EW11" s="808">
        <f>EV11/BF11</f>
        <v>6.1944887269414712E-3</v>
      </c>
      <c r="EX11" s="658">
        <f>BH11-BG11</f>
        <v>848</v>
      </c>
      <c r="EY11" s="659">
        <f>EX11/BG11</f>
        <v>7.6773346611742335E-3</v>
      </c>
      <c r="EZ11" s="658">
        <f>BI11-BH11</f>
        <v>24900</v>
      </c>
      <c r="FA11" s="659">
        <f>EZ11/BH11</f>
        <v>0.22371364653243847</v>
      </c>
      <c r="FB11" s="658">
        <f>BL11-BI11</f>
        <v>-22369</v>
      </c>
      <c r="FC11" s="659">
        <f>FB11/BI11</f>
        <v>-0.16423279957122824</v>
      </c>
      <c r="FD11" s="169">
        <f>BM11-BL11</f>
        <v>1580</v>
      </c>
      <c r="FE11" s="400">
        <f>FD11/BL11</f>
        <v>1.3879860147231934E-2</v>
      </c>
      <c r="FF11" s="169">
        <f>BN11-BM11</f>
        <v>461</v>
      </c>
      <c r="FG11" s="400">
        <f>FF11/BM11</f>
        <v>3.9943161141629269E-3</v>
      </c>
      <c r="FH11" s="169">
        <f>BO11-BN11</f>
        <v>725</v>
      </c>
      <c r="FI11" s="400">
        <f>FH11/BN11</f>
        <v>6.2567421790722761E-3</v>
      </c>
      <c r="FJ11" s="169">
        <f>BP11-BO11</f>
        <v>864</v>
      </c>
      <c r="FK11" s="400">
        <f>FJ11/BO11</f>
        <v>7.4099485420240137E-3</v>
      </c>
      <c r="FL11" s="169">
        <f>BQ11-BP11</f>
        <v>-171</v>
      </c>
      <c r="FM11" s="400">
        <f>FL11/BP11</f>
        <v>-1.4557651706054622E-3</v>
      </c>
      <c r="FN11" s="169">
        <f>BR11-BQ11</f>
        <v>25274</v>
      </c>
      <c r="FO11" s="400">
        <f>FN11/BQ11</f>
        <v>0.21547747947447846</v>
      </c>
      <c r="FP11" s="169">
        <f>BS11-BR11</f>
        <v>-25515</v>
      </c>
      <c r="FQ11" s="400">
        <f>FP11/BR11</f>
        <v>-0.17896848499302082</v>
      </c>
      <c r="FR11" s="169">
        <f>BT11-BS11</f>
        <v>419</v>
      </c>
      <c r="FS11" s="400">
        <f>FR11/BS11</f>
        <v>3.5796056453542015E-3</v>
      </c>
      <c r="FT11" s="169">
        <f>BU11-BT11</f>
        <v>1518</v>
      </c>
      <c r="FU11" s="400">
        <f>FT11/BT11</f>
        <v>1.2922338279234875E-2</v>
      </c>
      <c r="FV11" s="169">
        <f>BV11-BU11</f>
        <v>847</v>
      </c>
      <c r="FW11" s="400">
        <f>FV11/BU11</f>
        <v>7.1183050534082979E-3</v>
      </c>
      <c r="FX11" s="169">
        <f>BW11-BV11</f>
        <v>1298</v>
      </c>
      <c r="FY11" s="400">
        <f>FX11/BV11</f>
        <v>1.0831469675222805E-2</v>
      </c>
      <c r="FZ11" s="169">
        <f>BZ11-BW11</f>
        <v>27483</v>
      </c>
      <c r="GA11" s="400">
        <f>FZ11/BW11</f>
        <v>0.22688097478825103</v>
      </c>
      <c r="GB11" s="169">
        <f>CA11-BZ11</f>
        <v>-27436</v>
      </c>
      <c r="GC11" s="400">
        <f>GB11/BZ11</f>
        <v>-0.18460875942859833</v>
      </c>
      <c r="GD11" s="169">
        <f>CB11-CA11</f>
        <v>-526</v>
      </c>
      <c r="GE11" s="400">
        <f>GD11/CA11</f>
        <v>-4.340614452760746E-3</v>
      </c>
      <c r="GF11" s="169">
        <f>CC11-CB11</f>
        <v>70</v>
      </c>
      <c r="GG11" s="400">
        <f>GF11/CB11</f>
        <v>5.8016659069247021E-4</v>
      </c>
      <c r="GH11" s="169">
        <f>CD11-CC11</f>
        <v>-241</v>
      </c>
      <c r="GI11" s="400">
        <f>GH11/CC11</f>
        <v>-1.9962725201905156E-3</v>
      </c>
      <c r="GJ11" s="169">
        <f>CE11-CD11</f>
        <v>26446</v>
      </c>
      <c r="GK11" s="400">
        <f>GJ11/CD11</f>
        <v>0.2194980246339763</v>
      </c>
      <c r="GL11" s="169">
        <f>CF11-CE11</f>
        <v>-24253</v>
      </c>
      <c r="GM11" s="400">
        <f>GL11/CE11</f>
        <v>-0.16506499693731708</v>
      </c>
      <c r="GN11" s="169">
        <f>CG11-CF11</f>
        <v>-4064</v>
      </c>
      <c r="GO11" s="400">
        <f>GN11/CF11</f>
        <v>-3.3127644138673099E-2</v>
      </c>
      <c r="GP11" s="169">
        <f>CH11-CG11</f>
        <v>-620</v>
      </c>
      <c r="GQ11" s="400">
        <f>GP11/CG11</f>
        <v>-5.2270830347432408E-3</v>
      </c>
      <c r="GR11" s="169">
        <f>CI11-CH11</f>
        <v>598</v>
      </c>
      <c r="GS11" s="400">
        <f>GR11/CH11</f>
        <v>5.0680972600069497E-3</v>
      </c>
      <c r="GT11" s="169">
        <f>CJ11-CI11</f>
        <v>241</v>
      </c>
      <c r="GU11" s="400">
        <f>GT11/CI11</f>
        <v>2.0321946859373813E-3</v>
      </c>
      <c r="GV11" s="169">
        <f>CK11-CJ11</f>
        <v>466</v>
      </c>
      <c r="GW11" s="400">
        <f>GV11/CJ11</f>
        <v>3.9215026255554055E-3</v>
      </c>
      <c r="GX11" s="169">
        <f>CN11-CK11</f>
        <v>26492</v>
      </c>
      <c r="GY11" s="400">
        <f>GX11/CK11</f>
        <v>0.22206575131184095</v>
      </c>
      <c r="GZ11" s="169">
        <f>CO11-CN11</f>
        <v>-29584</v>
      </c>
      <c r="HA11" s="400">
        <f>GZ11/CN11</f>
        <v>-0.20292201111187325</v>
      </c>
      <c r="HB11" s="169">
        <f>CP11-CO11</f>
        <v>-1177</v>
      </c>
      <c r="HC11" s="400">
        <f>HB11/CO11</f>
        <v>-1.0128564790114107E-2</v>
      </c>
      <c r="HD11" s="169">
        <f>CQ11-CP11</f>
        <v>4124</v>
      </c>
      <c r="HE11" s="400">
        <f>HD11/CP11</f>
        <v>3.5851828669292089E-2</v>
      </c>
      <c r="HF11" s="169">
        <f>CR11-CQ11</f>
        <v>-545</v>
      </c>
      <c r="HG11" s="400">
        <f>HF11/CQ11</f>
        <v>-4.5739511384522424E-3</v>
      </c>
      <c r="HH11" s="169">
        <f>CS11-CR11</f>
        <v>19855</v>
      </c>
      <c r="HI11" s="400">
        <f>HH11/CR11</f>
        <v>0.16740017536759746</v>
      </c>
      <c r="HJ11" s="169">
        <f>CT11-CS11</f>
        <v>-15786</v>
      </c>
      <c r="HK11" s="400">
        <f>HJ11/CS11</f>
        <v>-0.11400879657381394</v>
      </c>
      <c r="HL11" s="169">
        <f>CU11-CT11</f>
        <v>-4326</v>
      </c>
      <c r="HM11" s="400">
        <f>HL11/CT11</f>
        <v>-3.5263333795250942E-2</v>
      </c>
      <c r="HN11" s="169">
        <f>CV11-CU11</f>
        <v>343</v>
      </c>
      <c r="HO11" s="400">
        <f>HN11/CU11</f>
        <v>2.8981588664227596E-3</v>
      </c>
      <c r="HP11" s="169">
        <f>CW11-CV11</f>
        <v>254</v>
      </c>
      <c r="HQ11" s="400">
        <f>HP11/CV11</f>
        <v>2.1399565268674071E-3</v>
      </c>
      <c r="HR11" s="169">
        <f>CX11-CW11</f>
        <v>186</v>
      </c>
      <c r="HS11" s="400">
        <f>HR11/CW11</f>
        <v>1.563708511282241E-3</v>
      </c>
      <c r="HT11" s="169">
        <f>CY11-CX11</f>
        <v>26768</v>
      </c>
      <c r="HU11" s="400">
        <f>HT11/CX11</f>
        <v>0.22468816626655699</v>
      </c>
      <c r="HV11" s="169">
        <f>DB11-CY11</f>
        <v>-25569</v>
      </c>
      <c r="HW11" s="400">
        <f>HV11/CY11</f>
        <v>-0.17524776905045852</v>
      </c>
      <c r="HX11" s="169">
        <f>DC11-DB11</f>
        <v>106</v>
      </c>
      <c r="HY11" s="400">
        <f>HX11/DB11</f>
        <v>8.8088886672816268E-4</v>
      </c>
      <c r="HZ11" s="169">
        <f>DD11-DC11</f>
        <v>18</v>
      </c>
      <c r="IA11" s="400">
        <f>HZ11/DD11</f>
        <v>1.4943091725678042E-4</v>
      </c>
      <c r="IB11" s="169">
        <f>DE11-DD11</f>
        <v>3239</v>
      </c>
      <c r="IC11" s="400">
        <f>IB11/DD11</f>
        <v>2.6889263388595101E-2</v>
      </c>
      <c r="ID11" s="169">
        <f>DF11-DE11</f>
        <v>-584</v>
      </c>
      <c r="IE11" s="400">
        <f>ID11/DO11</f>
        <v>-4.673787256246789E-3</v>
      </c>
      <c r="IF11" s="169">
        <f>DG11-DF11</f>
        <v>27562</v>
      </c>
      <c r="IG11" s="400">
        <f>IF11/DF11</f>
        <v>0.22387744492819547</v>
      </c>
      <c r="IH11" s="169">
        <f>DH11-DG11</f>
        <v>-27925</v>
      </c>
      <c r="II11" s="400">
        <f>IH11/DG11</f>
        <v>-0.18533389967744932</v>
      </c>
      <c r="IJ11" s="169">
        <f>DI11-DH11</f>
        <v>-323</v>
      </c>
      <c r="IK11" s="400">
        <f>IJ11/DH11</f>
        <v>-2.6313859990712753E-3</v>
      </c>
      <c r="IL11" s="169">
        <f>DJ11-DI11</f>
        <v>6</v>
      </c>
      <c r="IM11" s="400">
        <f>IL11/DI11</f>
        <v>4.9009197392710702E-5</v>
      </c>
      <c r="IN11" s="169">
        <f>DK11-DJ11</f>
        <v>772</v>
      </c>
      <c r="IO11" s="400">
        <f>IN11/DJ11</f>
        <v>6.3055410350235236E-3</v>
      </c>
      <c r="IP11" s="169">
        <f>DL11-DK11</f>
        <v>-123204</v>
      </c>
      <c r="IQ11" s="400">
        <f>IP11/EI11</f>
        <v>713019.11064988968</v>
      </c>
      <c r="IR11" s="169">
        <f>EK11-EJ11</f>
        <v>64.999412912316203</v>
      </c>
      <c r="IS11" s="400">
        <f>IR11/EJ11</f>
        <v>-0.99999096788178776</v>
      </c>
      <c r="IT11" s="99">
        <f>CW11</f>
        <v>118948</v>
      </c>
      <c r="IU11" s="1088">
        <f>DK11</f>
        <v>123204</v>
      </c>
      <c r="IV11" s="169">
        <f>IU11-IT11</f>
        <v>4256</v>
      </c>
      <c r="IW11" s="106">
        <f t="shared" ref="IW11" si="167">IF(ISERROR(IV11/IT11),0,IV11/IT11)</f>
        <v>3.5780340989339882E-2</v>
      </c>
      <c r="IX11" s="696"/>
      <c r="IY11" s="696"/>
      <c r="IZ11" s="696"/>
      <c r="JB11" s="258" t="e">
        <f>#REF!</f>
        <v>#REF!</v>
      </c>
      <c r="JC11" s="258" t="e">
        <f>#REF!</f>
        <v>#REF!</v>
      </c>
      <c r="JD11" s="258" t="e">
        <f>#REF!</f>
        <v>#REF!</v>
      </c>
      <c r="JE11" s="258" t="e">
        <f>#REF!</f>
        <v>#REF!</v>
      </c>
      <c r="JF11" s="258" t="e">
        <f>#REF!</f>
        <v>#REF!</v>
      </c>
      <c r="JG11" s="258" t="e">
        <f>#REF!</f>
        <v>#REF!</v>
      </c>
      <c r="JH11" s="258" t="e">
        <f>#REF!</f>
        <v>#REF!</v>
      </c>
      <c r="JI11" s="258" t="e">
        <f>#REF!</f>
        <v>#REF!</v>
      </c>
      <c r="JJ11" s="258" t="e">
        <f>#REF!</f>
        <v>#REF!</v>
      </c>
      <c r="JK11" s="258" t="e">
        <f>#REF!</f>
        <v>#REF!</v>
      </c>
      <c r="JL11" s="258" t="e">
        <f>#REF!</f>
        <v>#REF!</v>
      </c>
      <c r="JM11" s="259">
        <f t="shared" si="147"/>
        <v>111549</v>
      </c>
      <c r="JN11" s="259">
        <f t="shared" si="147"/>
        <v>134889</v>
      </c>
      <c r="JO11" s="259">
        <f t="shared" si="147"/>
        <v>111390</v>
      </c>
      <c r="JP11" s="259">
        <f t="shared" si="147"/>
        <v>111467</v>
      </c>
      <c r="JQ11" s="259">
        <f t="shared" si="147"/>
        <v>111297</v>
      </c>
      <c r="JR11" s="259">
        <f t="shared" si="147"/>
        <v>111106</v>
      </c>
      <c r="JS11" s="259">
        <f t="shared" si="147"/>
        <v>111020</v>
      </c>
      <c r="JT11" s="259">
        <f t="shared" si="147"/>
        <v>132508</v>
      </c>
      <c r="JU11" s="259">
        <f t="shared" si="147"/>
        <v>110944</v>
      </c>
      <c r="JV11" s="259">
        <f t="shared" si="147"/>
        <v>111316</v>
      </c>
      <c r="JW11" s="259">
        <f t="shared" si="147"/>
        <v>111603</v>
      </c>
      <c r="JX11" s="259">
        <f t="shared" si="147"/>
        <v>112436</v>
      </c>
      <c r="JY11" s="259">
        <f t="shared" si="148"/>
        <v>112399</v>
      </c>
      <c r="JZ11" s="259">
        <f t="shared" si="148"/>
        <v>133843</v>
      </c>
      <c r="KA11" s="259">
        <f t="shared" si="148"/>
        <v>110716</v>
      </c>
      <c r="KB11" s="259">
        <f t="shared" si="148"/>
        <v>110651</v>
      </c>
      <c r="KC11" s="259">
        <f t="shared" si="148"/>
        <v>110119</v>
      </c>
      <c r="KD11" s="259">
        <f t="shared" si="148"/>
        <v>109794</v>
      </c>
      <c r="KE11" s="259">
        <f t="shared" si="148"/>
        <v>123268</v>
      </c>
      <c r="KF11" s="259">
        <f t="shared" si="148"/>
        <v>109540</v>
      </c>
      <c r="KG11" s="259">
        <f t="shared" si="148"/>
        <v>109775</v>
      </c>
      <c r="KH11" s="259">
        <f t="shared" si="148"/>
        <v>110455</v>
      </c>
      <c r="KI11" s="259">
        <f t="shared" si="148"/>
        <v>111303</v>
      </c>
      <c r="KJ11" s="259">
        <f t="shared" si="148"/>
        <v>136203</v>
      </c>
      <c r="KK11" s="786">
        <f t="shared" si="149"/>
        <v>113834</v>
      </c>
      <c r="KL11" s="786">
        <f t="shared" si="149"/>
        <v>115414</v>
      </c>
      <c r="KM11" s="786">
        <f t="shared" si="149"/>
        <v>115875</v>
      </c>
      <c r="KN11" s="786">
        <f t="shared" si="149"/>
        <v>116600</v>
      </c>
      <c r="KO11" s="786">
        <f t="shared" si="149"/>
        <v>117464</v>
      </c>
      <c r="KP11" s="786">
        <f t="shared" si="149"/>
        <v>117293</v>
      </c>
      <c r="KQ11" s="786">
        <f t="shared" si="149"/>
        <v>142567</v>
      </c>
      <c r="KR11" s="786">
        <f t="shared" si="149"/>
        <v>117052</v>
      </c>
      <c r="KS11" s="786">
        <f t="shared" si="149"/>
        <v>117471</v>
      </c>
      <c r="KT11" s="786">
        <f t="shared" si="149"/>
        <v>118989</v>
      </c>
      <c r="KU11" s="786">
        <f t="shared" si="149"/>
        <v>119836</v>
      </c>
      <c r="KV11" s="786">
        <f t="shared" si="149"/>
        <v>121134</v>
      </c>
      <c r="KW11" s="898">
        <f t="shared" si="150"/>
        <v>148617</v>
      </c>
      <c r="KX11" s="898">
        <f t="shared" si="150"/>
        <v>121181</v>
      </c>
      <c r="KY11" s="898">
        <f t="shared" si="150"/>
        <v>120655</v>
      </c>
      <c r="KZ11" s="898">
        <f t="shared" si="150"/>
        <v>120725</v>
      </c>
      <c r="LA11" s="898">
        <f t="shared" si="150"/>
        <v>120484</v>
      </c>
      <c r="LB11" s="898">
        <f t="shared" si="150"/>
        <v>146930</v>
      </c>
      <c r="LC11" s="898">
        <f t="shared" si="150"/>
        <v>122677</v>
      </c>
      <c r="LD11" s="898">
        <f t="shared" si="150"/>
        <v>118613</v>
      </c>
      <c r="LE11" s="898">
        <f t="shared" si="150"/>
        <v>117993</v>
      </c>
      <c r="LF11" s="898">
        <f t="shared" si="150"/>
        <v>118591</v>
      </c>
      <c r="LG11" s="898">
        <f t="shared" si="150"/>
        <v>118832</v>
      </c>
      <c r="LH11" s="898">
        <f t="shared" si="150"/>
        <v>119298</v>
      </c>
      <c r="LI11" s="957">
        <f t="shared" si="151"/>
        <v>145790</v>
      </c>
      <c r="LJ11" s="957">
        <f t="shared" si="151"/>
        <v>116206</v>
      </c>
      <c r="LK11" s="957">
        <f t="shared" si="151"/>
        <v>115029</v>
      </c>
      <c r="LL11" s="957">
        <f t="shared" si="151"/>
        <v>119153</v>
      </c>
      <c r="LM11" s="957">
        <f t="shared" si="151"/>
        <v>118608</v>
      </c>
      <c r="LN11" s="957">
        <f t="shared" si="151"/>
        <v>138463</v>
      </c>
      <c r="LO11" s="957">
        <f t="shared" si="151"/>
        <v>122677</v>
      </c>
      <c r="LP11" s="957">
        <f t="shared" si="151"/>
        <v>118351</v>
      </c>
      <c r="LQ11" s="957">
        <f t="shared" si="151"/>
        <v>118694</v>
      </c>
      <c r="LR11" s="957">
        <f t="shared" si="151"/>
        <v>118948</v>
      </c>
      <c r="LS11" s="957">
        <f t="shared" si="151"/>
        <v>119134</v>
      </c>
      <c r="LT11" s="957">
        <f t="shared" si="151"/>
        <v>145902</v>
      </c>
      <c r="LU11" s="1153">
        <f t="shared" si="152"/>
        <v>120333</v>
      </c>
      <c r="LV11" s="1153">
        <f t="shared" si="152"/>
        <v>120439</v>
      </c>
      <c r="LW11" s="1153">
        <f t="shared" si="152"/>
        <v>120457</v>
      </c>
      <c r="LX11" s="1153">
        <f t="shared" si="152"/>
        <v>123696</v>
      </c>
      <c r="LY11" s="1153">
        <f t="shared" si="152"/>
        <v>123112</v>
      </c>
      <c r="LZ11" s="1153">
        <f t="shared" si="152"/>
        <v>150674</v>
      </c>
      <c r="MA11" s="1153">
        <f t="shared" si="152"/>
        <v>122749</v>
      </c>
      <c r="MB11" s="1153">
        <f t="shared" si="152"/>
        <v>122426</v>
      </c>
      <c r="MC11" s="1153">
        <f t="shared" si="152"/>
        <v>122432</v>
      </c>
      <c r="MD11" s="1153">
        <f t="shared" si="152"/>
        <v>123204</v>
      </c>
      <c r="ME11" s="1153">
        <f t="shared" si="152"/>
        <v>0</v>
      </c>
      <c r="MF11" s="1153">
        <f t="shared" si="152"/>
        <v>0</v>
      </c>
      <c r="MG11" s="1175">
        <f t="shared" si="153"/>
        <v>0</v>
      </c>
      <c r="MH11" s="1175">
        <f t="shared" si="153"/>
        <v>0</v>
      </c>
      <c r="MI11" s="1175">
        <f t="shared" si="153"/>
        <v>0</v>
      </c>
      <c r="MJ11" s="1175">
        <f t="shared" si="153"/>
        <v>0</v>
      </c>
      <c r="MK11" s="1175">
        <f t="shared" si="153"/>
        <v>0</v>
      </c>
      <c r="ML11" s="1175">
        <f t="shared" si="153"/>
        <v>0</v>
      </c>
      <c r="MM11" s="1175">
        <f t="shared" si="153"/>
        <v>0</v>
      </c>
      <c r="MN11" s="1175">
        <f t="shared" si="153"/>
        <v>0</v>
      </c>
      <c r="MO11" s="1175">
        <f t="shared" si="153"/>
        <v>0</v>
      </c>
      <c r="MP11" s="1175">
        <f t="shared" si="153"/>
        <v>0</v>
      </c>
      <c r="MQ11" s="1175">
        <f t="shared" si="154"/>
        <v>0</v>
      </c>
      <c r="MR11" s="1175">
        <f t="shared" si="154"/>
        <v>0</v>
      </c>
    </row>
    <row r="12" spans="1:356" s="3" customFormat="1" ht="21.75" customHeight="1" x14ac:dyDescent="0.25">
      <c r="A12" s="763">
        <v>2</v>
      </c>
      <c r="B12" s="5" t="s">
        <v>90</v>
      </c>
      <c r="C12" s="5"/>
      <c r="D12" s="5"/>
      <c r="H12" s="367"/>
      <c r="I12" s="196"/>
      <c r="J12" s="18"/>
      <c r="K12" s="196"/>
      <c r="L12" s="18"/>
      <c r="M12" s="196" t="s">
        <v>124</v>
      </c>
      <c r="N12" s="18"/>
      <c r="O12" s="196"/>
      <c r="P12" s="18"/>
      <c r="Q12" s="196"/>
      <c r="R12" s="18"/>
      <c r="S12" s="196"/>
      <c r="T12" s="129"/>
      <c r="U12" s="149"/>
      <c r="V12" s="367"/>
      <c r="W12" s="196"/>
      <c r="X12" s="18"/>
      <c r="Y12" s="196"/>
      <c r="Z12" s="18"/>
      <c r="AA12" s="196" t="s">
        <v>146</v>
      </c>
      <c r="AB12" s="18"/>
      <c r="AC12" s="196"/>
      <c r="AD12" s="18"/>
      <c r="AE12" s="196"/>
      <c r="AF12" s="18"/>
      <c r="AG12" s="196"/>
      <c r="AH12" s="129"/>
      <c r="AI12" s="149"/>
      <c r="AJ12" s="367"/>
      <c r="AK12" s="196"/>
      <c r="AL12" s="18"/>
      <c r="AM12" s="196"/>
      <c r="AN12" s="18"/>
      <c r="AO12" s="196" t="s">
        <v>183</v>
      </c>
      <c r="AP12" s="18"/>
      <c r="AQ12" s="657"/>
      <c r="AR12" s="206"/>
      <c r="AS12" s="196"/>
      <c r="AT12" s="18"/>
      <c r="AU12" s="196" t="s">
        <v>196</v>
      </c>
      <c r="AV12" s="129"/>
      <c r="AW12" s="149"/>
      <c r="AX12" s="367"/>
      <c r="AY12" s="196"/>
      <c r="AZ12" s="18"/>
      <c r="BA12" s="196" t="s">
        <v>202</v>
      </c>
      <c r="BB12" s="206" t="s">
        <v>206</v>
      </c>
      <c r="BC12" s="196"/>
      <c r="BD12" s="206" t="s">
        <v>212</v>
      </c>
      <c r="BE12" s="657"/>
      <c r="BF12" s="18"/>
      <c r="BG12" s="806"/>
      <c r="BH12" s="206" t="s">
        <v>235</v>
      </c>
      <c r="BI12" s="196"/>
      <c r="BJ12" s="129"/>
      <c r="BK12" s="149"/>
      <c r="BL12" s="367"/>
      <c r="BM12" s="196"/>
      <c r="BN12" s="18"/>
      <c r="BO12" s="196"/>
      <c r="BP12" s="206"/>
      <c r="BQ12" s="196"/>
      <c r="BR12" s="206" t="s">
        <v>248</v>
      </c>
      <c r="BS12" s="657"/>
      <c r="BT12" s="18"/>
      <c r="BU12" s="18"/>
      <c r="BV12" s="18"/>
      <c r="BW12" s="206" t="s">
        <v>255</v>
      </c>
      <c r="BX12" s="129"/>
      <c r="BY12" s="149"/>
      <c r="BZ12" s="918"/>
      <c r="CA12" s="196"/>
      <c r="CB12" s="18"/>
      <c r="CC12" s="196"/>
      <c r="CD12" s="206"/>
      <c r="CE12" s="196"/>
      <c r="CF12" s="206" t="s">
        <v>261</v>
      </c>
      <c r="CG12" s="196"/>
      <c r="CH12" s="18"/>
      <c r="CI12" s="206" t="s">
        <v>265</v>
      </c>
      <c r="CJ12" s="18"/>
      <c r="CK12" s="18"/>
      <c r="CL12" s="129"/>
      <c r="CM12" s="149"/>
      <c r="CN12" s="918"/>
      <c r="CO12" s="978"/>
      <c r="CP12" s="18"/>
      <c r="CQ12" s="196"/>
      <c r="CR12" s="206"/>
      <c r="CS12" s="196"/>
      <c r="CT12" s="206"/>
      <c r="CU12" s="196" t="s">
        <v>276</v>
      </c>
      <c r="CV12" s="18"/>
      <c r="CW12" s="1095"/>
      <c r="CX12" s="18"/>
      <c r="CY12" s="978"/>
      <c r="CZ12" s="129"/>
      <c r="DA12" s="149"/>
      <c r="DB12" s="918"/>
      <c r="DC12" s="978"/>
      <c r="DD12" s="18"/>
      <c r="DE12" s="196"/>
      <c r="DF12" s="206"/>
      <c r="DG12" s="196"/>
      <c r="DH12" s="206" t="s">
        <v>299</v>
      </c>
      <c r="DI12" s="196"/>
      <c r="DJ12" s="18"/>
      <c r="DK12" s="196"/>
      <c r="DL12" s="18"/>
      <c r="DM12" s="196"/>
      <c r="DN12" s="129"/>
      <c r="DO12" s="149"/>
      <c r="DP12" s="918"/>
      <c r="DQ12" s="978"/>
      <c r="DR12" s="18"/>
      <c r="DS12" s="196"/>
      <c r="DT12" s="206"/>
      <c r="DU12" s="196"/>
      <c r="DV12" s="206"/>
      <c r="DW12" s="196"/>
      <c r="DX12" s="18"/>
      <c r="DY12" s="196"/>
      <c r="DZ12" s="18"/>
      <c r="EA12" s="196"/>
      <c r="EB12" s="129"/>
      <c r="EC12" s="149"/>
      <c r="ED12" s="660"/>
      <c r="EE12" s="661"/>
      <c r="EF12" s="660"/>
      <c r="EG12" s="661"/>
      <c r="EH12" s="660"/>
      <c r="EI12" s="661"/>
      <c r="EJ12" s="660"/>
      <c r="EK12" s="661"/>
      <c r="EL12" s="660"/>
      <c r="EM12" s="661"/>
      <c r="EN12" s="660"/>
      <c r="EO12" s="661"/>
      <c r="EP12" s="660"/>
      <c r="EQ12" s="661"/>
      <c r="ER12" s="660"/>
      <c r="ES12" s="661"/>
      <c r="ET12" s="660"/>
      <c r="EU12" s="661"/>
      <c r="EV12" s="660"/>
      <c r="EW12" s="108"/>
      <c r="EX12" s="660"/>
      <c r="EY12" s="661"/>
      <c r="EZ12" s="660"/>
      <c r="FA12" s="661"/>
      <c r="FB12" s="660"/>
      <c r="FC12" s="661"/>
      <c r="FD12" s="314"/>
      <c r="FE12" s="401"/>
      <c r="FF12" s="314"/>
      <c r="FG12" s="401"/>
      <c r="FH12" s="314"/>
      <c r="FI12" s="401"/>
      <c r="FJ12" s="314"/>
      <c r="FK12" s="401"/>
      <c r="FL12" s="314"/>
      <c r="FM12" s="401"/>
      <c r="FN12" s="314"/>
      <c r="FO12" s="401"/>
      <c r="FP12" s="314"/>
      <c r="FQ12" s="401"/>
      <c r="FR12" s="314"/>
      <c r="FS12" s="401"/>
      <c r="FT12" s="314"/>
      <c r="FU12" s="401"/>
      <c r="FV12" s="314"/>
      <c r="FW12" s="401"/>
      <c r="FX12" s="314"/>
      <c r="FY12" s="401"/>
      <c r="FZ12" s="314"/>
      <c r="GA12" s="401"/>
      <c r="GB12" s="314"/>
      <c r="GC12" s="401"/>
      <c r="GD12" s="314"/>
      <c r="GE12" s="401"/>
      <c r="GF12" s="314"/>
      <c r="GG12" s="401"/>
      <c r="GH12" s="314"/>
      <c r="GI12" s="401"/>
      <c r="GJ12" s="314"/>
      <c r="GK12" s="401"/>
      <c r="GL12" s="314"/>
      <c r="GM12" s="401"/>
      <c r="GN12" s="314"/>
      <c r="GO12" s="401"/>
      <c r="GP12" s="314"/>
      <c r="GQ12" s="401"/>
      <c r="GR12" s="314"/>
      <c r="GS12" s="401"/>
      <c r="GT12" s="314"/>
      <c r="GU12" s="401"/>
      <c r="GV12" s="314"/>
      <c r="GW12" s="401"/>
      <c r="GX12" s="314"/>
      <c r="GY12" s="401"/>
      <c r="GZ12" s="314"/>
      <c r="HA12" s="401"/>
      <c r="HB12" s="314"/>
      <c r="HC12" s="401"/>
      <c r="HD12" s="314"/>
      <c r="HE12" s="401"/>
      <c r="HF12" s="314"/>
      <c r="HG12" s="401"/>
      <c r="HH12" s="314"/>
      <c r="HI12" s="401"/>
      <c r="HJ12" s="314"/>
      <c r="HK12" s="401"/>
      <c r="HL12" s="314"/>
      <c r="HM12" s="401"/>
      <c r="HN12" s="314"/>
      <c r="HO12" s="401"/>
      <c r="HP12" s="314"/>
      <c r="HQ12" s="401"/>
      <c r="HR12" s="314"/>
      <c r="HS12" s="401"/>
      <c r="HT12" s="314"/>
      <c r="HU12" s="401"/>
      <c r="HV12" s="314"/>
      <c r="HW12" s="401"/>
      <c r="HX12" s="314"/>
      <c r="HY12" s="401"/>
      <c r="HZ12" s="314"/>
      <c r="IA12" s="401"/>
      <c r="IB12" s="314"/>
      <c r="IC12" s="401"/>
      <c r="ID12" s="314"/>
      <c r="IE12" s="401"/>
      <c r="IF12" s="314"/>
      <c r="IG12" s="401"/>
      <c r="IH12" s="314"/>
      <c r="II12" s="401"/>
      <c r="IJ12" s="314"/>
      <c r="IK12" s="401"/>
      <c r="IL12" s="314"/>
      <c r="IM12" s="401"/>
      <c r="IN12" s="314"/>
      <c r="IO12" s="401"/>
      <c r="IP12" s="314"/>
      <c r="IQ12" s="401"/>
      <c r="IR12" s="314"/>
      <c r="IS12" s="401"/>
      <c r="IT12" s="18"/>
      <c r="IU12" s="1055"/>
      <c r="IV12" s="107"/>
      <c r="IW12" s="108"/>
      <c r="IX12" s="697"/>
      <c r="IY12" s="697"/>
      <c r="IZ12" s="697"/>
      <c r="JB12" s="260"/>
      <c r="JC12" s="260"/>
      <c r="JD12" s="260"/>
      <c r="JE12" s="260"/>
      <c r="JF12" s="260"/>
      <c r="JG12" s="260"/>
      <c r="JH12" s="260"/>
      <c r="JI12" s="260"/>
      <c r="JJ12" s="260"/>
      <c r="JK12" s="260"/>
      <c r="JL12" s="260"/>
      <c r="JM12" s="261"/>
      <c r="JN12" s="261"/>
      <c r="JO12" s="261"/>
      <c r="JP12" s="261"/>
      <c r="JQ12" s="261"/>
      <c r="JR12" s="261"/>
      <c r="JS12" s="261"/>
      <c r="JT12" s="261"/>
      <c r="JU12" s="261"/>
      <c r="JV12" s="261"/>
      <c r="JW12" s="261"/>
      <c r="JX12" s="261"/>
      <c r="JY12" s="261"/>
      <c r="JZ12" s="261"/>
      <c r="KA12" s="261"/>
      <c r="KB12" s="261"/>
      <c r="KC12" s="261"/>
      <c r="KD12" s="261"/>
      <c r="KE12" s="261"/>
      <c r="KF12" s="261"/>
      <c r="KG12" s="261"/>
      <c r="KH12" s="261"/>
      <c r="KI12" s="261"/>
      <c r="KJ12" s="261"/>
      <c r="KK12" s="787"/>
      <c r="KL12" s="787"/>
      <c r="KM12" s="787"/>
      <c r="KN12" s="787"/>
      <c r="KO12" s="787"/>
      <c r="KP12" s="787"/>
      <c r="KQ12" s="787"/>
      <c r="KR12" s="787"/>
      <c r="KS12" s="787"/>
      <c r="KT12" s="787"/>
      <c r="KU12" s="787"/>
      <c r="KV12" s="787"/>
      <c r="KW12" s="899"/>
      <c r="KX12" s="899"/>
      <c r="KY12" s="899"/>
      <c r="KZ12" s="899"/>
      <c r="LA12" s="899"/>
      <c r="LB12" s="899"/>
      <c r="LC12" s="899"/>
      <c r="LD12" s="899"/>
      <c r="LE12" s="899"/>
      <c r="LF12" s="899"/>
      <c r="LG12" s="899"/>
      <c r="LH12" s="899"/>
      <c r="LI12" s="958"/>
      <c r="LJ12" s="958"/>
      <c r="LK12" s="958"/>
      <c r="LL12" s="958"/>
      <c r="LM12" s="958"/>
      <c r="LN12" s="958"/>
      <c r="LO12" s="958"/>
      <c r="LP12" s="958"/>
      <c r="LQ12" s="958"/>
      <c r="LR12" s="958"/>
      <c r="LS12" s="958"/>
      <c r="LT12" s="958"/>
      <c r="LU12" s="1154"/>
      <c r="LV12" s="1154"/>
      <c r="LW12" s="1154"/>
      <c r="LX12" s="1154"/>
      <c r="LY12" s="1154"/>
      <c r="LZ12" s="1154"/>
      <c r="MA12" s="1154"/>
      <c r="MB12" s="1154"/>
      <c r="MC12" s="1154"/>
      <c r="MD12" s="1154"/>
      <c r="ME12" s="1154"/>
      <c r="MF12" s="1154"/>
      <c r="MG12" s="1176"/>
      <c r="MH12" s="1176"/>
      <c r="MI12" s="1176"/>
      <c r="MJ12" s="1176"/>
      <c r="MK12" s="1176"/>
      <c r="ML12" s="1176"/>
      <c r="MM12" s="1176"/>
      <c r="MN12" s="1176"/>
      <c r="MO12" s="1176"/>
      <c r="MP12" s="1176"/>
      <c r="MQ12" s="1176"/>
      <c r="MR12" s="1176"/>
    </row>
    <row r="13" spans="1:356" x14ac:dyDescent="0.25">
      <c r="A13" s="764"/>
      <c r="B13" s="56">
        <v>2.1</v>
      </c>
      <c r="C13" s="13"/>
      <c r="D13" s="13"/>
      <c r="E13" s="1215" t="s">
        <v>0</v>
      </c>
      <c r="F13" s="1215"/>
      <c r="G13" s="1216"/>
      <c r="H13" s="368">
        <v>4644</v>
      </c>
      <c r="I13" s="70">
        <v>4212</v>
      </c>
      <c r="J13" s="23">
        <v>4207</v>
      </c>
      <c r="K13" s="70">
        <v>5332</v>
      </c>
      <c r="L13" s="23">
        <v>4178</v>
      </c>
      <c r="M13" s="70">
        <v>4318</v>
      </c>
      <c r="N13" s="23">
        <v>4881</v>
      </c>
      <c r="O13" s="70">
        <v>4718</v>
      </c>
      <c r="P13" s="23">
        <v>4115</v>
      </c>
      <c r="Q13" s="70">
        <v>3504</v>
      </c>
      <c r="R13" s="23">
        <v>4622</v>
      </c>
      <c r="S13" s="70">
        <v>4494</v>
      </c>
      <c r="T13" s="130">
        <v>53225</v>
      </c>
      <c r="U13" s="163">
        <v>4435.416666666667</v>
      </c>
      <c r="V13" s="368">
        <v>3937</v>
      </c>
      <c r="W13" s="70">
        <v>3959</v>
      </c>
      <c r="X13" s="23">
        <v>3449</v>
      </c>
      <c r="Y13" s="70">
        <v>4321</v>
      </c>
      <c r="Z13" s="23">
        <v>3529</v>
      </c>
      <c r="AA13" s="70">
        <v>3652</v>
      </c>
      <c r="AB13" s="23">
        <v>4338</v>
      </c>
      <c r="AC13" s="70">
        <v>4070</v>
      </c>
      <c r="AD13" s="23">
        <v>4434</v>
      </c>
      <c r="AE13" s="70">
        <v>3596</v>
      </c>
      <c r="AF13" s="23">
        <v>3377</v>
      </c>
      <c r="AG13" s="70">
        <v>3216</v>
      </c>
      <c r="AH13" s="130">
        <v>45878</v>
      </c>
      <c r="AI13" s="163">
        <v>3823.1666666666665</v>
      </c>
      <c r="AJ13" s="368">
        <v>3691</v>
      </c>
      <c r="AK13" s="70">
        <v>3834</v>
      </c>
      <c r="AL13" s="23">
        <v>3207</v>
      </c>
      <c r="AM13" s="70">
        <v>6645</v>
      </c>
      <c r="AN13" s="23">
        <v>3734</v>
      </c>
      <c r="AO13" s="70">
        <v>3362</v>
      </c>
      <c r="AP13" s="23">
        <v>4341</v>
      </c>
      <c r="AQ13" s="70">
        <v>4075</v>
      </c>
      <c r="AR13" s="23">
        <v>3500</v>
      </c>
      <c r="AS13" s="70">
        <v>3784</v>
      </c>
      <c r="AT13" s="23">
        <v>5608</v>
      </c>
      <c r="AU13" s="70">
        <v>3875</v>
      </c>
      <c r="AV13" s="130">
        <f>SUM(AJ13:AU13)</f>
        <v>49656</v>
      </c>
      <c r="AW13" s="163">
        <f t="shared" ref="AW13:AW20" si="168">SUM(AJ13:AU13)/$AV$4</f>
        <v>4138</v>
      </c>
      <c r="AX13" s="368">
        <v>4291</v>
      </c>
      <c r="AY13" s="70">
        <v>4156</v>
      </c>
      <c r="AZ13" s="23">
        <v>5289</v>
      </c>
      <c r="BA13" s="70">
        <v>15475</v>
      </c>
      <c r="BB13" s="23">
        <v>6437</v>
      </c>
      <c r="BC13" s="70">
        <v>5379</v>
      </c>
      <c r="BD13" s="23">
        <v>5911</v>
      </c>
      <c r="BE13" s="70">
        <v>4150</v>
      </c>
      <c r="BF13" s="23">
        <v>3916</v>
      </c>
      <c r="BG13" s="70">
        <v>3707</v>
      </c>
      <c r="BH13" s="23">
        <v>3533</v>
      </c>
      <c r="BI13" s="70">
        <v>3726</v>
      </c>
      <c r="BJ13" s="130">
        <f>SUM(AX13:BI13)</f>
        <v>65970</v>
      </c>
      <c r="BK13" s="163">
        <f t="shared" ref="BK13:BK20" si="169">SUM(AX13:BI13)/$BJ$4</f>
        <v>5497.5</v>
      </c>
      <c r="BL13" s="368">
        <v>4001</v>
      </c>
      <c r="BM13" s="70">
        <v>3759</v>
      </c>
      <c r="BN13" s="23">
        <v>4220</v>
      </c>
      <c r="BO13" s="70">
        <v>11614</v>
      </c>
      <c r="BP13" s="23">
        <v>3720</v>
      </c>
      <c r="BQ13" s="70">
        <v>3916</v>
      </c>
      <c r="BR13" s="23">
        <v>5001</v>
      </c>
      <c r="BS13" s="70">
        <v>3916</v>
      </c>
      <c r="BT13" s="23">
        <v>4232</v>
      </c>
      <c r="BU13" s="23">
        <v>4958</v>
      </c>
      <c r="BV13" s="23">
        <v>3507</v>
      </c>
      <c r="BW13" s="23">
        <v>3520</v>
      </c>
      <c r="BX13" s="130">
        <f>SUM(BL13:BW13)</f>
        <v>56364</v>
      </c>
      <c r="BY13" s="163">
        <f t="shared" ref="BY13:BY20" si="170">SUM(BL13:BW13)/$BX$4</f>
        <v>4697</v>
      </c>
      <c r="BZ13" s="23">
        <v>3346</v>
      </c>
      <c r="CA13" s="70">
        <v>3041</v>
      </c>
      <c r="CB13" s="23">
        <v>3412</v>
      </c>
      <c r="CC13" s="70">
        <v>3991</v>
      </c>
      <c r="CD13" s="23">
        <v>3680</v>
      </c>
      <c r="CE13" s="70">
        <v>3609</v>
      </c>
      <c r="CF13" s="23">
        <v>3651</v>
      </c>
      <c r="CG13" s="70">
        <v>3966</v>
      </c>
      <c r="CH13" s="23">
        <v>3630</v>
      </c>
      <c r="CI13" s="23">
        <v>3182</v>
      </c>
      <c r="CJ13" s="23">
        <v>3039</v>
      </c>
      <c r="CK13" s="23">
        <v>3318</v>
      </c>
      <c r="CL13" s="130">
        <f>SUM(BZ13:CK13)</f>
        <v>41865</v>
      </c>
      <c r="CM13" s="163">
        <f t="shared" ref="CM13:CM20" si="171">SUM(BZ13:CK13)/$CL$4</f>
        <v>3488.75</v>
      </c>
      <c r="CN13" s="23">
        <v>3075</v>
      </c>
      <c r="CO13" s="70">
        <v>3392</v>
      </c>
      <c r="CP13" s="23">
        <v>3467</v>
      </c>
      <c r="CQ13" s="70">
        <v>3725</v>
      </c>
      <c r="CR13" s="23">
        <v>3142</v>
      </c>
      <c r="CS13" s="70">
        <v>2963</v>
      </c>
      <c r="CT13" s="1025">
        <v>3473</v>
      </c>
      <c r="CU13" s="70">
        <v>3483</v>
      </c>
      <c r="CV13" s="23">
        <v>2737</v>
      </c>
      <c r="CW13" s="1062">
        <v>2392</v>
      </c>
      <c r="CX13" s="23">
        <v>2523</v>
      </c>
      <c r="CY13" s="70">
        <v>2313</v>
      </c>
      <c r="CZ13" s="130">
        <f>SUM(CN13:CY13)</f>
        <v>36685</v>
      </c>
      <c r="DA13" s="163">
        <f t="shared" ref="DA13:DA20" si="172">SUM(CN13:CY13)/$CZ$4</f>
        <v>3057.0833333333335</v>
      </c>
      <c r="DB13" s="23">
        <v>2263</v>
      </c>
      <c r="DC13" s="70">
        <v>2409</v>
      </c>
      <c r="DD13" s="23">
        <v>1903</v>
      </c>
      <c r="DE13" s="70">
        <v>2454</v>
      </c>
      <c r="DF13" s="23">
        <v>2005</v>
      </c>
      <c r="DG13" s="70">
        <v>1943</v>
      </c>
      <c r="DH13" s="1025">
        <v>3304</v>
      </c>
      <c r="DI13" s="70">
        <v>2994</v>
      </c>
      <c r="DJ13" s="23">
        <v>2464</v>
      </c>
      <c r="DK13" s="70">
        <v>2405</v>
      </c>
      <c r="DL13" s="23"/>
      <c r="DM13" s="70"/>
      <c r="DN13" s="130">
        <f>SUM(DB13:DM13)</f>
        <v>24144</v>
      </c>
      <c r="DO13" s="163">
        <f t="shared" ref="DO13:DO20" si="173">SUM(DB13:DM13)/$DN$4</f>
        <v>2414.4</v>
      </c>
      <c r="DP13" s="23"/>
      <c r="DQ13" s="70"/>
      <c r="DR13" s="23"/>
      <c r="DS13" s="70"/>
      <c r="DT13" s="23"/>
      <c r="DU13" s="70"/>
      <c r="DV13" s="1025"/>
      <c r="DW13" s="872"/>
      <c r="DX13" s="23"/>
      <c r="DY13" s="872"/>
      <c r="DZ13" s="23"/>
      <c r="EA13" s="872"/>
      <c r="EB13" s="130">
        <f>SUM(DP13:EA13)</f>
        <v>0</v>
      </c>
      <c r="EC13" s="163" t="e">
        <f t="shared" ref="EC13:EC20" si="174">SUM(DP13:EA13)/$EB$4</f>
        <v>#DIV/0!</v>
      </c>
      <c r="ED13" s="662">
        <f t="shared" ref="ED13:ED20" si="175">AX13-AU13</f>
        <v>416</v>
      </c>
      <c r="EE13" s="663">
        <f t="shared" ref="EE13:EE20" si="176">ED13/AU13</f>
        <v>0.10735483870967742</v>
      </c>
      <c r="EF13" s="662">
        <f t="shared" ref="EF13:EF20" si="177">AY13-AX13</f>
        <v>-135</v>
      </c>
      <c r="EG13" s="663">
        <f t="shared" ref="EG13:EG20" si="178">EF13/AX13</f>
        <v>-3.1461197855977625E-2</v>
      </c>
      <c r="EH13" s="662">
        <f t="shared" ref="EH13:EH20" si="179">AZ13-AY13</f>
        <v>1133</v>
      </c>
      <c r="EI13" s="663">
        <f t="shared" ref="EI13:EI20" si="180">EH13/AY13</f>
        <v>0.2726179018286814</v>
      </c>
      <c r="EJ13" s="662">
        <f t="shared" ref="EJ13:EJ20" si="181">BA13-AZ13</f>
        <v>10186</v>
      </c>
      <c r="EK13" s="663">
        <f t="shared" ref="EK13:EK20" si="182">EJ13/AZ13</f>
        <v>1.9258839100018907</v>
      </c>
      <c r="EL13" s="662">
        <f t="shared" ref="EL13:EL20" si="183">BB13-BA13</f>
        <v>-9038</v>
      </c>
      <c r="EM13" s="663">
        <f t="shared" ref="EM13:EM20" si="184">EL13/BA13</f>
        <v>-0.58403877221324718</v>
      </c>
      <c r="EN13" s="662">
        <f t="shared" ref="EN13:EN20" si="185">BC13-BB13</f>
        <v>-1058</v>
      </c>
      <c r="EO13" s="663">
        <f t="shared" ref="EO13:EO20" si="186">EN13/BB13</f>
        <v>-0.1643622805654808</v>
      </c>
      <c r="EP13" s="662">
        <f t="shared" ref="EP13:EP20" si="187">BD13-BC13</f>
        <v>532</v>
      </c>
      <c r="EQ13" s="663">
        <f t="shared" ref="EQ13:EQ20" si="188">EP13/BC13</f>
        <v>9.8903141847927117E-2</v>
      </c>
      <c r="ER13" s="662">
        <f t="shared" ref="ER13:ER20" si="189">BE13-BD13</f>
        <v>-1761</v>
      </c>
      <c r="ES13" s="663">
        <f t="shared" ref="ES13:ES20" si="190">ER13/BD13</f>
        <v>-0.29791913381830487</v>
      </c>
      <c r="ET13" s="662">
        <f t="shared" ref="ET13:ET20" si="191">BF13-BE13</f>
        <v>-234</v>
      </c>
      <c r="EU13" s="663">
        <f t="shared" ref="EU13:EU20" si="192">ET13/BE13</f>
        <v>-5.6385542168674696E-2</v>
      </c>
      <c r="EV13" s="662">
        <f t="shared" ref="EV13:EV20" si="193">BG13-BF13</f>
        <v>-209</v>
      </c>
      <c r="EW13" s="109">
        <f t="shared" ref="EW13:EW20" si="194">EV13/BF13</f>
        <v>-5.3370786516853931E-2</v>
      </c>
      <c r="EX13" s="662">
        <f t="shared" ref="EX13:EX20" si="195">BH13-BG13</f>
        <v>-174</v>
      </c>
      <c r="EY13" s="663">
        <f t="shared" ref="EY13:EY20" si="196">EX13/BG13</f>
        <v>-4.6938224979768003E-2</v>
      </c>
      <c r="EZ13" s="662">
        <f t="shared" ref="EZ13:EZ20" si="197">BI13-BH13</f>
        <v>193</v>
      </c>
      <c r="FA13" s="663">
        <f t="shared" ref="FA13:FA20" si="198">EZ13/BH13</f>
        <v>5.4627795075007077E-2</v>
      </c>
      <c r="FB13" s="662">
        <f t="shared" ref="FB13:FB20" si="199">BL13-BI13</f>
        <v>275</v>
      </c>
      <c r="FC13" s="663">
        <f t="shared" ref="FC13:FC20" si="200">FB13/BI13</f>
        <v>7.3805689747718728E-2</v>
      </c>
      <c r="FD13" s="315">
        <f t="shared" ref="FD13:FD20" si="201">BM13-BL13</f>
        <v>-242</v>
      </c>
      <c r="FE13" s="402">
        <f t="shared" ref="FE13:FE20" si="202">FD13/BL13</f>
        <v>-6.0484878780304924E-2</v>
      </c>
      <c r="FF13" s="315">
        <f t="shared" ref="FF13:FF20" si="203">BN13-BM13</f>
        <v>461</v>
      </c>
      <c r="FG13" s="402">
        <f t="shared" ref="FG13:FG20" si="204">FF13/BM13</f>
        <v>0.1226389997339718</v>
      </c>
      <c r="FH13" s="315">
        <f t="shared" ref="FH13:FH20" si="205">BO13-BN13</f>
        <v>7394</v>
      </c>
      <c r="FI13" s="402">
        <f t="shared" ref="FI13:FI20" si="206">FH13/BN13</f>
        <v>1.7521327014218009</v>
      </c>
      <c r="FJ13" s="315">
        <f t="shared" ref="FJ13:FJ20" si="207">BP13-BO13</f>
        <v>-7894</v>
      </c>
      <c r="FK13" s="402">
        <f t="shared" ref="FK13:FK20" si="208">FJ13/BO13</f>
        <v>-0.67969691751334593</v>
      </c>
      <c r="FL13" s="315">
        <f t="shared" ref="FL13:FL20" si="209">BQ13-BP13</f>
        <v>196</v>
      </c>
      <c r="FM13" s="402">
        <f t="shared" ref="FM13:FM20" si="210">FL13/BP13</f>
        <v>5.2688172043010753E-2</v>
      </c>
      <c r="FN13" s="315">
        <f t="shared" ref="FN13:FN20" si="211">BR13-BQ13</f>
        <v>1085</v>
      </c>
      <c r="FO13" s="402">
        <f t="shared" ref="FO13:FO20" si="212">FN13/BQ13</f>
        <v>0.27706843718079671</v>
      </c>
      <c r="FP13" s="315">
        <f t="shared" ref="FP13:FP20" si="213">BS13-BR13</f>
        <v>-1085</v>
      </c>
      <c r="FQ13" s="402">
        <f t="shared" ref="FQ13:FQ20" si="214">FP13/BR13</f>
        <v>-0.21695660867826436</v>
      </c>
      <c r="FR13" s="315">
        <f t="shared" ref="FR13:FR20" si="215">BT13-BS13</f>
        <v>316</v>
      </c>
      <c r="FS13" s="402">
        <f t="shared" ref="FS13:FS20" si="216">FR13/BS13</f>
        <v>8.0694586312563835E-2</v>
      </c>
      <c r="FT13" s="315">
        <f t="shared" ref="FT13:FT20" si="217">BU13-BT13</f>
        <v>726</v>
      </c>
      <c r="FU13" s="402">
        <f t="shared" ref="FU13:FU20" si="218">FT13/BT13</f>
        <v>0.17155009451795841</v>
      </c>
      <c r="FV13" s="315">
        <f t="shared" ref="FV13:FV20" si="219">BV13-BU13</f>
        <v>-1451</v>
      </c>
      <c r="FW13" s="402">
        <f t="shared" ref="FW13:FW20" si="220">FV13/BU13</f>
        <v>-0.29265832997176283</v>
      </c>
      <c r="FX13" s="315">
        <f t="shared" ref="FX13:FX20" si="221">BW13-BV13</f>
        <v>13</v>
      </c>
      <c r="FY13" s="402">
        <f t="shared" ref="FY13:FY20" si="222">FX13/BV13</f>
        <v>3.7068719703450244E-3</v>
      </c>
      <c r="FZ13" s="315">
        <f t="shared" ref="FZ13:FZ20" si="223">BZ13-BW13</f>
        <v>-174</v>
      </c>
      <c r="GA13" s="402">
        <f t="shared" ref="GA13:GA20" si="224">FZ13/BW13</f>
        <v>-4.9431818181818181E-2</v>
      </c>
      <c r="GB13" s="315">
        <f t="shared" ref="GB13:GB20" si="225">CA13-BZ13</f>
        <v>-305</v>
      </c>
      <c r="GC13" s="402">
        <f t="shared" ref="GC13:GC20" si="226">GB13/BZ13</f>
        <v>-9.1153616258218773E-2</v>
      </c>
      <c r="GD13" s="315">
        <f t="shared" ref="GD13:GD20" si="227">CB13-CA13</f>
        <v>371</v>
      </c>
      <c r="GE13" s="402">
        <f t="shared" ref="GE13:GE20" si="228">GD13/CA13</f>
        <v>0.12199934232160474</v>
      </c>
      <c r="GF13" s="315">
        <f t="shared" ref="GF13:GF20" si="229">CC13-CB13</f>
        <v>579</v>
      </c>
      <c r="GG13" s="402">
        <f t="shared" ref="GG13:GG20" si="230">GF13/CB13</f>
        <v>0.16969519343493553</v>
      </c>
      <c r="GH13" s="315">
        <f t="shared" ref="GH13:GH20" si="231">CD13-CC13</f>
        <v>-311</v>
      </c>
      <c r="GI13" s="402">
        <f t="shared" ref="GI13:GI20" si="232">GH13/CC13</f>
        <v>-7.7925331996993238E-2</v>
      </c>
      <c r="GJ13" s="315">
        <f t="shared" ref="GJ13:GJ20" si="233">CE13-CD13</f>
        <v>-71</v>
      </c>
      <c r="GK13" s="402">
        <f t="shared" ref="GK13:GK20" si="234">GJ13/CD13</f>
        <v>-1.9293478260869565E-2</v>
      </c>
      <c r="GL13" s="315">
        <f t="shared" ref="GL13:GL20" si="235">CF13-CE13</f>
        <v>42</v>
      </c>
      <c r="GM13" s="402">
        <f t="shared" ref="GM13:GM20" si="236">GL13/CE13</f>
        <v>1.1637572734829594E-2</v>
      </c>
      <c r="GN13" s="315">
        <f t="shared" ref="GN13:GN20" si="237">CG13-CF13</f>
        <v>315</v>
      </c>
      <c r="GO13" s="402">
        <f t="shared" ref="GO13:GO20" si="238">GN13/CF13</f>
        <v>8.6277732128184056E-2</v>
      </c>
      <c r="GP13" s="315">
        <f t="shared" ref="GP13:GP20" si="239">CH13-CG13</f>
        <v>-336</v>
      </c>
      <c r="GQ13" s="402">
        <f t="shared" ref="GQ13:GQ20" si="240">GP13/CG13</f>
        <v>-8.4720121028744322E-2</v>
      </c>
      <c r="GR13" s="315">
        <f t="shared" ref="GR13:GR20" si="241">CI13-CH13</f>
        <v>-448</v>
      </c>
      <c r="GS13" s="402">
        <f t="shared" ref="GS13:GS20" si="242">GR13/CH13</f>
        <v>-0.12341597796143251</v>
      </c>
      <c r="GT13" s="315">
        <f t="shared" ref="GT13:GT20" si="243">CJ13-CI13</f>
        <v>-143</v>
      </c>
      <c r="GU13" s="402">
        <f t="shared" ref="GU13:GU20" si="244">GT13/CI13</f>
        <v>-4.4940289126335638E-2</v>
      </c>
      <c r="GV13" s="315">
        <f t="shared" ref="GV13:GV20" si="245">CK13-CJ13</f>
        <v>279</v>
      </c>
      <c r="GW13" s="402">
        <f t="shared" ref="GW13:GW20" si="246">GV13/CJ13</f>
        <v>9.1806515301085884E-2</v>
      </c>
      <c r="GX13" s="315">
        <f t="shared" ref="GX13:GX20" si="247">CN13-CK13</f>
        <v>-243</v>
      </c>
      <c r="GY13" s="402">
        <f t="shared" ref="GY13:GY20" si="248">GX13/CK13</f>
        <v>-7.3236889692585891E-2</v>
      </c>
      <c r="GZ13" s="315">
        <f t="shared" ref="GZ13:GZ20" si="249">CO13-CN13</f>
        <v>317</v>
      </c>
      <c r="HA13" s="402">
        <f t="shared" ref="HA13:HA20" si="250">GZ13/CN13</f>
        <v>0.10308943089430894</v>
      </c>
      <c r="HB13" s="315">
        <f t="shared" ref="HB13:HB20" si="251">CP13-CO13</f>
        <v>75</v>
      </c>
      <c r="HC13" s="402">
        <f t="shared" ref="HC13:HC20" si="252">HB13/CO13</f>
        <v>2.2110849056603772E-2</v>
      </c>
      <c r="HD13" s="315">
        <f t="shared" ref="HD13:HD20" si="253">CQ13-CP13</f>
        <v>258</v>
      </c>
      <c r="HE13" s="402">
        <f t="shared" ref="HE13:HE20" si="254">HD13/CP13</f>
        <v>7.4415921546005195E-2</v>
      </c>
      <c r="HF13" s="315">
        <f t="shared" ref="HF13:HF20" si="255">CR13-CQ13</f>
        <v>-583</v>
      </c>
      <c r="HG13" s="402">
        <f t="shared" ref="HG13:HG20" si="256">HF13/CQ13</f>
        <v>-0.15651006711409396</v>
      </c>
      <c r="HH13" s="315">
        <f t="shared" ref="HH13:HH20" si="257">CS13-CR13</f>
        <v>-179</v>
      </c>
      <c r="HI13" s="402">
        <f t="shared" ref="HI13:HI20" si="258">HH13/CR13</f>
        <v>-5.6970082749840868E-2</v>
      </c>
      <c r="HJ13" s="315">
        <f t="shared" ref="HJ13:HJ20" si="259">CT13-CS13</f>
        <v>510</v>
      </c>
      <c r="HK13" s="402">
        <f t="shared" ref="HK13:HK20" si="260">HJ13/CS13</f>
        <v>0.17212284846439418</v>
      </c>
      <c r="HL13" s="315">
        <f t="shared" ref="HL13:HL20" si="261">CU13-CT13</f>
        <v>10</v>
      </c>
      <c r="HM13" s="402">
        <f t="shared" ref="HM13:HM20" si="262">HL13/CT13</f>
        <v>2.8793550244745176E-3</v>
      </c>
      <c r="HN13" s="315">
        <f t="shared" ref="HN13:HN20" si="263">CV13-CU13</f>
        <v>-746</v>
      </c>
      <c r="HO13" s="402">
        <f t="shared" ref="HO13:HO20" si="264">HN13/CU13</f>
        <v>-0.2141831754234855</v>
      </c>
      <c r="HP13" s="315">
        <f t="shared" ref="HP13:HP20" si="265">CW13-CV13</f>
        <v>-345</v>
      </c>
      <c r="HQ13" s="402">
        <f t="shared" ref="HQ13:HQ20" si="266">HP13/CV13</f>
        <v>-0.12605042016806722</v>
      </c>
      <c r="HR13" s="315">
        <f t="shared" ref="HR13:HR20" si="267">CX13-CW13</f>
        <v>131</v>
      </c>
      <c r="HS13" s="402">
        <f t="shared" ref="HS13:HS20" si="268">HR13/CW13</f>
        <v>5.4765886287625416E-2</v>
      </c>
      <c r="HT13" s="315">
        <f t="shared" ref="HT13:HT20" si="269">CY13-CX13</f>
        <v>-210</v>
      </c>
      <c r="HU13" s="402">
        <f t="shared" ref="HU13:HU20" si="270">HT13/CX13</f>
        <v>-8.3234244946492272E-2</v>
      </c>
      <c r="HV13" s="315">
        <f t="shared" ref="HV13:HV20" si="271">DB13-CY13</f>
        <v>-50</v>
      </c>
      <c r="HW13" s="402">
        <f t="shared" ref="HW13:HW20" si="272">HV13/CY13</f>
        <v>-2.1616947686986597E-2</v>
      </c>
      <c r="HX13" s="315">
        <f t="shared" ref="HX13:HX20" si="273">DC13-DB13</f>
        <v>146</v>
      </c>
      <c r="HY13" s="402">
        <f t="shared" ref="HY13:HY20" si="274">HX13/DB13</f>
        <v>6.4516129032258063E-2</v>
      </c>
      <c r="HZ13" s="315">
        <f t="shared" ref="HZ13:HZ20" si="275">DD13-DC13</f>
        <v>-506</v>
      </c>
      <c r="IA13" s="402">
        <f t="shared" ref="IA13:IA20" si="276">HZ13/DD13</f>
        <v>-0.26589595375722541</v>
      </c>
      <c r="IB13" s="315">
        <f t="shared" ref="IB13:IB20" si="277">DE13-DD13</f>
        <v>551</v>
      </c>
      <c r="IC13" s="402">
        <f t="shared" ref="IC13:IC20" si="278">IB13/DD13</f>
        <v>0.28954282711508145</v>
      </c>
      <c r="ID13" s="315">
        <f t="shared" ref="ID13:ID20" si="279">DF13-DE13</f>
        <v>-449</v>
      </c>
      <c r="IE13" s="402">
        <f t="shared" ref="IE13:IE20" si="280">ID13/DO13</f>
        <v>-0.18596752816434725</v>
      </c>
      <c r="IF13" s="315">
        <f t="shared" ref="IF13:IF20" si="281">DG13-DF13</f>
        <v>-62</v>
      </c>
      <c r="IG13" s="402">
        <f t="shared" ref="IG13:IG20" si="282">IF13/DF13</f>
        <v>-3.0922693266832918E-2</v>
      </c>
      <c r="IH13" s="315">
        <f t="shared" ref="IH13:IH20" si="283">DH13-DG13</f>
        <v>1361</v>
      </c>
      <c r="II13" s="402">
        <f t="shared" ref="II13:II20" si="284">IH13/DG13</f>
        <v>0.70046320123520334</v>
      </c>
      <c r="IJ13" s="315">
        <f t="shared" ref="IJ13:IJ20" si="285">DI13-DH13</f>
        <v>-310</v>
      </c>
      <c r="IK13" s="402">
        <f t="shared" ref="IK13:IK20" si="286">IJ13/DH13</f>
        <v>-9.3825665859564158E-2</v>
      </c>
      <c r="IL13" s="315">
        <f t="shared" ref="IL13:IL20" si="287">DJ13-DI13</f>
        <v>-530</v>
      </c>
      <c r="IM13" s="402">
        <f t="shared" ref="IM13:IM20" si="288">IL13/DI13</f>
        <v>-0.17702070808283232</v>
      </c>
      <c r="IN13" s="315">
        <f t="shared" ref="IN13:IN20" si="289">DK13-DJ13</f>
        <v>-59</v>
      </c>
      <c r="IO13" s="402">
        <f t="shared" ref="IO13:IO20" si="290">IN13/DJ13</f>
        <v>-2.3944805194805196E-2</v>
      </c>
      <c r="IP13" s="315">
        <f t="shared" ref="IP13:IP20" si="291">DL13-DK13</f>
        <v>-2405</v>
      </c>
      <c r="IQ13" s="402">
        <f t="shared" ref="IQ13:IQ20" si="292">IP13/EI13</f>
        <v>-8821.8711385701681</v>
      </c>
      <c r="IR13" s="315">
        <f t="shared" ref="IR13:IR20" si="293">EK13-EJ13</f>
        <v>-10184.074116089998</v>
      </c>
      <c r="IS13" s="402">
        <f t="shared" ref="IS13:IS20" si="294">IR13/EJ13</f>
        <v>-0.99981092834184149</v>
      </c>
      <c r="IT13" s="23">
        <f t="shared" ref="IT13:IT20" si="295">CW13</f>
        <v>2392</v>
      </c>
      <c r="IU13" s="1056">
        <f t="shared" ref="IU13:IU20" si="296">DK13</f>
        <v>2405</v>
      </c>
      <c r="IV13" s="662">
        <f>IU13-IT13</f>
        <v>13</v>
      </c>
      <c r="IW13" s="109">
        <f t="shared" ref="IW13:IW20" si="297">IF(ISERROR(IV13/IT13),0,IV13/IT13)</f>
        <v>5.434782608695652E-3</v>
      </c>
      <c r="IX13" s="698"/>
      <c r="IY13" s="698"/>
      <c r="IZ13" s="698"/>
      <c r="JA13" t="str">
        <f t="shared" ref="JA13:JA20" si="298">E13</f>
        <v>Number of Calls</v>
      </c>
      <c r="JB13" s="262" t="e">
        <f>#REF!</f>
        <v>#REF!</v>
      </c>
      <c r="JC13" s="262" t="e">
        <f>#REF!</f>
        <v>#REF!</v>
      </c>
      <c r="JD13" s="262" t="e">
        <f>#REF!</f>
        <v>#REF!</v>
      </c>
      <c r="JE13" s="262" t="e">
        <f>#REF!</f>
        <v>#REF!</v>
      </c>
      <c r="JF13" s="262" t="e">
        <f>#REF!</f>
        <v>#REF!</v>
      </c>
      <c r="JG13" s="262" t="e">
        <f>#REF!</f>
        <v>#REF!</v>
      </c>
      <c r="JH13" s="262" t="e">
        <f>#REF!</f>
        <v>#REF!</v>
      </c>
      <c r="JI13" s="262" t="e">
        <f>#REF!</f>
        <v>#REF!</v>
      </c>
      <c r="JJ13" s="262" t="e">
        <f>#REF!</f>
        <v>#REF!</v>
      </c>
      <c r="JK13" s="262" t="e">
        <f>#REF!</f>
        <v>#REF!</v>
      </c>
      <c r="JL13" s="262" t="e">
        <f>#REF!</f>
        <v>#REF!</v>
      </c>
      <c r="JM13" s="263">
        <f t="shared" ref="JM13:JX20" si="299">AJ13</f>
        <v>3691</v>
      </c>
      <c r="JN13" s="263">
        <f t="shared" si="299"/>
        <v>3834</v>
      </c>
      <c r="JO13" s="263">
        <f t="shared" si="299"/>
        <v>3207</v>
      </c>
      <c r="JP13" s="263">
        <f t="shared" si="299"/>
        <v>6645</v>
      </c>
      <c r="JQ13" s="263">
        <f t="shared" si="299"/>
        <v>3734</v>
      </c>
      <c r="JR13" s="263">
        <f t="shared" si="299"/>
        <v>3362</v>
      </c>
      <c r="JS13" s="263">
        <f t="shared" si="299"/>
        <v>4341</v>
      </c>
      <c r="JT13" s="263">
        <f t="shared" si="299"/>
        <v>4075</v>
      </c>
      <c r="JU13" s="263">
        <f t="shared" si="299"/>
        <v>3500</v>
      </c>
      <c r="JV13" s="263">
        <f t="shared" si="299"/>
        <v>3784</v>
      </c>
      <c r="JW13" s="263">
        <f t="shared" si="299"/>
        <v>5608</v>
      </c>
      <c r="JX13" s="263">
        <f t="shared" si="299"/>
        <v>3875</v>
      </c>
      <c r="JY13" s="263">
        <f t="shared" ref="JY13:KJ20" si="300">AX13</f>
        <v>4291</v>
      </c>
      <c r="JZ13" s="263">
        <f t="shared" si="300"/>
        <v>4156</v>
      </c>
      <c r="KA13" s="263">
        <f t="shared" si="300"/>
        <v>5289</v>
      </c>
      <c r="KB13" s="263">
        <f t="shared" si="300"/>
        <v>15475</v>
      </c>
      <c r="KC13" s="263">
        <f t="shared" si="300"/>
        <v>6437</v>
      </c>
      <c r="KD13" s="263">
        <f t="shared" si="300"/>
        <v>5379</v>
      </c>
      <c r="KE13" s="263">
        <f t="shared" si="300"/>
        <v>5911</v>
      </c>
      <c r="KF13" s="263">
        <f t="shared" si="300"/>
        <v>4150</v>
      </c>
      <c r="KG13" s="263">
        <f t="shared" si="300"/>
        <v>3916</v>
      </c>
      <c r="KH13" s="263">
        <f t="shared" si="300"/>
        <v>3707</v>
      </c>
      <c r="KI13" s="263">
        <f t="shared" si="300"/>
        <v>3533</v>
      </c>
      <c r="KJ13" s="263">
        <f t="shared" si="300"/>
        <v>3726</v>
      </c>
      <c r="KK13" s="788">
        <f t="shared" ref="KK13:KV20" si="301">BL13</f>
        <v>4001</v>
      </c>
      <c r="KL13" s="788">
        <f t="shared" si="301"/>
        <v>3759</v>
      </c>
      <c r="KM13" s="788">
        <f t="shared" si="301"/>
        <v>4220</v>
      </c>
      <c r="KN13" s="788">
        <f t="shared" si="301"/>
        <v>11614</v>
      </c>
      <c r="KO13" s="788">
        <f t="shared" si="301"/>
        <v>3720</v>
      </c>
      <c r="KP13" s="788">
        <f t="shared" si="301"/>
        <v>3916</v>
      </c>
      <c r="KQ13" s="788">
        <f t="shared" si="301"/>
        <v>5001</v>
      </c>
      <c r="KR13" s="788">
        <f t="shared" si="301"/>
        <v>3916</v>
      </c>
      <c r="KS13" s="788">
        <f t="shared" si="301"/>
        <v>4232</v>
      </c>
      <c r="KT13" s="788">
        <f t="shared" si="301"/>
        <v>4958</v>
      </c>
      <c r="KU13" s="788">
        <f t="shared" si="301"/>
        <v>3507</v>
      </c>
      <c r="KV13" s="788">
        <f t="shared" si="301"/>
        <v>3520</v>
      </c>
      <c r="KW13" s="900">
        <f t="shared" ref="KW13:LH20" si="302">BZ13</f>
        <v>3346</v>
      </c>
      <c r="KX13" s="900">
        <f t="shared" si="302"/>
        <v>3041</v>
      </c>
      <c r="KY13" s="900">
        <f t="shared" si="302"/>
        <v>3412</v>
      </c>
      <c r="KZ13" s="900">
        <f t="shared" si="302"/>
        <v>3991</v>
      </c>
      <c r="LA13" s="900">
        <f t="shared" si="302"/>
        <v>3680</v>
      </c>
      <c r="LB13" s="900">
        <f t="shared" si="302"/>
        <v>3609</v>
      </c>
      <c r="LC13" s="900">
        <f t="shared" si="302"/>
        <v>3651</v>
      </c>
      <c r="LD13" s="900">
        <f t="shared" si="302"/>
        <v>3966</v>
      </c>
      <c r="LE13" s="900">
        <f t="shared" si="302"/>
        <v>3630</v>
      </c>
      <c r="LF13" s="900">
        <f t="shared" si="302"/>
        <v>3182</v>
      </c>
      <c r="LG13" s="900">
        <f t="shared" si="302"/>
        <v>3039</v>
      </c>
      <c r="LH13" s="900">
        <f t="shared" si="302"/>
        <v>3318</v>
      </c>
      <c r="LI13" s="959">
        <f t="shared" ref="LI13:LT20" si="303">CN13</f>
        <v>3075</v>
      </c>
      <c r="LJ13" s="959">
        <f t="shared" si="303"/>
        <v>3392</v>
      </c>
      <c r="LK13" s="959">
        <f t="shared" si="303"/>
        <v>3467</v>
      </c>
      <c r="LL13" s="959">
        <f t="shared" si="303"/>
        <v>3725</v>
      </c>
      <c r="LM13" s="959">
        <f t="shared" si="303"/>
        <v>3142</v>
      </c>
      <c r="LN13" s="959">
        <f t="shared" si="303"/>
        <v>2963</v>
      </c>
      <c r="LO13" s="959">
        <f t="shared" si="303"/>
        <v>3473</v>
      </c>
      <c r="LP13" s="959">
        <f t="shared" si="303"/>
        <v>3483</v>
      </c>
      <c r="LQ13" s="959">
        <f t="shared" si="303"/>
        <v>2737</v>
      </c>
      <c r="LR13" s="959">
        <f t="shared" si="303"/>
        <v>2392</v>
      </c>
      <c r="LS13" s="959">
        <f t="shared" si="303"/>
        <v>2523</v>
      </c>
      <c r="LT13" s="959">
        <f t="shared" si="303"/>
        <v>2313</v>
      </c>
      <c r="LU13" s="1155">
        <f t="shared" ref="LU13:MF20" si="304">DB13</f>
        <v>2263</v>
      </c>
      <c r="LV13" s="1155">
        <f t="shared" si="304"/>
        <v>2409</v>
      </c>
      <c r="LW13" s="1155">
        <f t="shared" si="304"/>
        <v>1903</v>
      </c>
      <c r="LX13" s="1155">
        <f t="shared" si="304"/>
        <v>2454</v>
      </c>
      <c r="LY13" s="1155">
        <f t="shared" si="304"/>
        <v>2005</v>
      </c>
      <c r="LZ13" s="1155">
        <f t="shared" si="304"/>
        <v>1943</v>
      </c>
      <c r="MA13" s="1155">
        <f t="shared" si="304"/>
        <v>3304</v>
      </c>
      <c r="MB13" s="1155">
        <f t="shared" si="304"/>
        <v>2994</v>
      </c>
      <c r="MC13" s="1155">
        <f t="shared" si="304"/>
        <v>2464</v>
      </c>
      <c r="MD13" s="1155">
        <f t="shared" si="304"/>
        <v>2405</v>
      </c>
      <c r="ME13" s="1155">
        <f t="shared" si="304"/>
        <v>0</v>
      </c>
      <c r="MF13" s="1155">
        <f t="shared" si="304"/>
        <v>0</v>
      </c>
      <c r="MG13" s="1177">
        <f t="shared" ref="MG13:MP20" si="305">DP13</f>
        <v>0</v>
      </c>
      <c r="MH13" s="1177">
        <f t="shared" si="305"/>
        <v>0</v>
      </c>
      <c r="MI13" s="1177">
        <f t="shared" si="305"/>
        <v>0</v>
      </c>
      <c r="MJ13" s="1177">
        <f t="shared" si="305"/>
        <v>0</v>
      </c>
      <c r="MK13" s="1177">
        <f t="shared" si="305"/>
        <v>0</v>
      </c>
      <c r="ML13" s="1177">
        <f t="shared" si="305"/>
        <v>0</v>
      </c>
      <c r="MM13" s="1177">
        <f t="shared" si="305"/>
        <v>0</v>
      </c>
      <c r="MN13" s="1177">
        <f t="shared" si="305"/>
        <v>0</v>
      </c>
      <c r="MO13" s="1177">
        <f t="shared" si="305"/>
        <v>0</v>
      </c>
      <c r="MP13" s="1177">
        <f t="shared" si="305"/>
        <v>0</v>
      </c>
      <c r="MQ13" s="1177">
        <f t="shared" ref="MQ13:MR20" si="306">DZ13</f>
        <v>0</v>
      </c>
      <c r="MR13" s="1177">
        <f t="shared" si="306"/>
        <v>0</v>
      </c>
    </row>
    <row r="14" spans="1:356" x14ac:dyDescent="0.25">
      <c r="A14" s="764"/>
      <c r="B14" s="56">
        <v>2.2000000000000002</v>
      </c>
      <c r="C14" s="13"/>
      <c r="D14" s="13"/>
      <c r="E14" s="1215" t="s">
        <v>32</v>
      </c>
      <c r="F14" s="1215"/>
      <c r="G14" s="1216"/>
      <c r="H14" s="369">
        <v>221.14285714285714</v>
      </c>
      <c r="I14" s="79">
        <v>191.45454545454547</v>
      </c>
      <c r="J14" s="80">
        <v>191.22727272727272</v>
      </c>
      <c r="K14" s="79">
        <v>253.9047619047619</v>
      </c>
      <c r="L14" s="80">
        <v>219.89473684210526</v>
      </c>
      <c r="M14" s="79">
        <v>227.26315789473685</v>
      </c>
      <c r="N14" s="80">
        <v>244.05</v>
      </c>
      <c r="O14" s="79">
        <v>235.9</v>
      </c>
      <c r="P14" s="80">
        <v>178.91304347826087</v>
      </c>
      <c r="Q14" s="79">
        <v>184.42105263157896</v>
      </c>
      <c r="R14" s="80">
        <v>220.0952380952381</v>
      </c>
      <c r="S14" s="79">
        <v>204.27272727272728</v>
      </c>
      <c r="T14" s="131" t="s">
        <v>29</v>
      </c>
      <c r="U14" s="163">
        <v>214.37828278700704</v>
      </c>
      <c r="V14" s="369">
        <f>V13/V3</f>
        <v>196.85</v>
      </c>
      <c r="W14" s="79">
        <f>W13/W3</f>
        <v>172.13043478260869</v>
      </c>
      <c r="X14" s="80">
        <f>X13/X3</f>
        <v>164.23809523809524</v>
      </c>
      <c r="Y14" s="79">
        <f>Y13/Y3</f>
        <v>205.76190476190476</v>
      </c>
      <c r="Z14" s="80">
        <v>185.73684210526315</v>
      </c>
      <c r="AA14" s="79">
        <v>192.21052631578948</v>
      </c>
      <c r="AB14" s="80">
        <v>216.9</v>
      </c>
      <c r="AC14" s="79">
        <v>193.8095238095238</v>
      </c>
      <c r="AD14" s="80">
        <v>201.54545454545453</v>
      </c>
      <c r="AE14" s="79">
        <v>179.8</v>
      </c>
      <c r="AF14" s="80">
        <v>146.82608695652175</v>
      </c>
      <c r="AG14" s="79">
        <v>153.14285714285714</v>
      </c>
      <c r="AH14" s="131" t="s">
        <v>29</v>
      </c>
      <c r="AI14" s="163">
        <v>184.07931047150157</v>
      </c>
      <c r="AJ14" s="369">
        <f t="shared" ref="AJ14:AU14" si="307">AJ13/AJ3</f>
        <v>167.77272727272728</v>
      </c>
      <c r="AK14" s="79">
        <f t="shared" si="307"/>
        <v>166.69565217391303</v>
      </c>
      <c r="AL14" s="80">
        <f t="shared" si="307"/>
        <v>160.35</v>
      </c>
      <c r="AM14" s="79">
        <f t="shared" si="307"/>
        <v>288.91304347826087</v>
      </c>
      <c r="AN14" s="80">
        <f t="shared" si="307"/>
        <v>196.52631578947367</v>
      </c>
      <c r="AO14" s="79">
        <f t="shared" si="307"/>
        <v>186.77777777777777</v>
      </c>
      <c r="AP14" s="80">
        <f t="shared" si="307"/>
        <v>206.71428571428572</v>
      </c>
      <c r="AQ14" s="79">
        <f t="shared" si="307"/>
        <v>203.75</v>
      </c>
      <c r="AR14" s="80">
        <f t="shared" si="307"/>
        <v>175</v>
      </c>
      <c r="AS14" s="79">
        <f t="shared" si="307"/>
        <v>172</v>
      </c>
      <c r="AT14" s="80">
        <f t="shared" si="307"/>
        <v>254.90909090909091</v>
      </c>
      <c r="AU14" s="79">
        <f t="shared" si="307"/>
        <v>193.75</v>
      </c>
      <c r="AV14" s="131" t="s">
        <v>29</v>
      </c>
      <c r="AW14" s="163">
        <f t="shared" si="168"/>
        <v>197.76324109296078</v>
      </c>
      <c r="AX14" s="369">
        <f t="shared" ref="AX14:BH14" si="308">AX13/AX3</f>
        <v>195.04545454545453</v>
      </c>
      <c r="AY14" s="79">
        <f t="shared" si="308"/>
        <v>188.90909090909091</v>
      </c>
      <c r="AZ14" s="80">
        <f t="shared" si="308"/>
        <v>264.45</v>
      </c>
      <c r="BA14" s="79">
        <f t="shared" si="308"/>
        <v>672.82608695652175</v>
      </c>
      <c r="BB14" s="80">
        <f t="shared" si="308"/>
        <v>357.61111111111109</v>
      </c>
      <c r="BC14" s="79">
        <f t="shared" si="308"/>
        <v>283.10526315789474</v>
      </c>
      <c r="BD14" s="80">
        <f t="shared" si="308"/>
        <v>281.47619047619048</v>
      </c>
      <c r="BE14" s="79">
        <f t="shared" si="308"/>
        <v>207.5</v>
      </c>
      <c r="BF14" s="80">
        <f t="shared" si="308"/>
        <v>186.47619047619048</v>
      </c>
      <c r="BG14" s="79">
        <f t="shared" si="308"/>
        <v>176.52380952380952</v>
      </c>
      <c r="BH14" s="80">
        <f t="shared" si="308"/>
        <v>160.59090909090909</v>
      </c>
      <c r="BI14" s="79">
        <f t="shared" ref="BI14" si="309">BI13/BI3</f>
        <v>177.42857142857142</v>
      </c>
      <c r="BJ14" s="131" t="s">
        <v>29</v>
      </c>
      <c r="BK14" s="163">
        <f t="shared" si="169"/>
        <v>262.66188980631199</v>
      </c>
      <c r="BL14" s="369">
        <f t="shared" ref="BL14:BU14" si="310">BL13/BL3</f>
        <v>181.86363636363637</v>
      </c>
      <c r="BM14" s="79">
        <f t="shared" ref="BM14:BN14" si="311">BM13/BM3</f>
        <v>179</v>
      </c>
      <c r="BN14" s="80">
        <f t="shared" si="311"/>
        <v>200.95238095238096</v>
      </c>
      <c r="BO14" s="79">
        <f t="shared" si="310"/>
        <v>504.95652173913044</v>
      </c>
      <c r="BP14" s="80">
        <f t="shared" si="310"/>
        <v>218.8235294117647</v>
      </c>
      <c r="BQ14" s="79">
        <f t="shared" ref="BQ14:BR14" si="312">BQ13/BQ3</f>
        <v>195.8</v>
      </c>
      <c r="BR14" s="80">
        <f t="shared" si="312"/>
        <v>250.05</v>
      </c>
      <c r="BS14" s="79">
        <f t="shared" si="310"/>
        <v>195.8</v>
      </c>
      <c r="BT14" s="80">
        <f t="shared" ref="BT14" si="313">BT13/BT3</f>
        <v>192.36363636363637</v>
      </c>
      <c r="BU14" s="80">
        <f t="shared" si="310"/>
        <v>236.0952380952381</v>
      </c>
      <c r="BV14" s="80">
        <f t="shared" ref="BV14:BW14" si="314">BV13/BV3</f>
        <v>175.35</v>
      </c>
      <c r="BW14" s="80">
        <f t="shared" si="314"/>
        <v>160</v>
      </c>
      <c r="BX14" s="131" t="s">
        <v>29</v>
      </c>
      <c r="BY14" s="163">
        <f t="shared" si="170"/>
        <v>224.25457857714889</v>
      </c>
      <c r="BZ14" s="80">
        <f t="shared" ref="BZ14:CA14" si="315">BZ13/BZ3</f>
        <v>152.09090909090909</v>
      </c>
      <c r="CA14" s="79">
        <f t="shared" si="315"/>
        <v>144.8095238095238</v>
      </c>
      <c r="CB14" s="80">
        <f t="shared" ref="CB14:CC14" si="316">CB13/CB3</f>
        <v>162.47619047619048</v>
      </c>
      <c r="CC14" s="79">
        <f t="shared" si="316"/>
        <v>181.40909090909091</v>
      </c>
      <c r="CD14" s="80">
        <f t="shared" ref="CD14:CE14" si="317">CD13/CD3</f>
        <v>204.44444444444446</v>
      </c>
      <c r="CE14" s="79">
        <f t="shared" si="317"/>
        <v>180.45</v>
      </c>
      <c r="CF14" s="80">
        <f t="shared" ref="CF14:CG14" si="318">CF13/CF3</f>
        <v>192.15789473684211</v>
      </c>
      <c r="CG14" s="79">
        <f t="shared" si="318"/>
        <v>188.85714285714286</v>
      </c>
      <c r="CH14" s="80">
        <f t="shared" ref="CH14:CI14" si="319">CH13/CH3</f>
        <v>165</v>
      </c>
      <c r="CI14" s="80">
        <f t="shared" si="319"/>
        <v>151.52380952380952</v>
      </c>
      <c r="CJ14" s="80">
        <f t="shared" ref="CJ14:CK14" si="320">CJ13/CJ3</f>
        <v>144.71428571428572</v>
      </c>
      <c r="CK14" s="80">
        <f t="shared" si="320"/>
        <v>150.81818181818181</v>
      </c>
      <c r="CL14" s="131" t="s">
        <v>29</v>
      </c>
      <c r="CM14" s="163">
        <f t="shared" si="171"/>
        <v>168.22928944836841</v>
      </c>
      <c r="CN14" s="80">
        <f t="shared" ref="CN14:CO14" si="321">CN13/CN3</f>
        <v>153.75</v>
      </c>
      <c r="CO14" s="79">
        <f t="shared" si="321"/>
        <v>147.47826086956522</v>
      </c>
      <c r="CP14" s="1011">
        <f t="shared" ref="CP14:CQ14" si="322">CP13/CP3</f>
        <v>165.0952380952381</v>
      </c>
      <c r="CQ14" s="1012">
        <f t="shared" si="322"/>
        <v>177.38095238095238</v>
      </c>
      <c r="CR14" s="80">
        <f t="shared" ref="CR14:CS14" si="323">CR13/CR3</f>
        <v>165.36842105263159</v>
      </c>
      <c r="CS14" s="79">
        <f t="shared" si="323"/>
        <v>155.94736842105263</v>
      </c>
      <c r="CT14" s="208">
        <f t="shared" ref="CT14:CU14" si="324">CT13/CT3</f>
        <v>173.65</v>
      </c>
      <c r="CU14" s="79">
        <f t="shared" si="324"/>
        <v>174.15</v>
      </c>
      <c r="CV14" s="80">
        <f t="shared" ref="CV14:CW14" si="325">CV13/CV3</f>
        <v>119</v>
      </c>
      <c r="CW14" s="1092">
        <f t="shared" si="325"/>
        <v>125.89473684210526</v>
      </c>
      <c r="CX14" s="80">
        <f t="shared" ref="CX14:CY14" si="326">CX13/CX3</f>
        <v>114.68181818181819</v>
      </c>
      <c r="CY14" s="79">
        <f t="shared" si="326"/>
        <v>105.13636363636364</v>
      </c>
      <c r="CZ14" s="131" t="s">
        <v>29</v>
      </c>
      <c r="DA14" s="163">
        <f t="shared" si="172"/>
        <v>148.12776328997725</v>
      </c>
      <c r="DB14" s="80">
        <f t="shared" ref="DB14:DD14" si="327">DB13/DB3</f>
        <v>113.15</v>
      </c>
      <c r="DC14" s="79">
        <f t="shared" si="327"/>
        <v>104.73913043478261</v>
      </c>
      <c r="DD14" s="80">
        <f t="shared" si="327"/>
        <v>95.15</v>
      </c>
      <c r="DE14" s="1012">
        <f t="shared" ref="DE14:DF14" si="328">DE13/DE3</f>
        <v>111.54545454545455</v>
      </c>
      <c r="DF14" s="80">
        <f t="shared" si="328"/>
        <v>105.52631578947368</v>
      </c>
      <c r="DG14" s="79">
        <f t="shared" ref="DG14:DH14" si="329">DG13/DG3</f>
        <v>107.94444444444444</v>
      </c>
      <c r="DH14" s="208">
        <f t="shared" si="329"/>
        <v>157.33333333333334</v>
      </c>
      <c r="DI14" s="79">
        <f t="shared" ref="DI14" si="330">DI13/DI3</f>
        <v>149.69999999999999</v>
      </c>
      <c r="DJ14" s="1011">
        <f t="shared" ref="DJ14:DK14" si="331">DJ13/DJ3</f>
        <v>117.33333333333333</v>
      </c>
      <c r="DK14" s="1012">
        <f t="shared" si="331"/>
        <v>114.52380952380952</v>
      </c>
      <c r="DL14" s="1011"/>
      <c r="DM14" s="1012"/>
      <c r="DN14" s="131" t="s">
        <v>29</v>
      </c>
      <c r="DO14" s="163">
        <f t="shared" si="173"/>
        <v>117.69458214046313</v>
      </c>
      <c r="DP14" s="80"/>
      <c r="DQ14" s="79"/>
      <c r="DR14" s="80"/>
      <c r="DS14" s="1012"/>
      <c r="DT14" s="80"/>
      <c r="DU14" s="79"/>
      <c r="DV14" s="208"/>
      <c r="DW14" s="79"/>
      <c r="DX14" s="1011"/>
      <c r="DY14" s="79"/>
      <c r="DZ14" s="80"/>
      <c r="EA14" s="79"/>
      <c r="EB14" s="131" t="s">
        <v>29</v>
      </c>
      <c r="EC14" s="163" t="e">
        <f t="shared" si="174"/>
        <v>#DIV/0!</v>
      </c>
      <c r="ED14" s="662">
        <f t="shared" si="175"/>
        <v>1.2954545454545325</v>
      </c>
      <c r="EE14" s="663">
        <f t="shared" si="176"/>
        <v>6.6862170087975872E-3</v>
      </c>
      <c r="EF14" s="662">
        <f t="shared" si="177"/>
        <v>-6.136363636363626</v>
      </c>
      <c r="EG14" s="663">
        <f t="shared" si="178"/>
        <v>-3.1461197855977577E-2</v>
      </c>
      <c r="EH14" s="662">
        <f t="shared" si="179"/>
        <v>75.540909090909082</v>
      </c>
      <c r="EI14" s="663">
        <f t="shared" si="180"/>
        <v>0.39987969201154955</v>
      </c>
      <c r="EJ14" s="662">
        <f t="shared" si="181"/>
        <v>408.37608695652176</v>
      </c>
      <c r="EK14" s="663">
        <f t="shared" si="182"/>
        <v>1.5442468782625138</v>
      </c>
      <c r="EL14" s="662">
        <f t="shared" si="183"/>
        <v>-315.21497584541066</v>
      </c>
      <c r="EM14" s="663">
        <f t="shared" si="184"/>
        <v>-0.46849398671692699</v>
      </c>
      <c r="EN14" s="662">
        <f t="shared" si="185"/>
        <v>-74.505847953216346</v>
      </c>
      <c r="EO14" s="663">
        <f t="shared" si="186"/>
        <v>-0.20834321316729754</v>
      </c>
      <c r="EP14" s="662">
        <f t="shared" si="187"/>
        <v>-1.6290726817042582</v>
      </c>
      <c r="EQ14" s="663">
        <f t="shared" si="188"/>
        <v>-5.7543002328278312E-3</v>
      </c>
      <c r="ER14" s="662">
        <f t="shared" si="189"/>
        <v>-73.976190476190482</v>
      </c>
      <c r="ES14" s="663">
        <f t="shared" si="190"/>
        <v>-0.26281509050922014</v>
      </c>
      <c r="ET14" s="662">
        <f t="shared" si="191"/>
        <v>-21.023809523809518</v>
      </c>
      <c r="EU14" s="663">
        <f t="shared" si="192"/>
        <v>-0.10131956397016635</v>
      </c>
      <c r="EV14" s="662">
        <f t="shared" si="193"/>
        <v>-9.9523809523809632</v>
      </c>
      <c r="EW14" s="109">
        <f t="shared" si="194"/>
        <v>-5.3370786516853987E-2</v>
      </c>
      <c r="EX14" s="662">
        <f t="shared" si="195"/>
        <v>-15.932900432900425</v>
      </c>
      <c r="EY14" s="663">
        <f t="shared" si="196"/>
        <v>-9.0259214753414876E-2</v>
      </c>
      <c r="EZ14" s="662">
        <f t="shared" si="197"/>
        <v>16.837662337662323</v>
      </c>
      <c r="FA14" s="663">
        <f t="shared" si="198"/>
        <v>0.10484816626905494</v>
      </c>
      <c r="FB14" s="662">
        <f t="shared" si="199"/>
        <v>4.4350649350649576</v>
      </c>
      <c r="FC14" s="663">
        <f t="shared" si="200"/>
        <v>2.4996340213731646E-2</v>
      </c>
      <c r="FD14" s="315">
        <f t="shared" si="201"/>
        <v>-2.863636363636374</v>
      </c>
      <c r="FE14" s="402">
        <f t="shared" si="202"/>
        <v>-1.5746063484129023E-2</v>
      </c>
      <c r="FF14" s="315">
        <f t="shared" si="203"/>
        <v>21.952380952380963</v>
      </c>
      <c r="FG14" s="402">
        <f t="shared" si="204"/>
        <v>0.12263899973397187</v>
      </c>
      <c r="FH14" s="315">
        <f t="shared" si="205"/>
        <v>304.00414078674947</v>
      </c>
      <c r="FI14" s="402">
        <f t="shared" si="206"/>
        <v>1.5128168143416443</v>
      </c>
      <c r="FJ14" s="315">
        <f t="shared" si="207"/>
        <v>-286.13299232736574</v>
      </c>
      <c r="FK14" s="402">
        <f t="shared" si="208"/>
        <v>-0.56664877075335041</v>
      </c>
      <c r="FL14" s="315">
        <f t="shared" si="209"/>
        <v>-23.023529411764684</v>
      </c>
      <c r="FM14" s="402">
        <f t="shared" si="210"/>
        <v>-0.10521505376344077</v>
      </c>
      <c r="FN14" s="315">
        <f t="shared" si="211"/>
        <v>54.25</v>
      </c>
      <c r="FO14" s="402">
        <f t="shared" si="212"/>
        <v>0.27706843718079671</v>
      </c>
      <c r="FP14" s="315">
        <f t="shared" si="213"/>
        <v>-54.25</v>
      </c>
      <c r="FQ14" s="402">
        <f t="shared" si="214"/>
        <v>-0.21695660867826433</v>
      </c>
      <c r="FR14" s="315">
        <f t="shared" si="215"/>
        <v>-3.4363636363636374</v>
      </c>
      <c r="FS14" s="402">
        <f t="shared" si="216"/>
        <v>-1.7550376079487423E-2</v>
      </c>
      <c r="FT14" s="315">
        <f t="shared" si="217"/>
        <v>43.731601731601728</v>
      </c>
      <c r="FU14" s="402">
        <f t="shared" si="218"/>
        <v>0.22733819425690879</v>
      </c>
      <c r="FV14" s="315">
        <f t="shared" si="219"/>
        <v>-60.745238095238108</v>
      </c>
      <c r="FW14" s="402">
        <f t="shared" si="220"/>
        <v>-0.25729124647035101</v>
      </c>
      <c r="FX14" s="315">
        <f t="shared" si="221"/>
        <v>-15.349999999999994</v>
      </c>
      <c r="FY14" s="402">
        <f t="shared" si="222"/>
        <v>-8.7539207299686311E-2</v>
      </c>
      <c r="FZ14" s="315">
        <f t="shared" si="223"/>
        <v>-7.9090909090909065</v>
      </c>
      <c r="GA14" s="402">
        <f t="shared" si="224"/>
        <v>-4.9431818181818167E-2</v>
      </c>
      <c r="GB14" s="315">
        <f t="shared" si="225"/>
        <v>-7.2813852813852975</v>
      </c>
      <c r="GC14" s="402">
        <f t="shared" si="226"/>
        <v>-4.7875217032419766E-2</v>
      </c>
      <c r="GD14" s="315">
        <f t="shared" si="227"/>
        <v>17.666666666666686</v>
      </c>
      <c r="GE14" s="402">
        <f t="shared" si="228"/>
        <v>0.12199934232160488</v>
      </c>
      <c r="GF14" s="315">
        <f t="shared" si="229"/>
        <v>18.932900432900425</v>
      </c>
      <c r="GG14" s="402">
        <f t="shared" si="230"/>
        <v>0.11652723009698385</v>
      </c>
      <c r="GH14" s="315">
        <f t="shared" si="231"/>
        <v>23.035353535353551</v>
      </c>
      <c r="GI14" s="402">
        <f t="shared" si="232"/>
        <v>0.12698014978145281</v>
      </c>
      <c r="GJ14" s="315">
        <f t="shared" si="233"/>
        <v>-23.994444444444468</v>
      </c>
      <c r="GK14" s="402">
        <f t="shared" si="234"/>
        <v>-0.11736413043478272</v>
      </c>
      <c r="GL14" s="315">
        <f t="shared" si="235"/>
        <v>11.707894736842121</v>
      </c>
      <c r="GM14" s="402">
        <f t="shared" si="236"/>
        <v>6.4881655510347025E-2</v>
      </c>
      <c r="GN14" s="315">
        <f t="shared" si="237"/>
        <v>-3.3007518796992485</v>
      </c>
      <c r="GO14" s="402">
        <f t="shared" si="238"/>
        <v>-1.7177289979262045E-2</v>
      </c>
      <c r="GP14" s="315">
        <f t="shared" si="239"/>
        <v>-23.857142857142861</v>
      </c>
      <c r="GQ14" s="402">
        <f t="shared" si="240"/>
        <v>-0.12632375189107414</v>
      </c>
      <c r="GR14" s="315">
        <f t="shared" si="241"/>
        <v>-13.476190476190482</v>
      </c>
      <c r="GS14" s="402">
        <f t="shared" si="242"/>
        <v>-8.1673881673881704E-2</v>
      </c>
      <c r="GT14" s="315">
        <f t="shared" si="243"/>
        <v>-6.809523809523796</v>
      </c>
      <c r="GU14" s="402">
        <f t="shared" si="244"/>
        <v>-4.4940289126335548E-2</v>
      </c>
      <c r="GV14" s="315">
        <f t="shared" si="245"/>
        <v>6.1038961038960906</v>
      </c>
      <c r="GW14" s="402">
        <f t="shared" si="246"/>
        <v>4.2178946423763707E-2</v>
      </c>
      <c r="GX14" s="315">
        <f t="shared" si="247"/>
        <v>2.931818181818187</v>
      </c>
      <c r="GY14" s="402">
        <f t="shared" si="248"/>
        <v>1.9439421338155551E-2</v>
      </c>
      <c r="GZ14" s="315">
        <f t="shared" si="249"/>
        <v>-6.2717391304347814</v>
      </c>
      <c r="HA14" s="402">
        <f t="shared" si="250"/>
        <v>-4.0791799222340039E-2</v>
      </c>
      <c r="HB14" s="315">
        <f t="shared" si="251"/>
        <v>17.616977225672883</v>
      </c>
      <c r="HC14" s="402">
        <f t="shared" si="252"/>
        <v>0.11945473944294703</v>
      </c>
      <c r="HD14" s="315">
        <f t="shared" si="253"/>
        <v>12.285714285714278</v>
      </c>
      <c r="HE14" s="402">
        <f t="shared" si="254"/>
        <v>7.441592154600514E-2</v>
      </c>
      <c r="HF14" s="315">
        <f t="shared" si="255"/>
        <v>-12.01253132832079</v>
      </c>
      <c r="HG14" s="402">
        <f t="shared" si="256"/>
        <v>-6.7721653126103787E-2</v>
      </c>
      <c r="HH14" s="315">
        <f t="shared" si="257"/>
        <v>-9.4210526315789593</v>
      </c>
      <c r="HI14" s="402">
        <f t="shared" si="258"/>
        <v>-5.6970082749840938E-2</v>
      </c>
      <c r="HJ14" s="315">
        <f t="shared" si="259"/>
        <v>17.702631578947376</v>
      </c>
      <c r="HK14" s="402">
        <f t="shared" si="260"/>
        <v>0.11351670604117453</v>
      </c>
      <c r="HL14" s="315">
        <f t="shared" si="261"/>
        <v>0.5</v>
      </c>
      <c r="HM14" s="402">
        <f t="shared" si="262"/>
        <v>2.8793550244745176E-3</v>
      </c>
      <c r="HN14" s="315">
        <f t="shared" si="263"/>
        <v>-55.150000000000006</v>
      </c>
      <c r="HO14" s="402">
        <f t="shared" si="264"/>
        <v>-0.3166810221073787</v>
      </c>
      <c r="HP14" s="315">
        <f t="shared" si="265"/>
        <v>6.8947368421052602</v>
      </c>
      <c r="HQ14" s="402">
        <f t="shared" si="266"/>
        <v>5.7938965059708067E-2</v>
      </c>
      <c r="HR14" s="315">
        <f t="shared" si="267"/>
        <v>-11.212918660287073</v>
      </c>
      <c r="HS14" s="402">
        <f t="shared" si="268"/>
        <v>-8.906582547886889E-2</v>
      </c>
      <c r="HT14" s="315">
        <f t="shared" si="269"/>
        <v>-9.5454545454545467</v>
      </c>
      <c r="HU14" s="402">
        <f t="shared" si="270"/>
        <v>-8.3234244946492272E-2</v>
      </c>
      <c r="HV14" s="315">
        <f t="shared" si="271"/>
        <v>8.0136363636363654</v>
      </c>
      <c r="HW14" s="402">
        <f t="shared" si="272"/>
        <v>7.6221357544314763E-2</v>
      </c>
      <c r="HX14" s="315">
        <f t="shared" si="273"/>
        <v>-8.4108695652173964</v>
      </c>
      <c r="HY14" s="402">
        <f t="shared" si="274"/>
        <v>-7.4333800841514766E-2</v>
      </c>
      <c r="HZ14" s="315">
        <f t="shared" si="275"/>
        <v>-9.5891304347826036</v>
      </c>
      <c r="IA14" s="402">
        <f t="shared" si="276"/>
        <v>-0.10077909022367423</v>
      </c>
      <c r="IB14" s="315">
        <f t="shared" si="277"/>
        <v>16.395454545454541</v>
      </c>
      <c r="IC14" s="402">
        <f t="shared" si="278"/>
        <v>0.17231166101371034</v>
      </c>
      <c r="ID14" s="315">
        <f t="shared" si="279"/>
        <v>-6.0191387559808618</v>
      </c>
      <c r="IE14" s="402">
        <f t="shared" si="280"/>
        <v>-5.114202069894172E-2</v>
      </c>
      <c r="IF14" s="315">
        <f t="shared" si="281"/>
        <v>2.4181286549707579</v>
      </c>
      <c r="IG14" s="402">
        <f t="shared" si="282"/>
        <v>2.2914934885009675E-2</v>
      </c>
      <c r="IH14" s="315">
        <f t="shared" si="283"/>
        <v>49.3888888888889</v>
      </c>
      <c r="II14" s="402">
        <f t="shared" si="284"/>
        <v>0.45753988677303148</v>
      </c>
      <c r="IJ14" s="315">
        <f t="shared" si="285"/>
        <v>-7.6333333333333542</v>
      </c>
      <c r="IK14" s="402">
        <f t="shared" si="286"/>
        <v>-4.8516949152542503E-2</v>
      </c>
      <c r="IL14" s="315">
        <f t="shared" si="287"/>
        <v>-32.36666666666666</v>
      </c>
      <c r="IM14" s="402">
        <f t="shared" si="288"/>
        <v>-0.21621019817412601</v>
      </c>
      <c r="IN14" s="315">
        <f t="shared" si="289"/>
        <v>-2.8095238095238102</v>
      </c>
      <c r="IO14" s="402">
        <f t="shared" si="290"/>
        <v>-2.3944805194805203E-2</v>
      </c>
      <c r="IP14" s="315">
        <f t="shared" si="291"/>
        <v>-114.52380952380952</v>
      </c>
      <c r="IQ14" s="402">
        <f t="shared" si="292"/>
        <v>-286.3956630248224</v>
      </c>
      <c r="IR14" s="315">
        <f t="shared" si="293"/>
        <v>-406.83184007825923</v>
      </c>
      <c r="IS14" s="402">
        <f t="shared" si="294"/>
        <v>-0.99621856683683108</v>
      </c>
      <c r="IT14" s="80">
        <f t="shared" si="295"/>
        <v>125.89473684210526</v>
      </c>
      <c r="IU14" s="1092">
        <f t="shared" si="296"/>
        <v>114.52380952380952</v>
      </c>
      <c r="IV14" s="662">
        <f>IU14-IT14</f>
        <v>-11.370927318295742</v>
      </c>
      <c r="IW14" s="109">
        <f t="shared" si="297"/>
        <v>-9.0320910973084909E-2</v>
      </c>
      <c r="IX14" s="698"/>
      <c r="IY14" s="698"/>
      <c r="IZ14" s="698"/>
      <c r="JA14" t="str">
        <f t="shared" si="298"/>
        <v>Average Number of Calls/Day</v>
      </c>
      <c r="JB14" s="262" t="e">
        <f>#REF!</f>
        <v>#REF!</v>
      </c>
      <c r="JC14" s="262" t="e">
        <f>#REF!</f>
        <v>#REF!</v>
      </c>
      <c r="JD14" s="262" t="e">
        <f>#REF!</f>
        <v>#REF!</v>
      </c>
      <c r="JE14" s="262" t="e">
        <f>#REF!</f>
        <v>#REF!</v>
      </c>
      <c r="JF14" s="262" t="e">
        <f>#REF!</f>
        <v>#REF!</v>
      </c>
      <c r="JG14" s="262" t="e">
        <f>#REF!</f>
        <v>#REF!</v>
      </c>
      <c r="JH14" s="262" t="e">
        <f>#REF!</f>
        <v>#REF!</v>
      </c>
      <c r="JI14" s="262" t="e">
        <f>#REF!</f>
        <v>#REF!</v>
      </c>
      <c r="JJ14" s="262" t="e">
        <f>#REF!</f>
        <v>#REF!</v>
      </c>
      <c r="JK14" s="262" t="e">
        <f>#REF!</f>
        <v>#REF!</v>
      </c>
      <c r="JL14" s="262" t="e">
        <f>#REF!</f>
        <v>#REF!</v>
      </c>
      <c r="JM14" s="263">
        <f t="shared" si="299"/>
        <v>167.77272727272728</v>
      </c>
      <c r="JN14" s="263">
        <f t="shared" si="299"/>
        <v>166.69565217391303</v>
      </c>
      <c r="JO14" s="263">
        <f t="shared" si="299"/>
        <v>160.35</v>
      </c>
      <c r="JP14" s="263">
        <f t="shared" si="299"/>
        <v>288.91304347826087</v>
      </c>
      <c r="JQ14" s="263">
        <f t="shared" si="299"/>
        <v>196.52631578947367</v>
      </c>
      <c r="JR14" s="263">
        <f t="shared" si="299"/>
        <v>186.77777777777777</v>
      </c>
      <c r="JS14" s="263">
        <f t="shared" si="299"/>
        <v>206.71428571428572</v>
      </c>
      <c r="JT14" s="263">
        <f t="shared" si="299"/>
        <v>203.75</v>
      </c>
      <c r="JU14" s="263">
        <f t="shared" si="299"/>
        <v>175</v>
      </c>
      <c r="JV14" s="263">
        <f t="shared" si="299"/>
        <v>172</v>
      </c>
      <c r="JW14" s="263">
        <f t="shared" si="299"/>
        <v>254.90909090909091</v>
      </c>
      <c r="JX14" s="263">
        <f t="shared" si="299"/>
        <v>193.75</v>
      </c>
      <c r="JY14" s="263">
        <f t="shared" si="300"/>
        <v>195.04545454545453</v>
      </c>
      <c r="JZ14" s="263">
        <f t="shared" si="300"/>
        <v>188.90909090909091</v>
      </c>
      <c r="KA14" s="263">
        <f t="shared" si="300"/>
        <v>264.45</v>
      </c>
      <c r="KB14" s="263">
        <f t="shared" si="300"/>
        <v>672.82608695652175</v>
      </c>
      <c r="KC14" s="263">
        <f t="shared" si="300"/>
        <v>357.61111111111109</v>
      </c>
      <c r="KD14" s="263">
        <f t="shared" si="300"/>
        <v>283.10526315789474</v>
      </c>
      <c r="KE14" s="263">
        <f t="shared" si="300"/>
        <v>281.47619047619048</v>
      </c>
      <c r="KF14" s="263">
        <f t="shared" si="300"/>
        <v>207.5</v>
      </c>
      <c r="KG14" s="263">
        <f t="shared" si="300"/>
        <v>186.47619047619048</v>
      </c>
      <c r="KH14" s="263">
        <f t="shared" si="300"/>
        <v>176.52380952380952</v>
      </c>
      <c r="KI14" s="263">
        <f t="shared" si="300"/>
        <v>160.59090909090909</v>
      </c>
      <c r="KJ14" s="263">
        <f t="shared" si="300"/>
        <v>177.42857142857142</v>
      </c>
      <c r="KK14" s="788">
        <f t="shared" si="301"/>
        <v>181.86363636363637</v>
      </c>
      <c r="KL14" s="788">
        <f t="shared" si="301"/>
        <v>179</v>
      </c>
      <c r="KM14" s="788">
        <f t="shared" si="301"/>
        <v>200.95238095238096</v>
      </c>
      <c r="KN14" s="788">
        <f t="shared" si="301"/>
        <v>504.95652173913044</v>
      </c>
      <c r="KO14" s="788">
        <f t="shared" si="301"/>
        <v>218.8235294117647</v>
      </c>
      <c r="KP14" s="788">
        <f t="shared" si="301"/>
        <v>195.8</v>
      </c>
      <c r="KQ14" s="788">
        <f t="shared" si="301"/>
        <v>250.05</v>
      </c>
      <c r="KR14" s="788">
        <f t="shared" si="301"/>
        <v>195.8</v>
      </c>
      <c r="KS14" s="788">
        <f t="shared" si="301"/>
        <v>192.36363636363637</v>
      </c>
      <c r="KT14" s="788">
        <f t="shared" si="301"/>
        <v>236.0952380952381</v>
      </c>
      <c r="KU14" s="788">
        <f t="shared" si="301"/>
        <v>175.35</v>
      </c>
      <c r="KV14" s="788">
        <f t="shared" si="301"/>
        <v>160</v>
      </c>
      <c r="KW14" s="900">
        <f t="shared" si="302"/>
        <v>152.09090909090909</v>
      </c>
      <c r="KX14" s="900">
        <f t="shared" si="302"/>
        <v>144.8095238095238</v>
      </c>
      <c r="KY14" s="900">
        <f t="shared" si="302"/>
        <v>162.47619047619048</v>
      </c>
      <c r="KZ14" s="900">
        <f t="shared" si="302"/>
        <v>181.40909090909091</v>
      </c>
      <c r="LA14" s="900">
        <f t="shared" si="302"/>
        <v>204.44444444444446</v>
      </c>
      <c r="LB14" s="900">
        <f t="shared" si="302"/>
        <v>180.45</v>
      </c>
      <c r="LC14" s="900">
        <f t="shared" si="302"/>
        <v>192.15789473684211</v>
      </c>
      <c r="LD14" s="900">
        <f t="shared" si="302"/>
        <v>188.85714285714286</v>
      </c>
      <c r="LE14" s="900">
        <f t="shared" si="302"/>
        <v>165</v>
      </c>
      <c r="LF14" s="900">
        <f t="shared" si="302"/>
        <v>151.52380952380952</v>
      </c>
      <c r="LG14" s="900">
        <f t="shared" si="302"/>
        <v>144.71428571428572</v>
      </c>
      <c r="LH14" s="900">
        <f t="shared" si="302"/>
        <v>150.81818181818181</v>
      </c>
      <c r="LI14" s="959">
        <f t="shared" si="303"/>
        <v>153.75</v>
      </c>
      <c r="LJ14" s="959">
        <f t="shared" si="303"/>
        <v>147.47826086956522</v>
      </c>
      <c r="LK14" s="959">
        <f t="shared" si="303"/>
        <v>165.0952380952381</v>
      </c>
      <c r="LL14" s="959">
        <f t="shared" si="303"/>
        <v>177.38095238095238</v>
      </c>
      <c r="LM14" s="959">
        <f t="shared" si="303"/>
        <v>165.36842105263159</v>
      </c>
      <c r="LN14" s="959">
        <f t="shared" si="303"/>
        <v>155.94736842105263</v>
      </c>
      <c r="LO14" s="959">
        <f t="shared" si="303"/>
        <v>173.65</v>
      </c>
      <c r="LP14" s="959">
        <f t="shared" si="303"/>
        <v>174.15</v>
      </c>
      <c r="LQ14" s="959">
        <f t="shared" si="303"/>
        <v>119</v>
      </c>
      <c r="LR14" s="959">
        <f t="shared" si="303"/>
        <v>125.89473684210526</v>
      </c>
      <c r="LS14" s="959">
        <f t="shared" si="303"/>
        <v>114.68181818181819</v>
      </c>
      <c r="LT14" s="959">
        <f t="shared" si="303"/>
        <v>105.13636363636364</v>
      </c>
      <c r="LU14" s="1155">
        <f t="shared" si="304"/>
        <v>113.15</v>
      </c>
      <c r="LV14" s="1155">
        <f t="shared" si="304"/>
        <v>104.73913043478261</v>
      </c>
      <c r="LW14" s="1155">
        <f t="shared" si="304"/>
        <v>95.15</v>
      </c>
      <c r="LX14" s="1155">
        <f t="shared" si="304"/>
        <v>111.54545454545455</v>
      </c>
      <c r="LY14" s="1155">
        <f t="shared" si="304"/>
        <v>105.52631578947368</v>
      </c>
      <c r="LZ14" s="1155">
        <f t="shared" si="304"/>
        <v>107.94444444444444</v>
      </c>
      <c r="MA14" s="1155">
        <f t="shared" si="304"/>
        <v>157.33333333333334</v>
      </c>
      <c r="MB14" s="1155">
        <f t="shared" si="304"/>
        <v>149.69999999999999</v>
      </c>
      <c r="MC14" s="1155">
        <f t="shared" si="304"/>
        <v>117.33333333333333</v>
      </c>
      <c r="MD14" s="1155">
        <f t="shared" si="304"/>
        <v>114.52380952380952</v>
      </c>
      <c r="ME14" s="1155">
        <f t="shared" si="304"/>
        <v>0</v>
      </c>
      <c r="MF14" s="1155">
        <f t="shared" si="304"/>
        <v>0</v>
      </c>
      <c r="MG14" s="1177">
        <f t="shared" si="305"/>
        <v>0</v>
      </c>
      <c r="MH14" s="1177">
        <f t="shared" si="305"/>
        <v>0</v>
      </c>
      <c r="MI14" s="1177">
        <f t="shared" si="305"/>
        <v>0</v>
      </c>
      <c r="MJ14" s="1177">
        <f t="shared" si="305"/>
        <v>0</v>
      </c>
      <c r="MK14" s="1177">
        <f t="shared" si="305"/>
        <v>0</v>
      </c>
      <c r="ML14" s="1177">
        <f t="shared" si="305"/>
        <v>0</v>
      </c>
      <c r="MM14" s="1177">
        <f t="shared" si="305"/>
        <v>0</v>
      </c>
      <c r="MN14" s="1177">
        <f t="shared" si="305"/>
        <v>0</v>
      </c>
      <c r="MO14" s="1177">
        <f t="shared" si="305"/>
        <v>0</v>
      </c>
      <c r="MP14" s="1177">
        <f t="shared" si="305"/>
        <v>0</v>
      </c>
      <c r="MQ14" s="1177">
        <f t="shared" si="306"/>
        <v>0</v>
      </c>
      <c r="MR14" s="1177">
        <f t="shared" si="306"/>
        <v>0</v>
      </c>
    </row>
    <row r="15" spans="1:356" x14ac:dyDescent="0.25">
      <c r="A15" s="764"/>
      <c r="B15" s="56">
        <v>2.2999999999999998</v>
      </c>
      <c r="C15" s="13"/>
      <c r="D15" s="13"/>
      <c r="E15" s="1215" t="s">
        <v>30</v>
      </c>
      <c r="F15" s="1215"/>
      <c r="G15" s="1216"/>
      <c r="H15" s="370">
        <v>11</v>
      </c>
      <c r="I15" s="83">
        <v>10</v>
      </c>
      <c r="J15" s="82">
        <v>8</v>
      </c>
      <c r="K15" s="83">
        <v>17</v>
      </c>
      <c r="L15" s="82">
        <v>15</v>
      </c>
      <c r="M15" s="83">
        <v>10</v>
      </c>
      <c r="N15" s="82">
        <v>16</v>
      </c>
      <c r="O15" s="83">
        <v>18</v>
      </c>
      <c r="P15" s="82">
        <v>10</v>
      </c>
      <c r="Q15" s="83">
        <v>9</v>
      </c>
      <c r="R15" s="82">
        <v>11</v>
      </c>
      <c r="S15" s="83">
        <v>18</v>
      </c>
      <c r="T15" s="132" t="s">
        <v>29</v>
      </c>
      <c r="U15" s="150">
        <v>12.75</v>
      </c>
      <c r="V15" s="370">
        <v>14</v>
      </c>
      <c r="W15" s="83">
        <v>9</v>
      </c>
      <c r="X15" s="82">
        <v>10</v>
      </c>
      <c r="Y15" s="83">
        <v>16</v>
      </c>
      <c r="Z15" s="82">
        <v>10</v>
      </c>
      <c r="AA15" s="83">
        <v>9</v>
      </c>
      <c r="AB15" s="82">
        <v>9</v>
      </c>
      <c r="AC15" s="83">
        <v>9</v>
      </c>
      <c r="AD15" s="82">
        <v>9</v>
      </c>
      <c r="AE15" s="83">
        <v>8</v>
      </c>
      <c r="AF15" s="82">
        <v>9</v>
      </c>
      <c r="AG15" s="83">
        <v>8</v>
      </c>
      <c r="AH15" s="132" t="s">
        <v>29</v>
      </c>
      <c r="AI15" s="150">
        <v>10</v>
      </c>
      <c r="AJ15" s="370">
        <v>13</v>
      </c>
      <c r="AK15" s="83">
        <v>13</v>
      </c>
      <c r="AL15" s="82">
        <v>18</v>
      </c>
      <c r="AM15" s="83">
        <v>80</v>
      </c>
      <c r="AN15" s="82">
        <v>18</v>
      </c>
      <c r="AO15" s="83">
        <v>15</v>
      </c>
      <c r="AP15" s="179">
        <v>12</v>
      </c>
      <c r="AQ15" s="83">
        <v>9</v>
      </c>
      <c r="AR15" s="179">
        <v>8</v>
      </c>
      <c r="AS15" s="83">
        <v>9</v>
      </c>
      <c r="AT15" s="179">
        <v>22</v>
      </c>
      <c r="AU15" s="83">
        <v>12</v>
      </c>
      <c r="AV15" s="132" t="s">
        <v>29</v>
      </c>
      <c r="AW15" s="150">
        <f t="shared" si="168"/>
        <v>19.083333333333332</v>
      </c>
      <c r="AX15" s="370">
        <v>9</v>
      </c>
      <c r="AY15" s="83">
        <v>12</v>
      </c>
      <c r="AZ15" s="370">
        <v>26</v>
      </c>
      <c r="BA15" s="83">
        <v>406</v>
      </c>
      <c r="BB15" s="82">
        <v>200</v>
      </c>
      <c r="BC15" s="70">
        <v>71</v>
      </c>
      <c r="BD15" s="207">
        <v>31</v>
      </c>
      <c r="BE15" s="70">
        <v>26</v>
      </c>
      <c r="BF15" s="207">
        <v>11</v>
      </c>
      <c r="BG15" s="70">
        <v>9</v>
      </c>
      <c r="BH15" s="207">
        <v>13</v>
      </c>
      <c r="BI15" s="70">
        <v>15</v>
      </c>
      <c r="BJ15" s="132" t="s">
        <v>29</v>
      </c>
      <c r="BK15" s="150">
        <f t="shared" si="169"/>
        <v>69.083333333333329</v>
      </c>
      <c r="BL15" s="368">
        <v>13</v>
      </c>
      <c r="BM15" s="83">
        <v>12</v>
      </c>
      <c r="BN15" s="370">
        <v>10</v>
      </c>
      <c r="BO15" s="83">
        <v>7.12</v>
      </c>
      <c r="BP15" s="82">
        <v>0.18</v>
      </c>
      <c r="BQ15" s="872">
        <v>0.17</v>
      </c>
      <c r="BR15" s="875">
        <v>0.37</v>
      </c>
      <c r="BS15" s="83">
        <v>0.48</v>
      </c>
      <c r="BT15" s="197">
        <v>0.24</v>
      </c>
      <c r="BU15" s="875">
        <v>0.31</v>
      </c>
      <c r="BV15" s="875">
        <v>0.17</v>
      </c>
      <c r="BW15" s="875">
        <v>0.25</v>
      </c>
      <c r="BX15" s="132" t="s">
        <v>29</v>
      </c>
      <c r="BY15" s="150">
        <f t="shared" si="170"/>
        <v>3.6908333333333334</v>
      </c>
      <c r="BZ15" s="875">
        <v>0.36</v>
      </c>
      <c r="CA15" s="83">
        <v>0.23</v>
      </c>
      <c r="CB15" s="370">
        <v>0.44</v>
      </c>
      <c r="CC15" s="83">
        <v>1.25</v>
      </c>
      <c r="CD15" s="82">
        <v>1.27</v>
      </c>
      <c r="CE15" s="872">
        <v>0.35</v>
      </c>
      <c r="CF15" s="875">
        <v>0.26</v>
      </c>
      <c r="CG15" s="872">
        <v>0.17</v>
      </c>
      <c r="CH15" s="197">
        <v>0.18</v>
      </c>
      <c r="CI15" s="875">
        <v>0.12</v>
      </c>
      <c r="CJ15" s="875">
        <v>0.09</v>
      </c>
      <c r="CK15" s="875">
        <v>0.1</v>
      </c>
      <c r="CL15" s="132" t="s">
        <v>29</v>
      </c>
      <c r="CM15" s="150">
        <f t="shared" si="171"/>
        <v>0.40166666666666662</v>
      </c>
      <c r="CN15" s="875">
        <v>0.17</v>
      </c>
      <c r="CO15" s="83">
        <v>0.14000000000000001</v>
      </c>
      <c r="CP15" s="370">
        <v>0.17</v>
      </c>
      <c r="CQ15" s="83">
        <v>0.15</v>
      </c>
      <c r="CR15" s="82">
        <v>0.08</v>
      </c>
      <c r="CS15" s="872">
        <v>0.08</v>
      </c>
      <c r="CT15" s="875">
        <v>0.08</v>
      </c>
      <c r="CU15" s="872">
        <v>7.0000000000000007E-2</v>
      </c>
      <c r="CV15" s="197">
        <v>7.0000000000000007E-2</v>
      </c>
      <c r="CW15" s="1057">
        <v>7.0000000000000007E-2</v>
      </c>
      <c r="CX15" s="875">
        <v>0.09</v>
      </c>
      <c r="CY15" s="83">
        <v>0.09</v>
      </c>
      <c r="CZ15" s="132" t="s">
        <v>29</v>
      </c>
      <c r="DA15" s="150">
        <f t="shared" si="172"/>
        <v>0.10500000000000002</v>
      </c>
      <c r="DB15" s="875">
        <v>0.09</v>
      </c>
      <c r="DC15" s="83">
        <v>0.1</v>
      </c>
      <c r="DD15" s="370">
        <v>0.12</v>
      </c>
      <c r="DE15" s="83">
        <v>0.09</v>
      </c>
      <c r="DF15" s="82">
        <v>0.11</v>
      </c>
      <c r="DG15" s="872">
        <v>0.1</v>
      </c>
      <c r="DH15" s="875">
        <v>7.0000000000000007E-2</v>
      </c>
      <c r="DI15" s="872">
        <v>0.08</v>
      </c>
      <c r="DJ15" s="197">
        <v>0.09</v>
      </c>
      <c r="DK15" s="872">
        <v>0.08</v>
      </c>
      <c r="DL15" s="875"/>
      <c r="DM15" s="872"/>
      <c r="DN15" s="132" t="s">
        <v>29</v>
      </c>
      <c r="DO15" s="150">
        <f t="shared" si="173"/>
        <v>9.2999999999999985E-2</v>
      </c>
      <c r="DP15" s="875"/>
      <c r="DQ15" s="83"/>
      <c r="DR15" s="370"/>
      <c r="DS15" s="83"/>
      <c r="DT15" s="82"/>
      <c r="DU15" s="872"/>
      <c r="DV15" s="875"/>
      <c r="DW15" s="872"/>
      <c r="DX15" s="197"/>
      <c r="DY15" s="872"/>
      <c r="DZ15" s="875"/>
      <c r="EA15" s="872"/>
      <c r="EB15" s="132" t="s">
        <v>29</v>
      </c>
      <c r="EC15" s="150" t="e">
        <f t="shared" si="174"/>
        <v>#DIV/0!</v>
      </c>
      <c r="ED15" s="662">
        <f t="shared" si="175"/>
        <v>-3</v>
      </c>
      <c r="EE15" s="663">
        <f t="shared" si="176"/>
        <v>-0.25</v>
      </c>
      <c r="EF15" s="662">
        <f t="shared" si="177"/>
        <v>3</v>
      </c>
      <c r="EG15" s="663">
        <f t="shared" si="178"/>
        <v>0.33333333333333331</v>
      </c>
      <c r="EH15" s="662">
        <f t="shared" si="179"/>
        <v>14</v>
      </c>
      <c r="EI15" s="663">
        <f t="shared" si="180"/>
        <v>1.1666666666666667</v>
      </c>
      <c r="EJ15" s="662">
        <f t="shared" si="181"/>
        <v>380</v>
      </c>
      <c r="EK15" s="663">
        <f t="shared" si="182"/>
        <v>14.615384615384615</v>
      </c>
      <c r="EL15" s="662">
        <f t="shared" si="183"/>
        <v>-206</v>
      </c>
      <c r="EM15" s="663">
        <f t="shared" si="184"/>
        <v>-0.5073891625615764</v>
      </c>
      <c r="EN15" s="662">
        <f t="shared" si="185"/>
        <v>-129</v>
      </c>
      <c r="EO15" s="663">
        <f t="shared" si="186"/>
        <v>-0.64500000000000002</v>
      </c>
      <c r="EP15" s="662">
        <f t="shared" si="187"/>
        <v>-40</v>
      </c>
      <c r="EQ15" s="663">
        <f t="shared" si="188"/>
        <v>-0.56338028169014087</v>
      </c>
      <c r="ER15" s="662">
        <f t="shared" si="189"/>
        <v>-5</v>
      </c>
      <c r="ES15" s="663">
        <f t="shared" si="190"/>
        <v>-0.16129032258064516</v>
      </c>
      <c r="ET15" s="662">
        <f t="shared" si="191"/>
        <v>-15</v>
      </c>
      <c r="EU15" s="663">
        <f t="shared" si="192"/>
        <v>-0.57692307692307687</v>
      </c>
      <c r="EV15" s="662">
        <f t="shared" si="193"/>
        <v>-2</v>
      </c>
      <c r="EW15" s="109">
        <f t="shared" si="194"/>
        <v>-0.18181818181818182</v>
      </c>
      <c r="EX15" s="662">
        <f t="shared" si="195"/>
        <v>4</v>
      </c>
      <c r="EY15" s="663">
        <f t="shared" si="196"/>
        <v>0.44444444444444442</v>
      </c>
      <c r="EZ15" s="662">
        <f t="shared" si="197"/>
        <v>2</v>
      </c>
      <c r="FA15" s="663">
        <f t="shared" si="198"/>
        <v>0.15384615384615385</v>
      </c>
      <c r="FB15" s="662">
        <f t="shared" si="199"/>
        <v>-2</v>
      </c>
      <c r="FC15" s="663">
        <f t="shared" si="200"/>
        <v>-0.13333333333333333</v>
      </c>
      <c r="FD15" s="315">
        <f t="shared" si="201"/>
        <v>-1</v>
      </c>
      <c r="FE15" s="402">
        <f t="shared" si="202"/>
        <v>-7.6923076923076927E-2</v>
      </c>
      <c r="FF15" s="315">
        <f t="shared" si="203"/>
        <v>-2</v>
      </c>
      <c r="FG15" s="402">
        <f t="shared" si="204"/>
        <v>-0.16666666666666666</v>
      </c>
      <c r="FH15" s="315">
        <f t="shared" si="205"/>
        <v>-2.88</v>
      </c>
      <c r="FI15" s="402">
        <f t="shared" si="206"/>
        <v>-0.28799999999999998</v>
      </c>
      <c r="FJ15" s="315">
        <f t="shared" si="207"/>
        <v>-6.94</v>
      </c>
      <c r="FK15" s="402">
        <f t="shared" si="208"/>
        <v>-0.9747191011235955</v>
      </c>
      <c r="FL15" s="315">
        <f t="shared" si="209"/>
        <v>-9.9999999999999811E-3</v>
      </c>
      <c r="FM15" s="402">
        <f t="shared" si="210"/>
        <v>-5.5555555555555455E-2</v>
      </c>
      <c r="FN15" s="315">
        <f t="shared" si="211"/>
        <v>0.19999999999999998</v>
      </c>
      <c r="FO15" s="402">
        <f t="shared" si="212"/>
        <v>1.1764705882352939</v>
      </c>
      <c r="FP15" s="315">
        <f t="shared" si="213"/>
        <v>0.10999999999999999</v>
      </c>
      <c r="FQ15" s="402">
        <f t="shared" si="214"/>
        <v>0.29729729729729726</v>
      </c>
      <c r="FR15" s="315">
        <f t="shared" si="215"/>
        <v>-0.24</v>
      </c>
      <c r="FS15" s="402">
        <f t="shared" si="216"/>
        <v>-0.5</v>
      </c>
      <c r="FT15" s="315">
        <f t="shared" si="217"/>
        <v>7.0000000000000007E-2</v>
      </c>
      <c r="FU15" s="402">
        <f t="shared" si="218"/>
        <v>0.29166666666666669</v>
      </c>
      <c r="FV15" s="315">
        <f t="shared" si="219"/>
        <v>-0.13999999999999999</v>
      </c>
      <c r="FW15" s="402">
        <f t="shared" si="220"/>
        <v>-0.45161290322580638</v>
      </c>
      <c r="FX15" s="315">
        <f t="shared" si="221"/>
        <v>7.9999999999999988E-2</v>
      </c>
      <c r="FY15" s="402">
        <f t="shared" si="222"/>
        <v>0.47058823529411753</v>
      </c>
      <c r="FZ15" s="315">
        <f t="shared" si="223"/>
        <v>0.10999999999999999</v>
      </c>
      <c r="GA15" s="402">
        <f t="shared" si="224"/>
        <v>0.43999999999999995</v>
      </c>
      <c r="GB15" s="315">
        <f t="shared" si="225"/>
        <v>-0.12999999999999998</v>
      </c>
      <c r="GC15" s="402">
        <f t="shared" si="226"/>
        <v>-0.36111111111111105</v>
      </c>
      <c r="GD15" s="315">
        <f t="shared" si="227"/>
        <v>0.21</v>
      </c>
      <c r="GE15" s="402">
        <f t="shared" si="228"/>
        <v>0.91304347826086951</v>
      </c>
      <c r="GF15" s="315">
        <f t="shared" si="229"/>
        <v>0.81</v>
      </c>
      <c r="GG15" s="402">
        <f t="shared" si="230"/>
        <v>1.8409090909090911</v>
      </c>
      <c r="GH15" s="315">
        <f t="shared" si="231"/>
        <v>2.0000000000000018E-2</v>
      </c>
      <c r="GI15" s="402">
        <f t="shared" si="232"/>
        <v>1.6000000000000014E-2</v>
      </c>
      <c r="GJ15" s="315">
        <f t="shared" si="233"/>
        <v>-0.92</v>
      </c>
      <c r="GK15" s="402">
        <f t="shared" si="234"/>
        <v>-0.72440944881889768</v>
      </c>
      <c r="GL15" s="315">
        <f t="shared" si="235"/>
        <v>-8.9999999999999969E-2</v>
      </c>
      <c r="GM15" s="402">
        <f t="shared" si="236"/>
        <v>-0.25714285714285706</v>
      </c>
      <c r="GN15" s="315">
        <f t="shared" si="237"/>
        <v>-0.09</v>
      </c>
      <c r="GO15" s="402">
        <f t="shared" si="238"/>
        <v>-0.34615384615384615</v>
      </c>
      <c r="GP15" s="315">
        <f t="shared" si="239"/>
        <v>9.9999999999999811E-3</v>
      </c>
      <c r="GQ15" s="402">
        <f t="shared" si="240"/>
        <v>5.8823529411764594E-2</v>
      </c>
      <c r="GR15" s="315">
        <f t="shared" si="241"/>
        <v>-0.06</v>
      </c>
      <c r="GS15" s="402">
        <f t="shared" si="242"/>
        <v>-0.33333333333333331</v>
      </c>
      <c r="GT15" s="315">
        <f t="shared" si="243"/>
        <v>-0.03</v>
      </c>
      <c r="GU15" s="402">
        <f t="shared" si="244"/>
        <v>-0.25</v>
      </c>
      <c r="GV15" s="315">
        <f t="shared" si="245"/>
        <v>1.0000000000000009E-2</v>
      </c>
      <c r="GW15" s="402">
        <f t="shared" si="246"/>
        <v>0.11111111111111122</v>
      </c>
      <c r="GX15" s="315">
        <f t="shared" si="247"/>
        <v>7.0000000000000007E-2</v>
      </c>
      <c r="GY15" s="402">
        <f t="shared" si="248"/>
        <v>0.70000000000000007</v>
      </c>
      <c r="GZ15" s="315">
        <f t="shared" si="249"/>
        <v>-0.03</v>
      </c>
      <c r="HA15" s="402">
        <f t="shared" si="250"/>
        <v>-0.1764705882352941</v>
      </c>
      <c r="HB15" s="315">
        <f t="shared" si="251"/>
        <v>0.03</v>
      </c>
      <c r="HC15" s="402">
        <f t="shared" si="252"/>
        <v>0.21428571428571425</v>
      </c>
      <c r="HD15" s="315">
        <f t="shared" si="253"/>
        <v>-2.0000000000000018E-2</v>
      </c>
      <c r="HE15" s="402">
        <f t="shared" si="254"/>
        <v>-0.11764705882352951</v>
      </c>
      <c r="HF15" s="315">
        <f t="shared" si="255"/>
        <v>-6.9999999999999993E-2</v>
      </c>
      <c r="HG15" s="402">
        <f t="shared" si="256"/>
        <v>-0.46666666666666662</v>
      </c>
      <c r="HH15" s="315">
        <f t="shared" si="257"/>
        <v>0</v>
      </c>
      <c r="HI15" s="402">
        <f t="shared" si="258"/>
        <v>0</v>
      </c>
      <c r="HJ15" s="315">
        <f t="shared" si="259"/>
        <v>0</v>
      </c>
      <c r="HK15" s="402">
        <f t="shared" si="260"/>
        <v>0</v>
      </c>
      <c r="HL15" s="315">
        <f t="shared" si="261"/>
        <v>-9.999999999999995E-3</v>
      </c>
      <c r="HM15" s="402">
        <f t="shared" si="262"/>
        <v>-0.12499999999999993</v>
      </c>
      <c r="HN15" s="315">
        <f t="shared" si="263"/>
        <v>0</v>
      </c>
      <c r="HO15" s="402">
        <f t="shared" si="264"/>
        <v>0</v>
      </c>
      <c r="HP15" s="315">
        <f t="shared" si="265"/>
        <v>0</v>
      </c>
      <c r="HQ15" s="402">
        <f t="shared" si="266"/>
        <v>0</v>
      </c>
      <c r="HR15" s="315">
        <f t="shared" si="267"/>
        <v>1.999999999999999E-2</v>
      </c>
      <c r="HS15" s="402">
        <f t="shared" si="268"/>
        <v>0.28571428571428553</v>
      </c>
      <c r="HT15" s="315">
        <f t="shared" si="269"/>
        <v>0</v>
      </c>
      <c r="HU15" s="402">
        <f t="shared" si="270"/>
        <v>0</v>
      </c>
      <c r="HV15" s="315">
        <f t="shared" si="271"/>
        <v>0</v>
      </c>
      <c r="HW15" s="402">
        <f t="shared" si="272"/>
        <v>0</v>
      </c>
      <c r="HX15" s="315">
        <f t="shared" si="273"/>
        <v>1.0000000000000009E-2</v>
      </c>
      <c r="HY15" s="402">
        <f t="shared" si="274"/>
        <v>0.11111111111111122</v>
      </c>
      <c r="HZ15" s="315">
        <f t="shared" si="275"/>
        <v>1.999999999999999E-2</v>
      </c>
      <c r="IA15" s="402">
        <f t="shared" si="276"/>
        <v>0.1666666666666666</v>
      </c>
      <c r="IB15" s="315">
        <f t="shared" si="277"/>
        <v>-0.03</v>
      </c>
      <c r="IC15" s="402">
        <f t="shared" si="278"/>
        <v>-0.25</v>
      </c>
      <c r="ID15" s="315">
        <f t="shared" si="279"/>
        <v>2.0000000000000004E-2</v>
      </c>
      <c r="IE15" s="402">
        <f t="shared" si="280"/>
        <v>0.2150537634408603</v>
      </c>
      <c r="IF15" s="315">
        <f t="shared" si="281"/>
        <v>-9.999999999999995E-3</v>
      </c>
      <c r="IG15" s="402">
        <f t="shared" si="282"/>
        <v>-9.090909090909087E-2</v>
      </c>
      <c r="IH15" s="315">
        <f t="shared" si="283"/>
        <v>-0.03</v>
      </c>
      <c r="II15" s="402">
        <f t="shared" si="284"/>
        <v>-0.3</v>
      </c>
      <c r="IJ15" s="315">
        <f t="shared" si="285"/>
        <v>9.999999999999995E-3</v>
      </c>
      <c r="IK15" s="402">
        <f t="shared" si="286"/>
        <v>0.14285714285714277</v>
      </c>
      <c r="IL15" s="315">
        <f t="shared" si="287"/>
        <v>9.999999999999995E-3</v>
      </c>
      <c r="IM15" s="402">
        <f t="shared" si="288"/>
        <v>0.12499999999999993</v>
      </c>
      <c r="IN15" s="315">
        <f t="shared" si="289"/>
        <v>-9.999999999999995E-3</v>
      </c>
      <c r="IO15" s="402">
        <f t="shared" si="290"/>
        <v>-0.11111111111111106</v>
      </c>
      <c r="IP15" s="315">
        <f t="shared" si="291"/>
        <v>-0.08</v>
      </c>
      <c r="IQ15" s="402">
        <f t="shared" si="292"/>
        <v>-6.8571428571428575E-2</v>
      </c>
      <c r="IR15" s="315">
        <f t="shared" si="293"/>
        <v>-365.38461538461536</v>
      </c>
      <c r="IS15" s="402">
        <f t="shared" si="294"/>
        <v>-0.96153846153846145</v>
      </c>
      <c r="IT15" s="197">
        <f t="shared" si="295"/>
        <v>7.0000000000000007E-2</v>
      </c>
      <c r="IU15" s="1057">
        <f t="shared" si="296"/>
        <v>0.08</v>
      </c>
      <c r="IV15" s="664">
        <f>IU15-IT15</f>
        <v>9.999999999999995E-3</v>
      </c>
      <c r="IW15" s="109">
        <f t="shared" si="297"/>
        <v>0.14285714285714277</v>
      </c>
      <c r="IX15" s="698"/>
      <c r="IY15" s="698"/>
      <c r="IZ15" s="698"/>
      <c r="JA15" t="str">
        <f t="shared" si="298"/>
        <v>Average Speed of Answer (Seconds)</v>
      </c>
      <c r="JB15" s="264" t="e">
        <f>#REF!</f>
        <v>#REF!</v>
      </c>
      <c r="JC15" s="264" t="e">
        <f>#REF!</f>
        <v>#REF!</v>
      </c>
      <c r="JD15" s="264" t="e">
        <f>#REF!</f>
        <v>#REF!</v>
      </c>
      <c r="JE15" s="264" t="e">
        <f>#REF!</f>
        <v>#REF!</v>
      </c>
      <c r="JF15" s="264" t="e">
        <f>#REF!</f>
        <v>#REF!</v>
      </c>
      <c r="JG15" s="264" t="e">
        <f>#REF!</f>
        <v>#REF!</v>
      </c>
      <c r="JH15" s="264" t="e">
        <f>#REF!</f>
        <v>#REF!</v>
      </c>
      <c r="JI15" s="264" t="e">
        <f>#REF!</f>
        <v>#REF!</v>
      </c>
      <c r="JJ15" s="264" t="e">
        <f>#REF!</f>
        <v>#REF!</v>
      </c>
      <c r="JK15" s="264" t="e">
        <f>#REF!</f>
        <v>#REF!</v>
      </c>
      <c r="JL15" s="264" t="e">
        <f>#REF!</f>
        <v>#REF!</v>
      </c>
      <c r="JM15" s="265">
        <f t="shared" si="299"/>
        <v>13</v>
      </c>
      <c r="JN15" s="265">
        <f t="shared" si="299"/>
        <v>13</v>
      </c>
      <c r="JO15" s="265">
        <f t="shared" si="299"/>
        <v>18</v>
      </c>
      <c r="JP15" s="265">
        <f t="shared" si="299"/>
        <v>80</v>
      </c>
      <c r="JQ15" s="265">
        <f t="shared" si="299"/>
        <v>18</v>
      </c>
      <c r="JR15" s="265">
        <f t="shared" si="299"/>
        <v>15</v>
      </c>
      <c r="JS15" s="265">
        <f t="shared" si="299"/>
        <v>12</v>
      </c>
      <c r="JT15" s="265">
        <f t="shared" si="299"/>
        <v>9</v>
      </c>
      <c r="JU15" s="265">
        <f t="shared" si="299"/>
        <v>8</v>
      </c>
      <c r="JV15" s="265">
        <f t="shared" si="299"/>
        <v>9</v>
      </c>
      <c r="JW15" s="265">
        <f t="shared" si="299"/>
        <v>22</v>
      </c>
      <c r="JX15" s="265">
        <f t="shared" si="299"/>
        <v>12</v>
      </c>
      <c r="JY15" s="265">
        <f t="shared" si="300"/>
        <v>9</v>
      </c>
      <c r="JZ15" s="265">
        <f t="shared" si="300"/>
        <v>12</v>
      </c>
      <c r="KA15" s="265">
        <f t="shared" si="300"/>
        <v>26</v>
      </c>
      <c r="KB15" s="265">
        <f t="shared" si="300"/>
        <v>406</v>
      </c>
      <c r="KC15" s="265">
        <f t="shared" si="300"/>
        <v>200</v>
      </c>
      <c r="KD15" s="265">
        <f t="shared" si="300"/>
        <v>71</v>
      </c>
      <c r="KE15" s="265">
        <f t="shared" si="300"/>
        <v>31</v>
      </c>
      <c r="KF15" s="265">
        <f t="shared" si="300"/>
        <v>26</v>
      </c>
      <c r="KG15" s="265">
        <f t="shared" si="300"/>
        <v>11</v>
      </c>
      <c r="KH15" s="265">
        <f t="shared" si="300"/>
        <v>9</v>
      </c>
      <c r="KI15" s="265">
        <f t="shared" si="300"/>
        <v>13</v>
      </c>
      <c r="KJ15" s="265">
        <f t="shared" si="300"/>
        <v>15</v>
      </c>
      <c r="KK15" s="789">
        <f t="shared" si="301"/>
        <v>13</v>
      </c>
      <c r="KL15" s="789">
        <f t="shared" si="301"/>
        <v>12</v>
      </c>
      <c r="KM15" s="789">
        <f t="shared" si="301"/>
        <v>10</v>
      </c>
      <c r="KN15" s="789">
        <f t="shared" si="301"/>
        <v>7.12</v>
      </c>
      <c r="KO15" s="789">
        <f t="shared" si="301"/>
        <v>0.18</v>
      </c>
      <c r="KP15" s="789">
        <f t="shared" si="301"/>
        <v>0.17</v>
      </c>
      <c r="KQ15" s="789">
        <f t="shared" si="301"/>
        <v>0.37</v>
      </c>
      <c r="KR15" s="789">
        <f t="shared" si="301"/>
        <v>0.48</v>
      </c>
      <c r="KS15" s="789">
        <f t="shared" si="301"/>
        <v>0.24</v>
      </c>
      <c r="KT15" s="789">
        <f t="shared" si="301"/>
        <v>0.31</v>
      </c>
      <c r="KU15" s="789">
        <f t="shared" si="301"/>
        <v>0.17</v>
      </c>
      <c r="KV15" s="789">
        <f t="shared" si="301"/>
        <v>0.25</v>
      </c>
      <c r="KW15" s="901">
        <f t="shared" si="302"/>
        <v>0.36</v>
      </c>
      <c r="KX15" s="901">
        <f t="shared" si="302"/>
        <v>0.23</v>
      </c>
      <c r="KY15" s="901">
        <f t="shared" si="302"/>
        <v>0.44</v>
      </c>
      <c r="KZ15" s="901">
        <f t="shared" si="302"/>
        <v>1.25</v>
      </c>
      <c r="LA15" s="901">
        <f t="shared" si="302"/>
        <v>1.27</v>
      </c>
      <c r="LB15" s="901">
        <f t="shared" si="302"/>
        <v>0.35</v>
      </c>
      <c r="LC15" s="901">
        <f t="shared" si="302"/>
        <v>0.26</v>
      </c>
      <c r="LD15" s="901">
        <f t="shared" si="302"/>
        <v>0.17</v>
      </c>
      <c r="LE15" s="901">
        <f t="shared" si="302"/>
        <v>0.18</v>
      </c>
      <c r="LF15" s="901">
        <f t="shared" si="302"/>
        <v>0.12</v>
      </c>
      <c r="LG15" s="901">
        <f t="shared" si="302"/>
        <v>0.09</v>
      </c>
      <c r="LH15" s="901">
        <f t="shared" si="302"/>
        <v>0.1</v>
      </c>
      <c r="LI15" s="960">
        <f t="shared" si="303"/>
        <v>0.17</v>
      </c>
      <c r="LJ15" s="960">
        <f t="shared" si="303"/>
        <v>0.14000000000000001</v>
      </c>
      <c r="LK15" s="960">
        <f t="shared" si="303"/>
        <v>0.17</v>
      </c>
      <c r="LL15" s="960">
        <f t="shared" si="303"/>
        <v>0.15</v>
      </c>
      <c r="LM15" s="960">
        <f t="shared" si="303"/>
        <v>0.08</v>
      </c>
      <c r="LN15" s="960">
        <f t="shared" si="303"/>
        <v>0.08</v>
      </c>
      <c r="LO15" s="960">
        <f t="shared" si="303"/>
        <v>0.08</v>
      </c>
      <c r="LP15" s="960">
        <f t="shared" si="303"/>
        <v>7.0000000000000007E-2</v>
      </c>
      <c r="LQ15" s="960">
        <f t="shared" si="303"/>
        <v>7.0000000000000007E-2</v>
      </c>
      <c r="LR15" s="960">
        <f t="shared" si="303"/>
        <v>7.0000000000000007E-2</v>
      </c>
      <c r="LS15" s="960">
        <f t="shared" si="303"/>
        <v>0.09</v>
      </c>
      <c r="LT15" s="960">
        <f t="shared" si="303"/>
        <v>0.09</v>
      </c>
      <c r="LU15" s="1156">
        <f t="shared" si="304"/>
        <v>0.09</v>
      </c>
      <c r="LV15" s="1156">
        <f t="shared" si="304"/>
        <v>0.1</v>
      </c>
      <c r="LW15" s="1156">
        <f t="shared" si="304"/>
        <v>0.12</v>
      </c>
      <c r="LX15" s="1156">
        <f t="shared" si="304"/>
        <v>0.09</v>
      </c>
      <c r="LY15" s="1156">
        <f t="shared" si="304"/>
        <v>0.11</v>
      </c>
      <c r="LZ15" s="1156">
        <f t="shared" si="304"/>
        <v>0.1</v>
      </c>
      <c r="MA15" s="1156">
        <f t="shared" si="304"/>
        <v>7.0000000000000007E-2</v>
      </c>
      <c r="MB15" s="1156">
        <f t="shared" si="304"/>
        <v>0.08</v>
      </c>
      <c r="MC15" s="1156">
        <f t="shared" si="304"/>
        <v>0.09</v>
      </c>
      <c r="MD15" s="1156">
        <f t="shared" si="304"/>
        <v>0.08</v>
      </c>
      <c r="ME15" s="1156">
        <f t="shared" si="304"/>
        <v>0</v>
      </c>
      <c r="MF15" s="1156">
        <f t="shared" si="304"/>
        <v>0</v>
      </c>
      <c r="MG15" s="1178">
        <f t="shared" si="305"/>
        <v>0</v>
      </c>
      <c r="MH15" s="1178">
        <f t="shared" si="305"/>
        <v>0</v>
      </c>
      <c r="MI15" s="1178">
        <f t="shared" si="305"/>
        <v>0</v>
      </c>
      <c r="MJ15" s="1178">
        <f t="shared" si="305"/>
        <v>0</v>
      </c>
      <c r="MK15" s="1178">
        <f t="shared" si="305"/>
        <v>0</v>
      </c>
      <c r="ML15" s="1178">
        <f t="shared" si="305"/>
        <v>0</v>
      </c>
      <c r="MM15" s="1178">
        <f t="shared" si="305"/>
        <v>0</v>
      </c>
      <c r="MN15" s="1178">
        <f t="shared" si="305"/>
        <v>0</v>
      </c>
      <c r="MO15" s="1178">
        <f t="shared" si="305"/>
        <v>0</v>
      </c>
      <c r="MP15" s="1178">
        <f t="shared" si="305"/>
        <v>0</v>
      </c>
      <c r="MQ15" s="1178">
        <f t="shared" si="306"/>
        <v>0</v>
      </c>
      <c r="MR15" s="1178">
        <f t="shared" si="306"/>
        <v>0</v>
      </c>
    </row>
    <row r="16" spans="1:356" x14ac:dyDescent="0.25">
      <c r="A16" s="764"/>
      <c r="B16" s="56">
        <v>2.4</v>
      </c>
      <c r="C16" s="13"/>
      <c r="D16" s="13"/>
      <c r="E16" s="1215" t="s">
        <v>31</v>
      </c>
      <c r="F16" s="1215"/>
      <c r="G16" s="1216"/>
      <c r="H16" s="371">
        <v>5.56</v>
      </c>
      <c r="I16" s="83">
        <v>8.06</v>
      </c>
      <c r="J16" s="197">
        <v>3.49</v>
      </c>
      <c r="K16" s="83">
        <v>7.19</v>
      </c>
      <c r="L16" s="197">
        <v>9.3800000000000008</v>
      </c>
      <c r="M16" s="83">
        <v>6.12</v>
      </c>
      <c r="N16" s="197">
        <v>8.17</v>
      </c>
      <c r="O16" s="83">
        <v>12.09</v>
      </c>
      <c r="P16" s="197">
        <v>10.17</v>
      </c>
      <c r="Q16" s="83">
        <v>6.01</v>
      </c>
      <c r="R16" s="197">
        <v>6.19</v>
      </c>
      <c r="S16" s="83">
        <v>7.42</v>
      </c>
      <c r="T16" s="132" t="s">
        <v>29</v>
      </c>
      <c r="U16" s="150">
        <v>7.4875000000000007</v>
      </c>
      <c r="V16" s="371">
        <v>8.43</v>
      </c>
      <c r="W16" s="83">
        <v>8.31</v>
      </c>
      <c r="X16" s="197">
        <v>7.23</v>
      </c>
      <c r="Y16" s="83">
        <v>10.5</v>
      </c>
      <c r="Z16" s="197">
        <v>10.37</v>
      </c>
      <c r="AA16" s="83">
        <v>8.57</v>
      </c>
      <c r="AB16" s="197">
        <v>6.41</v>
      </c>
      <c r="AC16" s="83">
        <v>5.54</v>
      </c>
      <c r="AD16" s="197">
        <v>4.53</v>
      </c>
      <c r="AE16" s="83">
        <v>9.2100000000000009</v>
      </c>
      <c r="AF16" s="197">
        <v>5.21</v>
      </c>
      <c r="AG16" s="83">
        <v>4.0199999999999996</v>
      </c>
      <c r="AH16" s="132" t="s">
        <v>29</v>
      </c>
      <c r="AI16" s="150">
        <v>7.360833333333332</v>
      </c>
      <c r="AJ16" s="371">
        <v>7.47</v>
      </c>
      <c r="AK16" s="83">
        <v>9.3000000000000007</v>
      </c>
      <c r="AL16" s="197">
        <v>10.01</v>
      </c>
      <c r="AM16" s="83">
        <v>105.27</v>
      </c>
      <c r="AN16" s="197">
        <v>10.1</v>
      </c>
      <c r="AO16" s="83">
        <v>10.130000000000001</v>
      </c>
      <c r="AP16" s="197">
        <v>8.02</v>
      </c>
      <c r="AQ16" s="83">
        <v>7.51</v>
      </c>
      <c r="AR16" s="197">
        <v>3.37</v>
      </c>
      <c r="AS16" s="83">
        <v>3.15</v>
      </c>
      <c r="AT16" s="197">
        <v>19.55</v>
      </c>
      <c r="AU16" s="83">
        <v>17.36</v>
      </c>
      <c r="AV16" s="132" t="s">
        <v>29</v>
      </c>
      <c r="AW16" s="150">
        <f t="shared" si="168"/>
        <v>17.603333333333335</v>
      </c>
      <c r="AX16" s="371">
        <v>9.0399999999999991</v>
      </c>
      <c r="AY16" s="83">
        <v>7.54</v>
      </c>
      <c r="AZ16" s="197">
        <v>15.5</v>
      </c>
      <c r="BA16" s="83">
        <v>187.57</v>
      </c>
      <c r="BB16" s="197">
        <v>160.01</v>
      </c>
      <c r="BC16" s="83">
        <v>89.58</v>
      </c>
      <c r="BD16" s="197">
        <v>23.35</v>
      </c>
      <c r="BE16" s="83">
        <v>12.26</v>
      </c>
      <c r="BF16" s="197">
        <v>16.5</v>
      </c>
      <c r="BG16" s="83">
        <v>11.14</v>
      </c>
      <c r="BH16" s="197">
        <v>7.42</v>
      </c>
      <c r="BI16" s="83">
        <v>11.55</v>
      </c>
      <c r="BJ16" s="132" t="s">
        <v>29</v>
      </c>
      <c r="BK16" s="150">
        <f t="shared" si="169"/>
        <v>45.954999999999984</v>
      </c>
      <c r="BL16" s="371">
        <v>11.26</v>
      </c>
      <c r="BM16" s="83">
        <v>9.0299999999999994</v>
      </c>
      <c r="BN16" s="197">
        <v>11.34</v>
      </c>
      <c r="BO16" s="83">
        <v>22.172999999999998</v>
      </c>
      <c r="BP16" s="197">
        <v>12.56</v>
      </c>
      <c r="BQ16" s="83">
        <v>11.5</v>
      </c>
      <c r="BR16" s="197">
        <v>44.29</v>
      </c>
      <c r="BS16" s="83">
        <v>35.36</v>
      </c>
      <c r="BT16" s="197">
        <v>30.22</v>
      </c>
      <c r="BU16" s="197">
        <v>10.53</v>
      </c>
      <c r="BV16" s="197">
        <v>6.25</v>
      </c>
      <c r="BW16" s="197">
        <v>13.11</v>
      </c>
      <c r="BX16" s="132" t="s">
        <v>29</v>
      </c>
      <c r="BY16" s="150">
        <f t="shared" si="170"/>
        <v>18.135249999999999</v>
      </c>
      <c r="BZ16" s="197">
        <v>18.559999999999999</v>
      </c>
      <c r="CA16" s="83">
        <v>9.4</v>
      </c>
      <c r="CB16" s="197">
        <v>21.33</v>
      </c>
      <c r="CC16" s="83">
        <v>35.19</v>
      </c>
      <c r="CD16" s="197">
        <v>39.049999999999997</v>
      </c>
      <c r="CE16" s="83">
        <v>32.11</v>
      </c>
      <c r="CF16" s="197">
        <v>16.149999999999999</v>
      </c>
      <c r="CG16" s="83">
        <v>10.08</v>
      </c>
      <c r="CH16" s="197">
        <v>14.54</v>
      </c>
      <c r="CI16" s="197">
        <v>7.55</v>
      </c>
      <c r="CJ16" s="197">
        <v>6</v>
      </c>
      <c r="CK16" s="197">
        <v>11.44</v>
      </c>
      <c r="CL16" s="132" t="s">
        <v>29</v>
      </c>
      <c r="CM16" s="150">
        <f t="shared" si="171"/>
        <v>18.45</v>
      </c>
      <c r="CN16" s="197">
        <v>13.47</v>
      </c>
      <c r="CO16" s="83">
        <v>11.04</v>
      </c>
      <c r="CP16" s="197">
        <v>18.5</v>
      </c>
      <c r="CQ16" s="83">
        <v>8.4</v>
      </c>
      <c r="CR16" s="197">
        <v>13.4</v>
      </c>
      <c r="CS16" s="83">
        <v>8.1300000000000008</v>
      </c>
      <c r="CT16" s="197">
        <v>13.28</v>
      </c>
      <c r="CU16" s="83">
        <v>23.09</v>
      </c>
      <c r="CV16" s="197">
        <v>11.58</v>
      </c>
      <c r="CW16" s="1057">
        <v>11.05</v>
      </c>
      <c r="CX16" s="197">
        <v>21.33</v>
      </c>
      <c r="CY16" s="83">
        <v>7.45</v>
      </c>
      <c r="CZ16" s="132" t="s">
        <v>29</v>
      </c>
      <c r="DA16" s="150">
        <f t="shared" si="172"/>
        <v>13.393333333333331</v>
      </c>
      <c r="DB16" s="197">
        <v>7.46</v>
      </c>
      <c r="DC16" s="83">
        <v>6.38</v>
      </c>
      <c r="DD16" s="197">
        <v>9.5500000000000007</v>
      </c>
      <c r="DE16" s="83">
        <v>8.35</v>
      </c>
      <c r="DF16" s="197">
        <v>9.06</v>
      </c>
      <c r="DG16" s="83">
        <v>4.57</v>
      </c>
      <c r="DH16" s="197">
        <v>14.25</v>
      </c>
      <c r="DI16" s="83">
        <v>31.55</v>
      </c>
      <c r="DJ16" s="197">
        <v>8.3800000000000008</v>
      </c>
      <c r="DK16" s="83">
        <v>11.4</v>
      </c>
      <c r="DL16" s="197"/>
      <c r="DM16" s="83"/>
      <c r="DN16" s="132" t="s">
        <v>29</v>
      </c>
      <c r="DO16" s="150">
        <f t="shared" si="173"/>
        <v>11.095000000000001</v>
      </c>
      <c r="DP16" s="197"/>
      <c r="DQ16" s="83"/>
      <c r="DR16" s="197"/>
      <c r="DS16" s="83"/>
      <c r="DT16" s="197"/>
      <c r="DU16" s="83"/>
      <c r="DV16" s="197"/>
      <c r="DW16" s="83"/>
      <c r="DX16" s="197"/>
      <c r="DY16" s="83"/>
      <c r="DZ16" s="197"/>
      <c r="EA16" s="83"/>
      <c r="EB16" s="132" t="s">
        <v>29</v>
      </c>
      <c r="EC16" s="150" t="e">
        <f t="shared" si="174"/>
        <v>#DIV/0!</v>
      </c>
      <c r="ED16" s="664">
        <f t="shared" si="175"/>
        <v>-8.32</v>
      </c>
      <c r="EE16" s="663">
        <f t="shared" si="176"/>
        <v>-0.47926267281105994</v>
      </c>
      <c r="EF16" s="664">
        <f t="shared" si="177"/>
        <v>-1.4999999999999991</v>
      </c>
      <c r="EG16" s="663">
        <f t="shared" si="178"/>
        <v>-0.16592920353982293</v>
      </c>
      <c r="EH16" s="664">
        <f t="shared" si="179"/>
        <v>7.96</v>
      </c>
      <c r="EI16" s="663">
        <f t="shared" si="180"/>
        <v>1.0557029177718833</v>
      </c>
      <c r="EJ16" s="664">
        <f t="shared" si="181"/>
        <v>172.07</v>
      </c>
      <c r="EK16" s="663">
        <f t="shared" si="182"/>
        <v>11.101290322580645</v>
      </c>
      <c r="EL16" s="664">
        <f t="shared" si="183"/>
        <v>-27.560000000000002</v>
      </c>
      <c r="EM16" s="663">
        <f t="shared" si="184"/>
        <v>-0.14693181212347392</v>
      </c>
      <c r="EN16" s="664">
        <f t="shared" si="185"/>
        <v>-70.429999999999993</v>
      </c>
      <c r="EO16" s="663">
        <f t="shared" si="186"/>
        <v>-0.44015999000062495</v>
      </c>
      <c r="EP16" s="664">
        <f t="shared" si="187"/>
        <v>-66.22999999999999</v>
      </c>
      <c r="EQ16" s="663">
        <f t="shared" si="188"/>
        <v>-0.73933913820049113</v>
      </c>
      <c r="ER16" s="664">
        <f t="shared" si="189"/>
        <v>-11.090000000000002</v>
      </c>
      <c r="ES16" s="663">
        <f t="shared" si="190"/>
        <v>-0.47494646680942187</v>
      </c>
      <c r="ET16" s="664">
        <f t="shared" si="191"/>
        <v>4.24</v>
      </c>
      <c r="EU16" s="663">
        <f t="shared" si="192"/>
        <v>0.34584013050570966</v>
      </c>
      <c r="EV16" s="664">
        <f t="shared" si="193"/>
        <v>-5.3599999999999994</v>
      </c>
      <c r="EW16" s="109">
        <f t="shared" si="194"/>
        <v>-0.32484848484848483</v>
      </c>
      <c r="EX16" s="664">
        <f t="shared" si="195"/>
        <v>-3.7200000000000006</v>
      </c>
      <c r="EY16" s="663">
        <f t="shared" si="196"/>
        <v>-0.33393177737881513</v>
      </c>
      <c r="EZ16" s="664">
        <f t="shared" si="197"/>
        <v>4.1300000000000008</v>
      </c>
      <c r="FA16" s="663">
        <f t="shared" si="198"/>
        <v>0.55660377358490576</v>
      </c>
      <c r="FB16" s="664">
        <f t="shared" si="199"/>
        <v>-0.29000000000000092</v>
      </c>
      <c r="FC16" s="663">
        <f t="shared" si="200"/>
        <v>-2.5108225108225187E-2</v>
      </c>
      <c r="FD16" s="316">
        <f t="shared" si="201"/>
        <v>-2.2300000000000004</v>
      </c>
      <c r="FE16" s="402">
        <f t="shared" si="202"/>
        <v>-0.19804618117229134</v>
      </c>
      <c r="FF16" s="316">
        <f t="shared" si="203"/>
        <v>2.3100000000000005</v>
      </c>
      <c r="FG16" s="402">
        <f t="shared" si="204"/>
        <v>0.25581395348837216</v>
      </c>
      <c r="FH16" s="316">
        <f t="shared" si="205"/>
        <v>10.832999999999998</v>
      </c>
      <c r="FI16" s="402">
        <f t="shared" si="206"/>
        <v>0.95529100529100519</v>
      </c>
      <c r="FJ16" s="316">
        <f t="shared" si="207"/>
        <v>-9.6129999999999978</v>
      </c>
      <c r="FK16" s="402">
        <f t="shared" si="208"/>
        <v>-0.43354530284580339</v>
      </c>
      <c r="FL16" s="316">
        <f t="shared" si="209"/>
        <v>-1.0600000000000005</v>
      </c>
      <c r="FM16" s="402">
        <f t="shared" si="210"/>
        <v>-8.4394904458598763E-2</v>
      </c>
      <c r="FN16" s="316">
        <f t="shared" si="211"/>
        <v>32.79</v>
      </c>
      <c r="FO16" s="402">
        <f t="shared" si="212"/>
        <v>2.8513043478260869</v>
      </c>
      <c r="FP16" s="316">
        <f t="shared" si="213"/>
        <v>-8.93</v>
      </c>
      <c r="FQ16" s="402">
        <f t="shared" si="214"/>
        <v>-0.20162564913072928</v>
      </c>
      <c r="FR16" s="316">
        <f t="shared" si="215"/>
        <v>-5.1400000000000006</v>
      </c>
      <c r="FS16" s="402">
        <f t="shared" si="216"/>
        <v>-0.14536199095022626</v>
      </c>
      <c r="FT16" s="316">
        <f t="shared" si="217"/>
        <v>-19.689999999999998</v>
      </c>
      <c r="FU16" s="402">
        <f t="shared" si="218"/>
        <v>-0.65155526141628051</v>
      </c>
      <c r="FV16" s="316">
        <f t="shared" si="219"/>
        <v>-4.2799999999999994</v>
      </c>
      <c r="FW16" s="402">
        <f t="shared" si="220"/>
        <v>-0.40645773979107308</v>
      </c>
      <c r="FX16" s="316">
        <f t="shared" si="221"/>
        <v>6.8599999999999994</v>
      </c>
      <c r="FY16" s="402">
        <f t="shared" si="222"/>
        <v>1.0975999999999999</v>
      </c>
      <c r="FZ16" s="316">
        <f t="shared" si="223"/>
        <v>5.4499999999999993</v>
      </c>
      <c r="GA16" s="402">
        <f t="shared" si="224"/>
        <v>0.4157131960335621</v>
      </c>
      <c r="GB16" s="316">
        <f t="shared" si="225"/>
        <v>-9.1599999999999984</v>
      </c>
      <c r="GC16" s="402">
        <f t="shared" si="226"/>
        <v>-0.49353448275862066</v>
      </c>
      <c r="GD16" s="316">
        <f t="shared" si="227"/>
        <v>11.929999999999998</v>
      </c>
      <c r="GE16" s="402">
        <f t="shared" si="228"/>
        <v>1.2691489361702124</v>
      </c>
      <c r="GF16" s="316">
        <f t="shared" si="229"/>
        <v>13.86</v>
      </c>
      <c r="GG16" s="402">
        <f t="shared" si="230"/>
        <v>0.64978902953586504</v>
      </c>
      <c r="GH16" s="316">
        <f t="shared" si="231"/>
        <v>3.8599999999999994</v>
      </c>
      <c r="GI16" s="402">
        <f t="shared" si="232"/>
        <v>0.1096902529127593</v>
      </c>
      <c r="GJ16" s="316">
        <f t="shared" si="233"/>
        <v>-6.9399999999999977</v>
      </c>
      <c r="GK16" s="402">
        <f t="shared" si="234"/>
        <v>-0.17772087067861711</v>
      </c>
      <c r="GL16" s="316">
        <f t="shared" si="235"/>
        <v>-15.96</v>
      </c>
      <c r="GM16" s="402">
        <f t="shared" si="236"/>
        <v>-0.49704142011834324</v>
      </c>
      <c r="GN16" s="316">
        <f t="shared" si="237"/>
        <v>-6.0699999999999985</v>
      </c>
      <c r="GO16" s="402">
        <f t="shared" si="238"/>
        <v>-0.37585139318885441</v>
      </c>
      <c r="GP16" s="316">
        <f t="shared" si="239"/>
        <v>4.4599999999999991</v>
      </c>
      <c r="GQ16" s="402">
        <f t="shared" si="240"/>
        <v>0.44246031746031739</v>
      </c>
      <c r="GR16" s="316">
        <f t="shared" si="241"/>
        <v>-6.9899999999999993</v>
      </c>
      <c r="GS16" s="402">
        <f t="shared" si="242"/>
        <v>-0.48074277854195324</v>
      </c>
      <c r="GT16" s="316">
        <f t="shared" si="243"/>
        <v>-1.5499999999999998</v>
      </c>
      <c r="GU16" s="402">
        <f t="shared" si="244"/>
        <v>-0.20529801324503311</v>
      </c>
      <c r="GV16" s="316">
        <f t="shared" si="245"/>
        <v>5.4399999999999995</v>
      </c>
      <c r="GW16" s="402">
        <f t="shared" si="246"/>
        <v>0.90666666666666662</v>
      </c>
      <c r="GX16" s="316">
        <f t="shared" si="247"/>
        <v>2.0300000000000011</v>
      </c>
      <c r="GY16" s="402">
        <f t="shared" si="248"/>
        <v>0.17744755244755256</v>
      </c>
      <c r="GZ16" s="316">
        <f t="shared" si="249"/>
        <v>-2.4300000000000015</v>
      </c>
      <c r="HA16" s="402">
        <f t="shared" si="250"/>
        <v>-0.18040089086859698</v>
      </c>
      <c r="HB16" s="316">
        <f t="shared" si="251"/>
        <v>7.4600000000000009</v>
      </c>
      <c r="HC16" s="402">
        <f t="shared" si="252"/>
        <v>0.67572463768115953</v>
      </c>
      <c r="HD16" s="316">
        <f t="shared" si="253"/>
        <v>-10.1</v>
      </c>
      <c r="HE16" s="402">
        <f t="shared" si="254"/>
        <v>-0.54594594594594592</v>
      </c>
      <c r="HF16" s="316">
        <f t="shared" si="255"/>
        <v>5</v>
      </c>
      <c r="HG16" s="402">
        <f t="shared" si="256"/>
        <v>0.59523809523809523</v>
      </c>
      <c r="HH16" s="316">
        <f t="shared" si="257"/>
        <v>-5.27</v>
      </c>
      <c r="HI16" s="402">
        <f t="shared" si="258"/>
        <v>-0.39328358208955222</v>
      </c>
      <c r="HJ16" s="316">
        <f t="shared" si="259"/>
        <v>5.1499999999999986</v>
      </c>
      <c r="HK16" s="402">
        <f t="shared" si="260"/>
        <v>0.63345633456334538</v>
      </c>
      <c r="HL16" s="316">
        <f t="shared" si="261"/>
        <v>9.81</v>
      </c>
      <c r="HM16" s="402">
        <f t="shared" si="262"/>
        <v>0.73870481927710852</v>
      </c>
      <c r="HN16" s="316">
        <f t="shared" si="263"/>
        <v>-11.51</v>
      </c>
      <c r="HO16" s="402">
        <f t="shared" si="264"/>
        <v>-0.49848419229103508</v>
      </c>
      <c r="HP16" s="316">
        <f t="shared" si="265"/>
        <v>-0.52999999999999936</v>
      </c>
      <c r="HQ16" s="402">
        <f t="shared" si="266"/>
        <v>-4.576856649395504E-2</v>
      </c>
      <c r="HR16" s="316">
        <f t="shared" si="267"/>
        <v>10.279999999999998</v>
      </c>
      <c r="HS16" s="402">
        <f t="shared" si="268"/>
        <v>0.93031674208144766</v>
      </c>
      <c r="HT16" s="316">
        <f t="shared" si="269"/>
        <v>-13.879999999999999</v>
      </c>
      <c r="HU16" s="402">
        <f t="shared" si="270"/>
        <v>-0.65072667604313172</v>
      </c>
      <c r="HV16" s="316">
        <f t="shared" si="271"/>
        <v>9.9999999999997868E-3</v>
      </c>
      <c r="HW16" s="402">
        <f t="shared" si="272"/>
        <v>1.3422818791946022E-3</v>
      </c>
      <c r="HX16" s="316">
        <f t="shared" si="273"/>
        <v>-1.08</v>
      </c>
      <c r="HY16" s="402">
        <f t="shared" si="274"/>
        <v>-0.1447721179624665</v>
      </c>
      <c r="HZ16" s="316">
        <f t="shared" si="275"/>
        <v>3.1700000000000008</v>
      </c>
      <c r="IA16" s="402">
        <f t="shared" si="276"/>
        <v>0.33193717277486917</v>
      </c>
      <c r="IB16" s="316">
        <f t="shared" si="277"/>
        <v>-1.2000000000000011</v>
      </c>
      <c r="IC16" s="402">
        <f t="shared" si="278"/>
        <v>-0.12565445026178021</v>
      </c>
      <c r="ID16" s="316">
        <f t="shared" si="279"/>
        <v>0.71000000000000085</v>
      </c>
      <c r="IE16" s="402">
        <f t="shared" si="280"/>
        <v>6.3992789544840098E-2</v>
      </c>
      <c r="IF16" s="316">
        <f t="shared" si="281"/>
        <v>-4.49</v>
      </c>
      <c r="IG16" s="402">
        <f t="shared" si="282"/>
        <v>-0.49558498896247238</v>
      </c>
      <c r="IH16" s="316">
        <f t="shared" si="283"/>
        <v>9.68</v>
      </c>
      <c r="II16" s="402">
        <f t="shared" si="284"/>
        <v>2.1181619256017505</v>
      </c>
      <c r="IJ16" s="316">
        <f t="shared" si="285"/>
        <v>17.3</v>
      </c>
      <c r="IK16" s="402">
        <f t="shared" si="286"/>
        <v>1.2140350877192982</v>
      </c>
      <c r="IL16" s="316">
        <f t="shared" si="287"/>
        <v>-23.17</v>
      </c>
      <c r="IM16" s="402">
        <f t="shared" si="288"/>
        <v>-0.73438985736925522</v>
      </c>
      <c r="IN16" s="316">
        <f t="shared" si="289"/>
        <v>3.0199999999999996</v>
      </c>
      <c r="IO16" s="402">
        <f t="shared" si="290"/>
        <v>0.36038186157517893</v>
      </c>
      <c r="IP16" s="316">
        <f t="shared" si="291"/>
        <v>-11.4</v>
      </c>
      <c r="IQ16" s="402">
        <f t="shared" si="292"/>
        <v>-10.798492462311557</v>
      </c>
      <c r="IR16" s="316">
        <f t="shared" si="293"/>
        <v>-160.96870967741935</v>
      </c>
      <c r="IS16" s="402">
        <f t="shared" si="294"/>
        <v>-0.93548387096774199</v>
      </c>
      <c r="IT16" s="197">
        <f t="shared" si="295"/>
        <v>11.05</v>
      </c>
      <c r="IU16" s="1057">
        <f t="shared" si="296"/>
        <v>11.4</v>
      </c>
      <c r="IV16" s="664">
        <f>IU16-IT16</f>
        <v>0.34999999999999964</v>
      </c>
      <c r="IW16" s="109">
        <f t="shared" si="297"/>
        <v>3.1674208144796344E-2</v>
      </c>
      <c r="IX16" s="698"/>
      <c r="IY16" s="698"/>
      <c r="IZ16" s="698"/>
      <c r="JA16" t="str">
        <f t="shared" si="298"/>
        <v>Maximum Wait Time (Minutes)</v>
      </c>
      <c r="JB16" s="264" t="e">
        <f>#REF!</f>
        <v>#REF!</v>
      </c>
      <c r="JC16" s="264" t="e">
        <f>#REF!</f>
        <v>#REF!</v>
      </c>
      <c r="JD16" s="264" t="e">
        <f>#REF!</f>
        <v>#REF!</v>
      </c>
      <c r="JE16" s="264" t="e">
        <f>#REF!</f>
        <v>#REF!</v>
      </c>
      <c r="JF16" s="264" t="e">
        <f>#REF!</f>
        <v>#REF!</v>
      </c>
      <c r="JG16" s="264" t="e">
        <f>#REF!</f>
        <v>#REF!</v>
      </c>
      <c r="JH16" s="264" t="e">
        <f>#REF!</f>
        <v>#REF!</v>
      </c>
      <c r="JI16" s="264" t="e">
        <f>#REF!</f>
        <v>#REF!</v>
      </c>
      <c r="JJ16" s="264" t="e">
        <f>#REF!</f>
        <v>#REF!</v>
      </c>
      <c r="JK16" s="264" t="e">
        <f>#REF!</f>
        <v>#REF!</v>
      </c>
      <c r="JL16" s="264" t="e">
        <f>#REF!</f>
        <v>#REF!</v>
      </c>
      <c r="JM16" s="265">
        <f t="shared" si="299"/>
        <v>7.47</v>
      </c>
      <c r="JN16" s="265">
        <f t="shared" si="299"/>
        <v>9.3000000000000007</v>
      </c>
      <c r="JO16" s="265">
        <f t="shared" si="299"/>
        <v>10.01</v>
      </c>
      <c r="JP16" s="265">
        <f t="shared" si="299"/>
        <v>105.27</v>
      </c>
      <c r="JQ16" s="265">
        <f t="shared" si="299"/>
        <v>10.1</v>
      </c>
      <c r="JR16" s="265">
        <f t="shared" si="299"/>
        <v>10.130000000000001</v>
      </c>
      <c r="JS16" s="265">
        <f t="shared" si="299"/>
        <v>8.02</v>
      </c>
      <c r="JT16" s="265">
        <f t="shared" si="299"/>
        <v>7.51</v>
      </c>
      <c r="JU16" s="265">
        <f t="shared" si="299"/>
        <v>3.37</v>
      </c>
      <c r="JV16" s="265">
        <f t="shared" si="299"/>
        <v>3.15</v>
      </c>
      <c r="JW16" s="265">
        <f t="shared" si="299"/>
        <v>19.55</v>
      </c>
      <c r="JX16" s="265">
        <f t="shared" si="299"/>
        <v>17.36</v>
      </c>
      <c r="JY16" s="265">
        <f t="shared" si="300"/>
        <v>9.0399999999999991</v>
      </c>
      <c r="JZ16" s="265">
        <f t="shared" si="300"/>
        <v>7.54</v>
      </c>
      <c r="KA16" s="265">
        <f t="shared" si="300"/>
        <v>15.5</v>
      </c>
      <c r="KB16" s="265">
        <f t="shared" si="300"/>
        <v>187.57</v>
      </c>
      <c r="KC16" s="265">
        <f t="shared" si="300"/>
        <v>160.01</v>
      </c>
      <c r="KD16" s="265">
        <f t="shared" si="300"/>
        <v>89.58</v>
      </c>
      <c r="KE16" s="265">
        <f t="shared" si="300"/>
        <v>23.35</v>
      </c>
      <c r="KF16" s="265">
        <f t="shared" si="300"/>
        <v>12.26</v>
      </c>
      <c r="KG16" s="265">
        <f t="shared" si="300"/>
        <v>16.5</v>
      </c>
      <c r="KH16" s="265">
        <f t="shared" si="300"/>
        <v>11.14</v>
      </c>
      <c r="KI16" s="265">
        <f t="shared" si="300"/>
        <v>7.42</v>
      </c>
      <c r="KJ16" s="265">
        <f t="shared" si="300"/>
        <v>11.55</v>
      </c>
      <c r="KK16" s="789">
        <f t="shared" si="301"/>
        <v>11.26</v>
      </c>
      <c r="KL16" s="789">
        <f t="shared" si="301"/>
        <v>9.0299999999999994</v>
      </c>
      <c r="KM16" s="789">
        <f t="shared" si="301"/>
        <v>11.34</v>
      </c>
      <c r="KN16" s="789">
        <f t="shared" si="301"/>
        <v>22.172999999999998</v>
      </c>
      <c r="KO16" s="789">
        <f t="shared" si="301"/>
        <v>12.56</v>
      </c>
      <c r="KP16" s="789">
        <f t="shared" si="301"/>
        <v>11.5</v>
      </c>
      <c r="KQ16" s="789">
        <f t="shared" si="301"/>
        <v>44.29</v>
      </c>
      <c r="KR16" s="789">
        <f t="shared" si="301"/>
        <v>35.36</v>
      </c>
      <c r="KS16" s="789">
        <f t="shared" si="301"/>
        <v>30.22</v>
      </c>
      <c r="KT16" s="789">
        <f t="shared" si="301"/>
        <v>10.53</v>
      </c>
      <c r="KU16" s="789">
        <f t="shared" si="301"/>
        <v>6.25</v>
      </c>
      <c r="KV16" s="789">
        <f t="shared" si="301"/>
        <v>13.11</v>
      </c>
      <c r="KW16" s="901">
        <f t="shared" si="302"/>
        <v>18.559999999999999</v>
      </c>
      <c r="KX16" s="901">
        <f t="shared" si="302"/>
        <v>9.4</v>
      </c>
      <c r="KY16" s="901">
        <f t="shared" si="302"/>
        <v>21.33</v>
      </c>
      <c r="KZ16" s="901">
        <f t="shared" si="302"/>
        <v>35.19</v>
      </c>
      <c r="LA16" s="901">
        <f t="shared" si="302"/>
        <v>39.049999999999997</v>
      </c>
      <c r="LB16" s="901">
        <f t="shared" si="302"/>
        <v>32.11</v>
      </c>
      <c r="LC16" s="901">
        <f t="shared" si="302"/>
        <v>16.149999999999999</v>
      </c>
      <c r="LD16" s="901">
        <f t="shared" si="302"/>
        <v>10.08</v>
      </c>
      <c r="LE16" s="901">
        <f t="shared" si="302"/>
        <v>14.54</v>
      </c>
      <c r="LF16" s="901">
        <f t="shared" si="302"/>
        <v>7.55</v>
      </c>
      <c r="LG16" s="901">
        <f t="shared" si="302"/>
        <v>6</v>
      </c>
      <c r="LH16" s="901">
        <f t="shared" si="302"/>
        <v>11.44</v>
      </c>
      <c r="LI16" s="960">
        <f t="shared" si="303"/>
        <v>13.47</v>
      </c>
      <c r="LJ16" s="960">
        <f t="shared" si="303"/>
        <v>11.04</v>
      </c>
      <c r="LK16" s="960">
        <f t="shared" si="303"/>
        <v>18.5</v>
      </c>
      <c r="LL16" s="960">
        <f t="shared" si="303"/>
        <v>8.4</v>
      </c>
      <c r="LM16" s="960">
        <f t="shared" si="303"/>
        <v>13.4</v>
      </c>
      <c r="LN16" s="960">
        <f t="shared" si="303"/>
        <v>8.1300000000000008</v>
      </c>
      <c r="LO16" s="960">
        <f t="shared" si="303"/>
        <v>13.28</v>
      </c>
      <c r="LP16" s="960">
        <f t="shared" si="303"/>
        <v>23.09</v>
      </c>
      <c r="LQ16" s="960">
        <f t="shared" si="303"/>
        <v>11.58</v>
      </c>
      <c r="LR16" s="960">
        <f t="shared" si="303"/>
        <v>11.05</v>
      </c>
      <c r="LS16" s="960">
        <f t="shared" si="303"/>
        <v>21.33</v>
      </c>
      <c r="LT16" s="960">
        <f t="shared" si="303"/>
        <v>7.45</v>
      </c>
      <c r="LU16" s="1156">
        <f t="shared" si="304"/>
        <v>7.46</v>
      </c>
      <c r="LV16" s="1156">
        <f t="shared" si="304"/>
        <v>6.38</v>
      </c>
      <c r="LW16" s="1156">
        <f t="shared" si="304"/>
        <v>9.5500000000000007</v>
      </c>
      <c r="LX16" s="1156">
        <f t="shared" si="304"/>
        <v>8.35</v>
      </c>
      <c r="LY16" s="1156">
        <f t="shared" si="304"/>
        <v>9.06</v>
      </c>
      <c r="LZ16" s="1156">
        <f t="shared" si="304"/>
        <v>4.57</v>
      </c>
      <c r="MA16" s="1156">
        <f t="shared" si="304"/>
        <v>14.25</v>
      </c>
      <c r="MB16" s="1156">
        <f t="shared" si="304"/>
        <v>31.55</v>
      </c>
      <c r="MC16" s="1156">
        <f t="shared" si="304"/>
        <v>8.3800000000000008</v>
      </c>
      <c r="MD16" s="1156">
        <f t="shared" si="304"/>
        <v>11.4</v>
      </c>
      <c r="ME16" s="1156">
        <f t="shared" si="304"/>
        <v>0</v>
      </c>
      <c r="MF16" s="1156">
        <f t="shared" si="304"/>
        <v>0</v>
      </c>
      <c r="MG16" s="1178">
        <f t="shared" si="305"/>
        <v>0</v>
      </c>
      <c r="MH16" s="1178">
        <f t="shared" si="305"/>
        <v>0</v>
      </c>
      <c r="MI16" s="1178">
        <f t="shared" si="305"/>
        <v>0</v>
      </c>
      <c r="MJ16" s="1178">
        <f t="shared" si="305"/>
        <v>0</v>
      </c>
      <c r="MK16" s="1178">
        <f t="shared" si="305"/>
        <v>0</v>
      </c>
      <c r="ML16" s="1178">
        <f t="shared" si="305"/>
        <v>0</v>
      </c>
      <c r="MM16" s="1178">
        <f t="shared" si="305"/>
        <v>0</v>
      </c>
      <c r="MN16" s="1178">
        <f t="shared" si="305"/>
        <v>0</v>
      </c>
      <c r="MO16" s="1178">
        <f t="shared" si="305"/>
        <v>0</v>
      </c>
      <c r="MP16" s="1178">
        <f t="shared" si="305"/>
        <v>0</v>
      </c>
      <c r="MQ16" s="1178">
        <f t="shared" si="306"/>
        <v>0</v>
      </c>
      <c r="MR16" s="1178">
        <f t="shared" si="306"/>
        <v>0</v>
      </c>
    </row>
    <row r="17" spans="1:356" x14ac:dyDescent="0.25">
      <c r="A17" s="764"/>
      <c r="B17" s="56">
        <v>2.5</v>
      </c>
      <c r="C17" s="13"/>
      <c r="D17" s="13"/>
      <c r="E17" s="1215" t="s">
        <v>3</v>
      </c>
      <c r="F17" s="1215"/>
      <c r="G17" s="1216"/>
      <c r="H17" s="370">
        <v>10.07</v>
      </c>
      <c r="I17" s="83">
        <v>10.220000000000001</v>
      </c>
      <c r="J17" s="82">
        <v>10.29</v>
      </c>
      <c r="K17" s="83">
        <v>11.12</v>
      </c>
      <c r="L17" s="82">
        <v>10.220000000000001</v>
      </c>
      <c r="M17" s="83">
        <v>10.32</v>
      </c>
      <c r="N17" s="82">
        <v>10.11</v>
      </c>
      <c r="O17" s="83">
        <v>9.3800000000000008</v>
      </c>
      <c r="P17" s="82">
        <v>8.44</v>
      </c>
      <c r="Q17" s="83">
        <v>8.57</v>
      </c>
      <c r="R17" s="82">
        <v>8.5</v>
      </c>
      <c r="S17" s="83">
        <v>9.35</v>
      </c>
      <c r="T17" s="133" t="s">
        <v>29</v>
      </c>
      <c r="U17" s="150">
        <v>9.7158333333333307</v>
      </c>
      <c r="V17" s="370">
        <v>9.49</v>
      </c>
      <c r="W17" s="83">
        <v>9.42</v>
      </c>
      <c r="X17" s="82">
        <v>9.49</v>
      </c>
      <c r="Y17" s="83">
        <v>9.49</v>
      </c>
      <c r="Z17" s="82">
        <v>9.1999999999999993</v>
      </c>
      <c r="AA17" s="83">
        <v>9.36</v>
      </c>
      <c r="AB17" s="82">
        <v>10.01</v>
      </c>
      <c r="AC17" s="83">
        <v>9.57</v>
      </c>
      <c r="AD17" s="82">
        <v>9.5299999999999994</v>
      </c>
      <c r="AE17" s="83">
        <v>9.3800000000000008</v>
      </c>
      <c r="AF17" s="90">
        <v>9.4499999999999993</v>
      </c>
      <c r="AG17" s="83">
        <v>9.57</v>
      </c>
      <c r="AH17" s="133" t="s">
        <v>29</v>
      </c>
      <c r="AI17" s="150">
        <v>9.4966666666666679</v>
      </c>
      <c r="AJ17" s="370">
        <v>9.33</v>
      </c>
      <c r="AK17" s="83">
        <v>9.42</v>
      </c>
      <c r="AL17" s="82">
        <v>10.24</v>
      </c>
      <c r="AM17" s="83">
        <v>11.29</v>
      </c>
      <c r="AN17" s="82">
        <v>10.3</v>
      </c>
      <c r="AO17" s="83">
        <v>10.06</v>
      </c>
      <c r="AP17" s="179">
        <v>9.41</v>
      </c>
      <c r="AQ17" s="83">
        <v>9.06</v>
      </c>
      <c r="AR17" s="179">
        <v>9.2899999999999991</v>
      </c>
      <c r="AS17" s="83">
        <v>9.49</v>
      </c>
      <c r="AT17" s="179">
        <v>10.130000000000001</v>
      </c>
      <c r="AU17" s="83">
        <v>9.42</v>
      </c>
      <c r="AV17" s="133" t="s">
        <v>29</v>
      </c>
      <c r="AW17" s="150">
        <f t="shared" si="168"/>
        <v>9.7866666666666671</v>
      </c>
      <c r="AX17" s="370">
        <v>4.18</v>
      </c>
      <c r="AY17" s="83">
        <v>4.32</v>
      </c>
      <c r="AZ17" s="82">
        <v>6.04</v>
      </c>
      <c r="BA17" s="83">
        <v>7.36</v>
      </c>
      <c r="BB17" s="82">
        <v>3.28</v>
      </c>
      <c r="BC17" s="83">
        <v>5.01</v>
      </c>
      <c r="BD17" s="179">
        <v>5.01</v>
      </c>
      <c r="BE17" s="83">
        <v>5.1100000000000003</v>
      </c>
      <c r="BF17" s="179">
        <v>5.07</v>
      </c>
      <c r="BG17" s="83">
        <v>5.14</v>
      </c>
      <c r="BH17" s="179">
        <v>5.0199999999999996</v>
      </c>
      <c r="BI17" s="83">
        <v>5.2</v>
      </c>
      <c r="BJ17" s="133" t="s">
        <v>29</v>
      </c>
      <c r="BK17" s="150">
        <f t="shared" si="169"/>
        <v>5.0616666666666665</v>
      </c>
      <c r="BL17" s="370">
        <v>5.05</v>
      </c>
      <c r="BM17" s="83">
        <v>5.08</v>
      </c>
      <c r="BN17" s="82">
        <v>5.0599999999999996</v>
      </c>
      <c r="BO17" s="83">
        <v>5.38</v>
      </c>
      <c r="BP17" s="82">
        <v>5.0199999999999996</v>
      </c>
      <c r="BQ17" s="83">
        <v>5.03</v>
      </c>
      <c r="BR17" s="179">
        <v>5.01</v>
      </c>
      <c r="BS17" s="83">
        <v>4.45</v>
      </c>
      <c r="BT17" s="179">
        <v>4.1900000000000004</v>
      </c>
      <c r="BU17" s="179">
        <v>4.1500000000000004</v>
      </c>
      <c r="BV17" s="179">
        <v>4.21</v>
      </c>
      <c r="BW17" s="179">
        <v>4.1399999999999997</v>
      </c>
      <c r="BX17" s="133" t="s">
        <v>29</v>
      </c>
      <c r="BY17" s="150">
        <f t="shared" si="170"/>
        <v>4.730833333333333</v>
      </c>
      <c r="BZ17" s="179">
        <v>4.1500000000000004</v>
      </c>
      <c r="CA17" s="83">
        <v>4.21</v>
      </c>
      <c r="CB17" s="82">
        <v>4.18</v>
      </c>
      <c r="CC17" s="83">
        <v>4.5599999999999996</v>
      </c>
      <c r="CD17" s="82">
        <v>5.0199999999999996</v>
      </c>
      <c r="CE17" s="83">
        <v>4.5199999999999996</v>
      </c>
      <c r="CF17" s="179">
        <v>4.47</v>
      </c>
      <c r="CG17" s="83">
        <v>4.3600000000000003</v>
      </c>
      <c r="CH17" s="179">
        <v>4.28</v>
      </c>
      <c r="CI17" s="179">
        <v>4.4000000000000004</v>
      </c>
      <c r="CJ17" s="179">
        <v>4.18</v>
      </c>
      <c r="CK17" s="179">
        <v>3.39</v>
      </c>
      <c r="CL17" s="133" t="s">
        <v>29</v>
      </c>
      <c r="CM17" s="150">
        <f t="shared" si="171"/>
        <v>4.3099999999999996</v>
      </c>
      <c r="CN17" s="179">
        <v>4.34</v>
      </c>
      <c r="CO17" s="83">
        <v>4.3</v>
      </c>
      <c r="CP17" s="82">
        <v>4.22</v>
      </c>
      <c r="CQ17" s="83">
        <v>4.1399999999999997</v>
      </c>
      <c r="CR17" s="82">
        <v>4.08</v>
      </c>
      <c r="CS17" s="83">
        <v>4.46</v>
      </c>
      <c r="CT17" s="197">
        <v>5.03</v>
      </c>
      <c r="CU17" s="83">
        <v>12.07</v>
      </c>
      <c r="CV17" s="179">
        <v>9.52</v>
      </c>
      <c r="CW17" s="1057">
        <v>4.4000000000000004</v>
      </c>
      <c r="CX17" s="179">
        <v>3.51</v>
      </c>
      <c r="CY17" s="83">
        <v>3.15</v>
      </c>
      <c r="CZ17" s="133" t="s">
        <v>29</v>
      </c>
      <c r="DA17" s="150">
        <f t="shared" si="172"/>
        <v>5.2683333333333326</v>
      </c>
      <c r="DB17" s="179">
        <v>2.5499999999999998</v>
      </c>
      <c r="DC17" s="83">
        <v>2.71</v>
      </c>
      <c r="DD17" s="82">
        <v>2.79</v>
      </c>
      <c r="DE17" s="83">
        <v>2.64</v>
      </c>
      <c r="DF17" s="82">
        <v>2.5</v>
      </c>
      <c r="DG17" s="83">
        <v>2.73</v>
      </c>
      <c r="DH17" s="197">
        <v>3.26</v>
      </c>
      <c r="DI17" s="83">
        <v>6.21</v>
      </c>
      <c r="DJ17" s="179">
        <v>4.93</v>
      </c>
      <c r="DK17" s="83">
        <v>4.4000000000000004</v>
      </c>
      <c r="DL17" s="179"/>
      <c r="DM17" s="83"/>
      <c r="DN17" s="133" t="s">
        <v>29</v>
      </c>
      <c r="DO17" s="150">
        <f t="shared" si="173"/>
        <v>3.472</v>
      </c>
      <c r="DP17" s="179"/>
      <c r="DQ17" s="83"/>
      <c r="DR17" s="82"/>
      <c r="DS17" s="83"/>
      <c r="DT17" s="82"/>
      <c r="DU17" s="83"/>
      <c r="DV17" s="197"/>
      <c r="DW17" s="83"/>
      <c r="DX17" s="179"/>
      <c r="DY17" s="83"/>
      <c r="DZ17" s="179"/>
      <c r="EA17" s="83"/>
      <c r="EB17" s="133" t="s">
        <v>29</v>
      </c>
      <c r="EC17" s="150" t="e">
        <f t="shared" si="174"/>
        <v>#DIV/0!</v>
      </c>
      <c r="ED17" s="664">
        <f t="shared" si="175"/>
        <v>-5.24</v>
      </c>
      <c r="EE17" s="663">
        <f t="shared" si="176"/>
        <v>-0.5562632696390658</v>
      </c>
      <c r="EF17" s="664">
        <f t="shared" si="177"/>
        <v>0.14000000000000057</v>
      </c>
      <c r="EG17" s="663">
        <f t="shared" si="178"/>
        <v>3.3492822966507317E-2</v>
      </c>
      <c r="EH17" s="664">
        <f t="shared" si="179"/>
        <v>1.7199999999999998</v>
      </c>
      <c r="EI17" s="663">
        <f t="shared" si="180"/>
        <v>0.39814814814814808</v>
      </c>
      <c r="EJ17" s="664">
        <f t="shared" si="181"/>
        <v>1.3200000000000003</v>
      </c>
      <c r="EK17" s="663">
        <f t="shared" si="182"/>
        <v>0.21854304635761593</v>
      </c>
      <c r="EL17" s="664">
        <f t="shared" si="183"/>
        <v>-4.08</v>
      </c>
      <c r="EM17" s="663">
        <f t="shared" si="184"/>
        <v>-0.55434782608695654</v>
      </c>
      <c r="EN17" s="664">
        <f t="shared" si="185"/>
        <v>1.73</v>
      </c>
      <c r="EO17" s="663">
        <f t="shared" si="186"/>
        <v>0.52743902439024393</v>
      </c>
      <c r="EP17" s="664">
        <f t="shared" si="187"/>
        <v>0</v>
      </c>
      <c r="EQ17" s="663">
        <f t="shared" si="188"/>
        <v>0</v>
      </c>
      <c r="ER17" s="664">
        <f t="shared" si="189"/>
        <v>0.10000000000000053</v>
      </c>
      <c r="ES17" s="663">
        <f t="shared" si="190"/>
        <v>1.9960079840319469E-2</v>
      </c>
      <c r="ET17" s="664">
        <f t="shared" si="191"/>
        <v>-4.0000000000000036E-2</v>
      </c>
      <c r="EU17" s="663">
        <f t="shared" si="192"/>
        <v>-7.8277886497064644E-3</v>
      </c>
      <c r="EV17" s="664">
        <f t="shared" si="193"/>
        <v>6.9999999999999396E-2</v>
      </c>
      <c r="EW17" s="109">
        <f t="shared" si="194"/>
        <v>1.3806706114398302E-2</v>
      </c>
      <c r="EX17" s="664">
        <f t="shared" si="195"/>
        <v>-0.12000000000000011</v>
      </c>
      <c r="EY17" s="663">
        <f t="shared" si="196"/>
        <v>-2.3346303501945546E-2</v>
      </c>
      <c r="EZ17" s="664">
        <f t="shared" si="197"/>
        <v>0.1800000000000006</v>
      </c>
      <c r="FA17" s="663">
        <f t="shared" si="198"/>
        <v>3.5856573705179404E-2</v>
      </c>
      <c r="FB17" s="664">
        <f t="shared" si="199"/>
        <v>-0.15000000000000036</v>
      </c>
      <c r="FC17" s="663">
        <f t="shared" si="200"/>
        <v>-2.8846153846153914E-2</v>
      </c>
      <c r="FD17" s="316">
        <f t="shared" si="201"/>
        <v>3.0000000000000249E-2</v>
      </c>
      <c r="FE17" s="402">
        <f t="shared" si="202"/>
        <v>5.9405940594059901E-3</v>
      </c>
      <c r="FF17" s="316">
        <f t="shared" si="203"/>
        <v>-2.0000000000000462E-2</v>
      </c>
      <c r="FG17" s="402">
        <f t="shared" si="204"/>
        <v>-3.937007874015839E-3</v>
      </c>
      <c r="FH17" s="316">
        <f t="shared" si="205"/>
        <v>0.32000000000000028</v>
      </c>
      <c r="FI17" s="402">
        <f t="shared" si="206"/>
        <v>6.3241106719367654E-2</v>
      </c>
      <c r="FJ17" s="316">
        <f t="shared" si="207"/>
        <v>-0.36000000000000032</v>
      </c>
      <c r="FK17" s="402">
        <f t="shared" si="208"/>
        <v>-6.6914498141264003E-2</v>
      </c>
      <c r="FL17" s="316">
        <f t="shared" si="209"/>
        <v>1.0000000000000675E-2</v>
      </c>
      <c r="FM17" s="402">
        <f t="shared" si="210"/>
        <v>1.992031872510095E-3</v>
      </c>
      <c r="FN17" s="316">
        <f t="shared" si="211"/>
        <v>-2.0000000000000462E-2</v>
      </c>
      <c r="FO17" s="402">
        <f t="shared" si="212"/>
        <v>-3.976143141153173E-3</v>
      </c>
      <c r="FP17" s="316">
        <f t="shared" si="213"/>
        <v>-0.55999999999999961</v>
      </c>
      <c r="FQ17" s="402">
        <f t="shared" si="214"/>
        <v>-0.11177644710578835</v>
      </c>
      <c r="FR17" s="316">
        <f t="shared" si="215"/>
        <v>-0.25999999999999979</v>
      </c>
      <c r="FS17" s="402">
        <f t="shared" si="216"/>
        <v>-5.8426966292134778E-2</v>
      </c>
      <c r="FT17" s="316">
        <f t="shared" si="217"/>
        <v>-4.0000000000000036E-2</v>
      </c>
      <c r="FU17" s="402">
        <f t="shared" si="218"/>
        <v>-9.5465393794749477E-3</v>
      </c>
      <c r="FV17" s="316">
        <f t="shared" si="219"/>
        <v>5.9999999999999609E-2</v>
      </c>
      <c r="FW17" s="402">
        <f t="shared" si="220"/>
        <v>1.445783132530111E-2</v>
      </c>
      <c r="FX17" s="316">
        <f t="shared" si="221"/>
        <v>-7.0000000000000284E-2</v>
      </c>
      <c r="FY17" s="402">
        <f t="shared" si="222"/>
        <v>-1.6627078384798169E-2</v>
      </c>
      <c r="FZ17" s="316">
        <f t="shared" si="223"/>
        <v>1.0000000000000675E-2</v>
      </c>
      <c r="GA17" s="402">
        <f t="shared" si="224"/>
        <v>2.415458937198231E-3</v>
      </c>
      <c r="GB17" s="316">
        <f t="shared" si="225"/>
        <v>5.9999999999999609E-2</v>
      </c>
      <c r="GC17" s="402">
        <f t="shared" si="226"/>
        <v>1.445783132530111E-2</v>
      </c>
      <c r="GD17" s="316">
        <f t="shared" si="227"/>
        <v>-3.0000000000000249E-2</v>
      </c>
      <c r="GE17" s="402">
        <f t="shared" si="228"/>
        <v>-7.1258907363421021E-3</v>
      </c>
      <c r="GF17" s="316">
        <f t="shared" si="229"/>
        <v>0.37999999999999989</v>
      </c>
      <c r="GG17" s="402">
        <f t="shared" si="230"/>
        <v>9.0909090909090884E-2</v>
      </c>
      <c r="GH17" s="316">
        <f t="shared" si="231"/>
        <v>0.45999999999999996</v>
      </c>
      <c r="GI17" s="402">
        <f t="shared" si="232"/>
        <v>0.10087719298245613</v>
      </c>
      <c r="GJ17" s="316">
        <f t="shared" si="233"/>
        <v>-0.5</v>
      </c>
      <c r="GK17" s="402">
        <f t="shared" si="234"/>
        <v>-9.9601593625498017E-2</v>
      </c>
      <c r="GL17" s="316">
        <f t="shared" si="235"/>
        <v>-4.9999999999999822E-2</v>
      </c>
      <c r="GM17" s="402">
        <f t="shared" si="236"/>
        <v>-1.1061946902654829E-2</v>
      </c>
      <c r="GN17" s="316">
        <f t="shared" si="237"/>
        <v>-0.10999999999999943</v>
      </c>
      <c r="GO17" s="402">
        <f t="shared" si="238"/>
        <v>-2.4608501118568108E-2</v>
      </c>
      <c r="GP17" s="316">
        <f t="shared" si="239"/>
        <v>-8.0000000000000071E-2</v>
      </c>
      <c r="GQ17" s="402">
        <f t="shared" si="240"/>
        <v>-1.8348623853211024E-2</v>
      </c>
      <c r="GR17" s="316">
        <f t="shared" si="241"/>
        <v>0.12000000000000011</v>
      </c>
      <c r="GS17" s="402">
        <f t="shared" si="242"/>
        <v>2.8037383177570117E-2</v>
      </c>
      <c r="GT17" s="316">
        <f t="shared" si="243"/>
        <v>-0.22000000000000064</v>
      </c>
      <c r="GU17" s="402">
        <f t="shared" si="244"/>
        <v>-5.0000000000000142E-2</v>
      </c>
      <c r="GV17" s="316">
        <f t="shared" si="245"/>
        <v>-0.78999999999999959</v>
      </c>
      <c r="GW17" s="402">
        <f t="shared" si="246"/>
        <v>-0.18899521531100469</v>
      </c>
      <c r="GX17" s="316">
        <f t="shared" si="247"/>
        <v>0.94999999999999973</v>
      </c>
      <c r="GY17" s="402">
        <f t="shared" si="248"/>
        <v>0.28023598820058987</v>
      </c>
      <c r="GZ17" s="316">
        <f t="shared" si="249"/>
        <v>-4.0000000000000036E-2</v>
      </c>
      <c r="HA17" s="402">
        <f t="shared" si="250"/>
        <v>-9.2165898617511607E-3</v>
      </c>
      <c r="HB17" s="316">
        <f t="shared" si="251"/>
        <v>-8.0000000000000071E-2</v>
      </c>
      <c r="HC17" s="402">
        <f t="shared" si="252"/>
        <v>-1.8604651162790715E-2</v>
      </c>
      <c r="HD17" s="316">
        <f t="shared" si="253"/>
        <v>-8.0000000000000071E-2</v>
      </c>
      <c r="HE17" s="402">
        <f t="shared" si="254"/>
        <v>-1.8957345971564E-2</v>
      </c>
      <c r="HF17" s="316">
        <f t="shared" si="255"/>
        <v>-5.9999999999999609E-2</v>
      </c>
      <c r="HG17" s="402">
        <f t="shared" si="256"/>
        <v>-1.4492753623188312E-2</v>
      </c>
      <c r="HH17" s="316">
        <f t="shared" si="257"/>
        <v>0.37999999999999989</v>
      </c>
      <c r="HI17" s="402">
        <f t="shared" si="258"/>
        <v>9.3137254901960759E-2</v>
      </c>
      <c r="HJ17" s="316">
        <f t="shared" si="259"/>
        <v>0.57000000000000028</v>
      </c>
      <c r="HK17" s="402">
        <f t="shared" si="260"/>
        <v>0.1278026905829597</v>
      </c>
      <c r="HL17" s="316">
        <f t="shared" si="261"/>
        <v>7.04</v>
      </c>
      <c r="HM17" s="402">
        <f t="shared" si="262"/>
        <v>1.3996023856858846</v>
      </c>
      <c r="HN17" s="316">
        <f t="shared" si="263"/>
        <v>-2.5500000000000007</v>
      </c>
      <c r="HO17" s="402">
        <f t="shared" si="264"/>
        <v>-0.21126760563380287</v>
      </c>
      <c r="HP17" s="316">
        <f t="shared" si="265"/>
        <v>-5.1199999999999992</v>
      </c>
      <c r="HQ17" s="402">
        <f t="shared" si="266"/>
        <v>-0.53781512605042014</v>
      </c>
      <c r="HR17" s="316">
        <f t="shared" si="267"/>
        <v>-0.89000000000000057</v>
      </c>
      <c r="HS17" s="402">
        <f t="shared" si="268"/>
        <v>-0.20227272727272738</v>
      </c>
      <c r="HT17" s="316">
        <f t="shared" si="269"/>
        <v>-0.35999999999999988</v>
      </c>
      <c r="HU17" s="402">
        <f t="shared" si="270"/>
        <v>-0.10256410256410253</v>
      </c>
      <c r="HV17" s="316">
        <f t="shared" si="271"/>
        <v>-0.60000000000000009</v>
      </c>
      <c r="HW17" s="402">
        <f t="shared" si="272"/>
        <v>-0.19047619047619052</v>
      </c>
      <c r="HX17" s="316">
        <f t="shared" si="273"/>
        <v>0.16000000000000014</v>
      </c>
      <c r="HY17" s="402">
        <f t="shared" si="274"/>
        <v>6.2745098039215741E-2</v>
      </c>
      <c r="HZ17" s="316">
        <f t="shared" si="275"/>
        <v>8.0000000000000071E-2</v>
      </c>
      <c r="IA17" s="402">
        <f t="shared" si="276"/>
        <v>2.8673835125448053E-2</v>
      </c>
      <c r="IB17" s="316">
        <f t="shared" si="277"/>
        <v>-0.14999999999999991</v>
      </c>
      <c r="IC17" s="402">
        <f t="shared" si="278"/>
        <v>-5.376344086021502E-2</v>
      </c>
      <c r="ID17" s="316">
        <f t="shared" si="279"/>
        <v>-0.14000000000000012</v>
      </c>
      <c r="IE17" s="402">
        <f t="shared" si="280"/>
        <v>-4.0322580645161324E-2</v>
      </c>
      <c r="IF17" s="316">
        <f t="shared" si="281"/>
        <v>0.22999999999999998</v>
      </c>
      <c r="IG17" s="402">
        <f t="shared" si="282"/>
        <v>9.1999999999999998E-2</v>
      </c>
      <c r="IH17" s="316">
        <f t="shared" si="283"/>
        <v>0.5299999999999998</v>
      </c>
      <c r="II17" s="402">
        <f t="shared" si="284"/>
        <v>0.19413919413919406</v>
      </c>
      <c r="IJ17" s="316">
        <f t="shared" si="285"/>
        <v>2.95</v>
      </c>
      <c r="IK17" s="402">
        <f t="shared" si="286"/>
        <v>0.9049079754601228</v>
      </c>
      <c r="IL17" s="316">
        <f t="shared" si="287"/>
        <v>-1.2800000000000002</v>
      </c>
      <c r="IM17" s="402">
        <f t="shared" si="288"/>
        <v>-0.20611916264090183</v>
      </c>
      <c r="IN17" s="316">
        <f t="shared" si="289"/>
        <v>-0.52999999999999936</v>
      </c>
      <c r="IO17" s="402">
        <f t="shared" si="290"/>
        <v>-0.10750507099391468</v>
      </c>
      <c r="IP17" s="316">
        <f t="shared" si="291"/>
        <v>-4.4000000000000004</v>
      </c>
      <c r="IQ17" s="402">
        <f t="shared" si="292"/>
        <v>-11.051162790697678</v>
      </c>
      <c r="IR17" s="316">
        <f t="shared" si="293"/>
        <v>-1.1014569536423844</v>
      </c>
      <c r="IS17" s="402">
        <f t="shared" si="294"/>
        <v>-0.83443708609271527</v>
      </c>
      <c r="IT17" s="179">
        <f t="shared" si="295"/>
        <v>4.4000000000000004</v>
      </c>
      <c r="IU17" s="1057">
        <f t="shared" si="296"/>
        <v>4.4000000000000004</v>
      </c>
      <c r="IV17" s="664">
        <f>IU17-IT17</f>
        <v>0</v>
      </c>
      <c r="IW17" s="109">
        <f t="shared" si="297"/>
        <v>0</v>
      </c>
      <c r="IX17" s="698"/>
      <c r="IY17" s="698"/>
      <c r="IZ17" s="698"/>
      <c r="JA17" s="84" t="str">
        <f t="shared" si="298"/>
        <v>Average Call Length (Minutes)</v>
      </c>
      <c r="JB17" s="264" t="e">
        <f>#REF!</f>
        <v>#REF!</v>
      </c>
      <c r="JC17" s="264" t="e">
        <f>#REF!</f>
        <v>#REF!</v>
      </c>
      <c r="JD17" s="264" t="e">
        <f>#REF!</f>
        <v>#REF!</v>
      </c>
      <c r="JE17" s="264" t="e">
        <f>#REF!</f>
        <v>#REF!</v>
      </c>
      <c r="JF17" s="264" t="e">
        <f>#REF!</f>
        <v>#REF!</v>
      </c>
      <c r="JG17" s="264" t="e">
        <f>#REF!</f>
        <v>#REF!</v>
      </c>
      <c r="JH17" s="264" t="e">
        <f>#REF!</f>
        <v>#REF!</v>
      </c>
      <c r="JI17" s="264" t="e">
        <f>#REF!</f>
        <v>#REF!</v>
      </c>
      <c r="JJ17" s="264" t="e">
        <f>#REF!</f>
        <v>#REF!</v>
      </c>
      <c r="JK17" s="264" t="e">
        <f>#REF!</f>
        <v>#REF!</v>
      </c>
      <c r="JL17" s="264" t="e">
        <f>#REF!</f>
        <v>#REF!</v>
      </c>
      <c r="JM17" s="265">
        <f t="shared" si="299"/>
        <v>9.33</v>
      </c>
      <c r="JN17" s="265">
        <f t="shared" si="299"/>
        <v>9.42</v>
      </c>
      <c r="JO17" s="265">
        <f t="shared" si="299"/>
        <v>10.24</v>
      </c>
      <c r="JP17" s="265">
        <f t="shared" si="299"/>
        <v>11.29</v>
      </c>
      <c r="JQ17" s="265">
        <f t="shared" si="299"/>
        <v>10.3</v>
      </c>
      <c r="JR17" s="265">
        <f t="shared" si="299"/>
        <v>10.06</v>
      </c>
      <c r="JS17" s="265">
        <f t="shared" si="299"/>
        <v>9.41</v>
      </c>
      <c r="JT17" s="265">
        <f t="shared" si="299"/>
        <v>9.06</v>
      </c>
      <c r="JU17" s="265">
        <f t="shared" si="299"/>
        <v>9.2899999999999991</v>
      </c>
      <c r="JV17" s="265">
        <f t="shared" si="299"/>
        <v>9.49</v>
      </c>
      <c r="JW17" s="265">
        <f t="shared" si="299"/>
        <v>10.130000000000001</v>
      </c>
      <c r="JX17" s="265">
        <f t="shared" si="299"/>
        <v>9.42</v>
      </c>
      <c r="JY17" s="265">
        <f t="shared" si="300"/>
        <v>4.18</v>
      </c>
      <c r="JZ17" s="265">
        <f t="shared" si="300"/>
        <v>4.32</v>
      </c>
      <c r="KA17" s="265">
        <f t="shared" si="300"/>
        <v>6.04</v>
      </c>
      <c r="KB17" s="265">
        <f t="shared" si="300"/>
        <v>7.36</v>
      </c>
      <c r="KC17" s="265">
        <f t="shared" si="300"/>
        <v>3.28</v>
      </c>
      <c r="KD17" s="265">
        <f t="shared" si="300"/>
        <v>5.01</v>
      </c>
      <c r="KE17" s="265">
        <f t="shared" si="300"/>
        <v>5.01</v>
      </c>
      <c r="KF17" s="265">
        <f t="shared" si="300"/>
        <v>5.1100000000000003</v>
      </c>
      <c r="KG17" s="265">
        <f t="shared" si="300"/>
        <v>5.07</v>
      </c>
      <c r="KH17" s="265">
        <f t="shared" si="300"/>
        <v>5.14</v>
      </c>
      <c r="KI17" s="265">
        <f t="shared" si="300"/>
        <v>5.0199999999999996</v>
      </c>
      <c r="KJ17" s="265">
        <f t="shared" si="300"/>
        <v>5.2</v>
      </c>
      <c r="KK17" s="789">
        <f t="shared" si="301"/>
        <v>5.05</v>
      </c>
      <c r="KL17" s="789">
        <f t="shared" si="301"/>
        <v>5.08</v>
      </c>
      <c r="KM17" s="789">
        <f t="shared" si="301"/>
        <v>5.0599999999999996</v>
      </c>
      <c r="KN17" s="789">
        <f t="shared" si="301"/>
        <v>5.38</v>
      </c>
      <c r="KO17" s="789">
        <f t="shared" si="301"/>
        <v>5.0199999999999996</v>
      </c>
      <c r="KP17" s="789">
        <f t="shared" si="301"/>
        <v>5.03</v>
      </c>
      <c r="KQ17" s="789">
        <f t="shared" si="301"/>
        <v>5.01</v>
      </c>
      <c r="KR17" s="789">
        <f t="shared" si="301"/>
        <v>4.45</v>
      </c>
      <c r="KS17" s="789">
        <f t="shared" si="301"/>
        <v>4.1900000000000004</v>
      </c>
      <c r="KT17" s="789">
        <f t="shared" si="301"/>
        <v>4.1500000000000004</v>
      </c>
      <c r="KU17" s="789">
        <f t="shared" si="301"/>
        <v>4.21</v>
      </c>
      <c r="KV17" s="789">
        <f t="shared" si="301"/>
        <v>4.1399999999999997</v>
      </c>
      <c r="KW17" s="901">
        <f t="shared" si="302"/>
        <v>4.1500000000000004</v>
      </c>
      <c r="KX17" s="901">
        <f t="shared" si="302"/>
        <v>4.21</v>
      </c>
      <c r="KY17" s="901">
        <f t="shared" si="302"/>
        <v>4.18</v>
      </c>
      <c r="KZ17" s="901">
        <f t="shared" si="302"/>
        <v>4.5599999999999996</v>
      </c>
      <c r="LA17" s="901">
        <f t="shared" si="302"/>
        <v>5.0199999999999996</v>
      </c>
      <c r="LB17" s="901">
        <f t="shared" si="302"/>
        <v>4.5199999999999996</v>
      </c>
      <c r="LC17" s="901">
        <f t="shared" si="302"/>
        <v>4.47</v>
      </c>
      <c r="LD17" s="901">
        <f t="shared" si="302"/>
        <v>4.3600000000000003</v>
      </c>
      <c r="LE17" s="901">
        <f t="shared" si="302"/>
        <v>4.28</v>
      </c>
      <c r="LF17" s="901">
        <f t="shared" si="302"/>
        <v>4.4000000000000004</v>
      </c>
      <c r="LG17" s="901">
        <f t="shared" si="302"/>
        <v>4.18</v>
      </c>
      <c r="LH17" s="901">
        <f t="shared" si="302"/>
        <v>3.39</v>
      </c>
      <c r="LI17" s="960">
        <f t="shared" si="303"/>
        <v>4.34</v>
      </c>
      <c r="LJ17" s="960">
        <f t="shared" si="303"/>
        <v>4.3</v>
      </c>
      <c r="LK17" s="960">
        <f t="shared" si="303"/>
        <v>4.22</v>
      </c>
      <c r="LL17" s="960">
        <f t="shared" si="303"/>
        <v>4.1399999999999997</v>
      </c>
      <c r="LM17" s="960">
        <f t="shared" si="303"/>
        <v>4.08</v>
      </c>
      <c r="LN17" s="960">
        <f t="shared" si="303"/>
        <v>4.46</v>
      </c>
      <c r="LO17" s="960">
        <f t="shared" si="303"/>
        <v>5.03</v>
      </c>
      <c r="LP17" s="960">
        <f t="shared" si="303"/>
        <v>12.07</v>
      </c>
      <c r="LQ17" s="960">
        <f t="shared" si="303"/>
        <v>9.52</v>
      </c>
      <c r="LR17" s="960">
        <f t="shared" si="303"/>
        <v>4.4000000000000004</v>
      </c>
      <c r="LS17" s="960">
        <f t="shared" si="303"/>
        <v>3.51</v>
      </c>
      <c r="LT17" s="960">
        <f t="shared" si="303"/>
        <v>3.15</v>
      </c>
      <c r="LU17" s="1156">
        <f t="shared" si="304"/>
        <v>2.5499999999999998</v>
      </c>
      <c r="LV17" s="1156">
        <f t="shared" si="304"/>
        <v>2.71</v>
      </c>
      <c r="LW17" s="1156">
        <f t="shared" si="304"/>
        <v>2.79</v>
      </c>
      <c r="LX17" s="1156">
        <f t="shared" si="304"/>
        <v>2.64</v>
      </c>
      <c r="LY17" s="1156">
        <f t="shared" si="304"/>
        <v>2.5</v>
      </c>
      <c r="LZ17" s="1156">
        <f t="shared" si="304"/>
        <v>2.73</v>
      </c>
      <c r="MA17" s="1156">
        <f t="shared" si="304"/>
        <v>3.26</v>
      </c>
      <c r="MB17" s="1156">
        <f t="shared" si="304"/>
        <v>6.21</v>
      </c>
      <c r="MC17" s="1156">
        <f t="shared" si="304"/>
        <v>4.93</v>
      </c>
      <c r="MD17" s="1156">
        <f t="shared" si="304"/>
        <v>4.4000000000000004</v>
      </c>
      <c r="ME17" s="1156">
        <f t="shared" si="304"/>
        <v>0</v>
      </c>
      <c r="MF17" s="1156">
        <f t="shared" si="304"/>
        <v>0</v>
      </c>
      <c r="MG17" s="1178">
        <f t="shared" si="305"/>
        <v>0</v>
      </c>
      <c r="MH17" s="1178">
        <f t="shared" si="305"/>
        <v>0</v>
      </c>
      <c r="MI17" s="1178">
        <f t="shared" si="305"/>
        <v>0</v>
      </c>
      <c r="MJ17" s="1178">
        <f t="shared" si="305"/>
        <v>0</v>
      </c>
      <c r="MK17" s="1178">
        <f t="shared" si="305"/>
        <v>0</v>
      </c>
      <c r="ML17" s="1178">
        <f t="shared" si="305"/>
        <v>0</v>
      </c>
      <c r="MM17" s="1178">
        <f t="shared" si="305"/>
        <v>0</v>
      </c>
      <c r="MN17" s="1178">
        <f t="shared" si="305"/>
        <v>0</v>
      </c>
      <c r="MO17" s="1178">
        <f t="shared" si="305"/>
        <v>0</v>
      </c>
      <c r="MP17" s="1178">
        <f t="shared" si="305"/>
        <v>0</v>
      </c>
      <c r="MQ17" s="1178">
        <f t="shared" si="306"/>
        <v>0</v>
      </c>
      <c r="MR17" s="1178">
        <f t="shared" si="306"/>
        <v>0</v>
      </c>
    </row>
    <row r="18" spans="1:356" ht="15.75" customHeight="1" x14ac:dyDescent="0.25">
      <c r="A18" s="764"/>
      <c r="B18" s="56">
        <v>2.6</v>
      </c>
      <c r="C18" s="13"/>
      <c r="D18" s="444"/>
      <c r="E18" s="1217" t="s">
        <v>19</v>
      </c>
      <c r="F18" s="1217"/>
      <c r="G18" s="1218"/>
      <c r="H18" s="372">
        <v>0.67168831168831167</v>
      </c>
      <c r="I18" s="102">
        <v>0.71528359877060632</v>
      </c>
      <c r="J18" s="105">
        <v>0.69344490934449099</v>
      </c>
      <c r="K18" s="102">
        <v>0.74340909090909091</v>
      </c>
      <c r="L18" s="105">
        <v>0.73908078789608911</v>
      </c>
      <c r="M18" s="102">
        <v>0.75112642459581236</v>
      </c>
      <c r="N18" s="105">
        <v>0.76629795245940224</v>
      </c>
      <c r="O18" s="102">
        <v>0.66477419354838707</v>
      </c>
      <c r="P18" s="105">
        <v>0.66474488325165759</v>
      </c>
      <c r="Q18" s="102">
        <v>0.69195097714474996</v>
      </c>
      <c r="R18" s="105">
        <v>0.78849491693528395</v>
      </c>
      <c r="S18" s="102">
        <v>0.74604819901528896</v>
      </c>
      <c r="T18" s="132" t="s">
        <v>29</v>
      </c>
      <c r="U18" s="151">
        <v>0.71969535379659766</v>
      </c>
      <c r="V18" s="372">
        <f>V6/V23</f>
        <v>0.74158975885680267</v>
      </c>
      <c r="W18" s="102">
        <f>W6/W23</f>
        <v>0.70794392523364491</v>
      </c>
      <c r="X18" s="105">
        <f>X6/X23</f>
        <v>0.7512388503468781</v>
      </c>
      <c r="Y18" s="102">
        <f>Y6/Y23</f>
        <v>0.79733611909114654</v>
      </c>
      <c r="Z18" s="105">
        <v>0.76564580559254325</v>
      </c>
      <c r="AA18" s="102">
        <v>0.76584899649569926</v>
      </c>
      <c r="AB18" s="105">
        <v>0.79011366640232616</v>
      </c>
      <c r="AC18" s="102">
        <v>0.7066591739252599</v>
      </c>
      <c r="AD18" s="105">
        <v>0.75357793390580274</v>
      </c>
      <c r="AE18" s="102">
        <v>0.76300761421319796</v>
      </c>
      <c r="AF18" s="105">
        <v>0.76412187606983906</v>
      </c>
      <c r="AG18" s="102">
        <v>0.79098067287043661</v>
      </c>
      <c r="AH18" s="132" t="s">
        <v>29</v>
      </c>
      <c r="AI18" s="151">
        <v>0.75817203275029799</v>
      </c>
      <c r="AJ18" s="372">
        <f t="shared" ref="AJ18:AU18" si="332">AJ6/AJ23</f>
        <v>0.77232704402515728</v>
      </c>
      <c r="AK18" s="102">
        <f t="shared" si="332"/>
        <v>0.77253478523895946</v>
      </c>
      <c r="AL18" s="105">
        <f t="shared" si="332"/>
        <v>0.77591973244147161</v>
      </c>
      <c r="AM18" s="102">
        <f t="shared" si="332"/>
        <v>0.62030618139803584</v>
      </c>
      <c r="AN18" s="621">
        <f t="shared" si="332"/>
        <v>0.6971653101319113</v>
      </c>
      <c r="AO18" s="619">
        <f t="shared" si="332"/>
        <v>0.78608159067535144</v>
      </c>
      <c r="AP18" s="621">
        <f t="shared" si="332"/>
        <v>0.80538999740865513</v>
      </c>
      <c r="AQ18" s="619">
        <f t="shared" si="332"/>
        <v>0.75041276829939463</v>
      </c>
      <c r="AR18" s="621">
        <f t="shared" si="332"/>
        <v>0.7453598176489743</v>
      </c>
      <c r="AS18" s="619">
        <f t="shared" si="332"/>
        <v>0.7677880321524263</v>
      </c>
      <c r="AT18" s="621">
        <f t="shared" si="332"/>
        <v>0.84904935663529868</v>
      </c>
      <c r="AU18" s="619">
        <f t="shared" si="332"/>
        <v>0.84341342170671085</v>
      </c>
      <c r="AV18" s="132" t="s">
        <v>29</v>
      </c>
      <c r="AW18" s="151">
        <f t="shared" ref="AW18:BH18" si="333">AW6/AW23</f>
        <v>0.75769875584576019</v>
      </c>
      <c r="AX18" s="372">
        <f t="shared" si="333"/>
        <v>0.75583530028848678</v>
      </c>
      <c r="AY18" s="102">
        <f t="shared" si="333"/>
        <v>0.80518763796909487</v>
      </c>
      <c r="AZ18" s="105">
        <f t="shared" si="333"/>
        <v>0.88291354663036081</v>
      </c>
      <c r="BA18" s="102">
        <f t="shared" si="333"/>
        <v>0.75817538012913976</v>
      </c>
      <c r="BB18" s="621">
        <f t="shared" si="333"/>
        <v>0.73613921489275602</v>
      </c>
      <c r="BC18" s="619">
        <f t="shared" si="333"/>
        <v>0.81668978270920023</v>
      </c>
      <c r="BD18" s="621">
        <f t="shared" si="333"/>
        <v>0.87134842329270656</v>
      </c>
      <c r="BE18" s="619">
        <f t="shared" si="333"/>
        <v>0.74945054945054945</v>
      </c>
      <c r="BF18" s="621">
        <f t="shared" si="333"/>
        <v>0.79167838065785778</v>
      </c>
      <c r="BG18" s="619">
        <f t="shared" si="333"/>
        <v>0.78853465925709276</v>
      </c>
      <c r="BH18" s="621">
        <f t="shared" si="333"/>
        <v>0.80824427480916028</v>
      </c>
      <c r="BI18" s="619">
        <f t="shared" ref="BI18" si="334">BI6/BI23</f>
        <v>0.77518528685149601</v>
      </c>
      <c r="BJ18" s="132" t="s">
        <v>29</v>
      </c>
      <c r="BK18" s="151">
        <f t="shared" ref="BK18" si="335">BK6/BK23</f>
        <v>0.79294980998558506</v>
      </c>
      <c r="BL18" s="372">
        <f t="shared" ref="BL18:BM18" si="336">BL6/BL23</f>
        <v>0.8029530201342282</v>
      </c>
      <c r="BM18" s="102">
        <f t="shared" si="336"/>
        <v>0.80376193149915776</v>
      </c>
      <c r="BN18" s="105">
        <f t="shared" ref="BN18:BO18" si="337">BN6/BN23</f>
        <v>0.8103843217103589</v>
      </c>
      <c r="BO18" s="102">
        <f t="shared" si="337"/>
        <v>0.79752969121140138</v>
      </c>
      <c r="BP18" s="209">
        <f t="shared" ref="BP18:BQ18" si="338">BP6/BP23</f>
        <v>0.77758670106047578</v>
      </c>
      <c r="BQ18" s="619">
        <f t="shared" si="338"/>
        <v>0.79762889440308793</v>
      </c>
      <c r="BR18" s="621">
        <f t="shared" ref="BR18" si="339">BR6/BR23</f>
        <v>0.79673721340388004</v>
      </c>
      <c r="BS18" s="619">
        <f t="shared" ref="BS18:BT18" si="340">BS6/BS23</f>
        <v>0.82875511396843948</v>
      </c>
      <c r="BT18" s="621">
        <f t="shared" si="340"/>
        <v>0.79397373165078544</v>
      </c>
      <c r="BU18" s="621">
        <f t="shared" ref="BU18:BV18" si="341">BU6/BU23</f>
        <v>0.87698686938493431</v>
      </c>
      <c r="BV18" s="621">
        <f t="shared" si="341"/>
        <v>0.81928094177537381</v>
      </c>
      <c r="BW18" s="621">
        <f t="shared" ref="BW18" si="342">BW6/BW23</f>
        <v>0.81280627245998038</v>
      </c>
      <c r="BX18" s="132" t="s">
        <v>29</v>
      </c>
      <c r="BY18" s="151">
        <f t="shared" si="170"/>
        <v>0.80986539188850848</v>
      </c>
      <c r="BZ18" s="621">
        <f t="shared" ref="BZ18:CA18" si="343">BZ6/BZ23</f>
        <v>0.80508191240387827</v>
      </c>
      <c r="CA18" s="102">
        <f t="shared" si="343"/>
        <v>0.80260006842285325</v>
      </c>
      <c r="CB18" s="105">
        <f t="shared" ref="CB18:CC18" si="344">CB6/CB23</f>
        <v>0.82493040519641203</v>
      </c>
      <c r="CC18" s="102">
        <f t="shared" si="344"/>
        <v>0.79093333333333338</v>
      </c>
      <c r="CD18" s="209">
        <f t="shared" ref="CD18:CE18" si="345">CD6/CD23</f>
        <v>0.82323381613952118</v>
      </c>
      <c r="CE18" s="619">
        <f t="shared" si="345"/>
        <v>0.80509841884478861</v>
      </c>
      <c r="CF18" s="621">
        <f t="shared" ref="CF18:CG18" si="346">CF6/CF23</f>
        <v>0.78941141674060933</v>
      </c>
      <c r="CG18" s="619">
        <f t="shared" si="346"/>
        <v>0.72947430596574125</v>
      </c>
      <c r="CH18" s="621">
        <f t="shared" ref="CH18:CI18" si="347">CH6/CH23</f>
        <v>0.77548428072403941</v>
      </c>
      <c r="CI18" s="621">
        <f t="shared" si="347"/>
        <v>0.78251445086705207</v>
      </c>
      <c r="CJ18" s="621">
        <f t="shared" ref="CJ18:CK18" si="348">CJ6/CJ23</f>
        <v>0.82499059089198346</v>
      </c>
      <c r="CK18" s="621">
        <f t="shared" si="348"/>
        <v>0.82329182093571185</v>
      </c>
      <c r="CL18" s="132" t="s">
        <v>29</v>
      </c>
      <c r="CM18" s="151">
        <f t="shared" si="171"/>
        <v>0.79808706837216026</v>
      </c>
      <c r="CN18" s="621">
        <f t="shared" ref="CN18:CO18" si="349">CN6/CN23</f>
        <v>0.82967786154900613</v>
      </c>
      <c r="CO18" s="102">
        <f t="shared" si="349"/>
        <v>0.83506070476754513</v>
      </c>
      <c r="CP18" s="105">
        <f t="shared" ref="CP18:CQ18" si="350">CP6/CP23</f>
        <v>0.8337604099935938</v>
      </c>
      <c r="CQ18" s="102">
        <f t="shared" si="350"/>
        <v>0.86089164785553052</v>
      </c>
      <c r="CR18" s="209">
        <f t="shared" ref="CR18:CS18" si="351">CR6/CR23</f>
        <v>0.86542515811665499</v>
      </c>
      <c r="CS18" s="619">
        <f t="shared" si="351"/>
        <v>0.8438177874186551</v>
      </c>
      <c r="CT18" s="1026">
        <f t="shared" ref="CT18:CU18" si="352">CT6/CT23</f>
        <v>0.76860313315926898</v>
      </c>
      <c r="CU18" s="619">
        <f t="shared" si="352"/>
        <v>0.76763080922976923</v>
      </c>
      <c r="CV18" s="621">
        <f t="shared" ref="CV18:CW18" si="353">CV6/CV23</f>
        <v>0.76278893520272828</v>
      </c>
      <c r="CW18" s="1096">
        <f t="shared" si="353"/>
        <v>0.7916473317865429</v>
      </c>
      <c r="CX18" s="621">
        <f t="shared" ref="CX18:CY18" si="354">CX6/CX23</f>
        <v>0.8</v>
      </c>
      <c r="CY18" s="102">
        <f t="shared" si="354"/>
        <v>0.80472003701989825</v>
      </c>
      <c r="CZ18" s="132" t="s">
        <v>29</v>
      </c>
      <c r="DA18" s="151">
        <f>SUM(CN18:CY18)/$CZ$4</f>
        <v>0.81366865134159949</v>
      </c>
      <c r="DB18" s="621">
        <f t="shared" ref="DB18:DC18" si="355">DB6/DB23</f>
        <v>0.82594339622641511</v>
      </c>
      <c r="DC18" s="102">
        <f t="shared" si="355"/>
        <v>0.79422066549912429</v>
      </c>
      <c r="DD18" s="105">
        <f t="shared" ref="DD18:DE18" si="356">DD6/DD23</f>
        <v>0.85079539221064182</v>
      </c>
      <c r="DE18" s="102">
        <f t="shared" si="356"/>
        <v>0.89111214518380644</v>
      </c>
      <c r="DF18" s="209">
        <f t="shared" ref="DF18:DG18" si="357">DF6/DF23</f>
        <v>0.80172879524581309</v>
      </c>
      <c r="DG18" s="619">
        <f t="shared" si="357"/>
        <v>0.77765785213167837</v>
      </c>
      <c r="DH18" s="1026">
        <f>DH6/DH23</f>
        <v>0.79259753251083698</v>
      </c>
      <c r="DI18" s="619">
        <f>DI6/DI23</f>
        <v>0.7621097954790097</v>
      </c>
      <c r="DJ18" s="621">
        <f>DJ6/DJ23</f>
        <v>0.7777305567360816</v>
      </c>
      <c r="DK18" s="619">
        <f>DK6/DK23</f>
        <v>0.79731485491554788</v>
      </c>
      <c r="DL18" s="621"/>
      <c r="DM18" s="619"/>
      <c r="DN18" s="132" t="s">
        <v>29</v>
      </c>
      <c r="DO18" s="151">
        <f t="shared" si="173"/>
        <v>0.80712109861389547</v>
      </c>
      <c r="DP18" s="621"/>
      <c r="DQ18" s="102"/>
      <c r="DR18" s="105"/>
      <c r="DS18" s="102"/>
      <c r="DT18" s="209"/>
      <c r="DU18" s="619"/>
      <c r="DV18" s="1026"/>
      <c r="DW18" s="619"/>
      <c r="DX18" s="621"/>
      <c r="DY18" s="619"/>
      <c r="DZ18" s="621"/>
      <c r="EA18" s="619"/>
      <c r="EB18" s="132" t="s">
        <v>29</v>
      </c>
      <c r="EC18" s="151" t="e">
        <f t="shared" si="174"/>
        <v>#DIV/0!</v>
      </c>
      <c r="ED18" s="665">
        <f t="shared" si="175"/>
        <v>-8.7578121418224075E-2</v>
      </c>
      <c r="EE18" s="663">
        <f t="shared" si="176"/>
        <v>-0.10383771370510457</v>
      </c>
      <c r="EF18" s="665">
        <f t="shared" si="177"/>
        <v>4.9352337680608094E-2</v>
      </c>
      <c r="EG18" s="663">
        <f t="shared" si="178"/>
        <v>6.5295094925801059E-2</v>
      </c>
      <c r="EH18" s="665">
        <f t="shared" si="179"/>
        <v>7.7725908661265941E-2</v>
      </c>
      <c r="EI18" s="663">
        <f t="shared" si="180"/>
        <v>9.653142323112672E-2</v>
      </c>
      <c r="EJ18" s="665">
        <f t="shared" si="181"/>
        <v>-0.12473816650122105</v>
      </c>
      <c r="EK18" s="663">
        <f t="shared" si="182"/>
        <v>-0.14128015928318713</v>
      </c>
      <c r="EL18" s="665">
        <f t="shared" si="183"/>
        <v>-2.2036165236383742E-2</v>
      </c>
      <c r="EM18" s="663">
        <f t="shared" si="184"/>
        <v>-2.9064733324142403E-2</v>
      </c>
      <c r="EN18" s="665">
        <f t="shared" si="185"/>
        <v>8.0550567816444207E-2</v>
      </c>
      <c r="EO18" s="663">
        <f t="shared" si="186"/>
        <v>0.10942300883696186</v>
      </c>
      <c r="EP18" s="665">
        <f t="shared" si="187"/>
        <v>5.4658640583506335E-2</v>
      </c>
      <c r="EQ18" s="663">
        <f t="shared" si="188"/>
        <v>6.6927053259056998E-2</v>
      </c>
      <c r="ER18" s="665">
        <f t="shared" si="189"/>
        <v>-0.12189787384215711</v>
      </c>
      <c r="ES18" s="663">
        <f t="shared" si="190"/>
        <v>-0.13989567271094808</v>
      </c>
      <c r="ET18" s="665">
        <f t="shared" si="191"/>
        <v>4.2227831207308331E-2</v>
      </c>
      <c r="EU18" s="663">
        <f t="shared" si="192"/>
        <v>5.6345053370455395E-2</v>
      </c>
      <c r="EV18" s="665">
        <f t="shared" si="193"/>
        <v>-3.1437214007650205E-3</v>
      </c>
      <c r="EW18" s="109">
        <f t="shared" si="194"/>
        <v>-3.97095774947485E-3</v>
      </c>
      <c r="EX18" s="665">
        <f t="shared" si="195"/>
        <v>1.9709615552067516E-2</v>
      </c>
      <c r="EY18" s="663">
        <f t="shared" si="196"/>
        <v>2.4995243164880873E-2</v>
      </c>
      <c r="EZ18" s="665">
        <f t="shared" si="197"/>
        <v>-3.3058987957664265E-2</v>
      </c>
      <c r="FA18" s="663">
        <f t="shared" si="198"/>
        <v>-4.0902223483698708E-2</v>
      </c>
      <c r="FB18" s="665">
        <f t="shared" si="199"/>
        <v>2.7767733282732188E-2</v>
      </c>
      <c r="FC18" s="663">
        <f t="shared" si="200"/>
        <v>3.5820769245394249E-2</v>
      </c>
      <c r="FD18" s="396">
        <f t="shared" si="201"/>
        <v>8.0891136492955429E-4</v>
      </c>
      <c r="FE18" s="402">
        <f t="shared" si="202"/>
        <v>1.0074205397400835E-3</v>
      </c>
      <c r="FF18" s="396">
        <f t="shared" si="203"/>
        <v>6.6223902112011457E-3</v>
      </c>
      <c r="FG18" s="402">
        <f t="shared" si="204"/>
        <v>8.2392434272785479E-3</v>
      </c>
      <c r="FH18" s="396">
        <f t="shared" si="205"/>
        <v>-1.285463049895752E-2</v>
      </c>
      <c r="FI18" s="402">
        <f t="shared" si="206"/>
        <v>-1.5862387949247516E-2</v>
      </c>
      <c r="FJ18" s="396">
        <f t="shared" si="207"/>
        <v>-1.9942990150925599E-2</v>
      </c>
      <c r="FK18" s="402">
        <f t="shared" si="208"/>
        <v>-2.5005953221168924E-2</v>
      </c>
      <c r="FL18" s="396">
        <f t="shared" si="209"/>
        <v>2.0042193342612147E-2</v>
      </c>
      <c r="FM18" s="402">
        <f t="shared" si="210"/>
        <v>2.5774866410753328E-2</v>
      </c>
      <c r="FN18" s="396">
        <f t="shared" si="211"/>
        <v>-8.916809992078889E-4</v>
      </c>
      <c r="FO18" s="402">
        <f t="shared" si="212"/>
        <v>-1.1179146160134855E-3</v>
      </c>
      <c r="FP18" s="396">
        <f t="shared" si="213"/>
        <v>3.2017900564559443E-2</v>
      </c>
      <c r="FQ18" s="402">
        <f t="shared" si="214"/>
        <v>4.0186274753968354E-2</v>
      </c>
      <c r="FR18" s="396">
        <f t="shared" si="215"/>
        <v>-3.4781382317654042E-2</v>
      </c>
      <c r="FS18" s="402">
        <f t="shared" si="216"/>
        <v>-4.1968226477789895E-2</v>
      </c>
      <c r="FT18" s="396">
        <f t="shared" si="217"/>
        <v>8.3013137734148867E-2</v>
      </c>
      <c r="FU18" s="402">
        <f t="shared" si="218"/>
        <v>0.10455401032166722</v>
      </c>
      <c r="FV18" s="396">
        <f t="shared" si="219"/>
        <v>-5.7705927609560503E-2</v>
      </c>
      <c r="FW18" s="402">
        <f t="shared" si="220"/>
        <v>-6.5800218479932268E-2</v>
      </c>
      <c r="FX18" s="396">
        <f t="shared" si="221"/>
        <v>-6.4746693153934221E-3</v>
      </c>
      <c r="FY18" s="402">
        <f t="shared" si="222"/>
        <v>-7.9028682168083599E-3</v>
      </c>
      <c r="FZ18" s="396">
        <f t="shared" si="223"/>
        <v>-7.7243600561021086E-3</v>
      </c>
      <c r="GA18" s="402">
        <f t="shared" si="224"/>
        <v>-9.5033224002124411E-3</v>
      </c>
      <c r="GB18" s="396">
        <f t="shared" si="225"/>
        <v>-2.4818439810250226E-3</v>
      </c>
      <c r="GC18" s="402">
        <f t="shared" si="226"/>
        <v>-3.0827223202848186E-3</v>
      </c>
      <c r="GD18" s="396">
        <f t="shared" si="227"/>
        <v>2.2330336773558779E-2</v>
      </c>
      <c r="GE18" s="402">
        <f t="shared" si="228"/>
        <v>2.782249547702997E-2</v>
      </c>
      <c r="GF18" s="396">
        <f t="shared" si="229"/>
        <v>-3.3997071863078654E-2</v>
      </c>
      <c r="GG18" s="402">
        <f t="shared" si="230"/>
        <v>-4.1212048493938239E-2</v>
      </c>
      <c r="GH18" s="396">
        <f t="shared" si="231"/>
        <v>3.2300482806187802E-2</v>
      </c>
      <c r="GI18" s="402">
        <f t="shared" si="232"/>
        <v>4.0838439151451196E-2</v>
      </c>
      <c r="GJ18" s="396">
        <f t="shared" si="233"/>
        <v>-1.8135397294732569E-2</v>
      </c>
      <c r="GK18" s="402">
        <f t="shared" si="234"/>
        <v>-2.2029461058556653E-2</v>
      </c>
      <c r="GL18" s="396">
        <f t="shared" si="235"/>
        <v>-1.5687002104179282E-2</v>
      </c>
      <c r="GM18" s="402">
        <f t="shared" si="236"/>
        <v>-1.948457696226517E-2</v>
      </c>
      <c r="GN18" s="396">
        <f t="shared" si="237"/>
        <v>-5.9937110774868074E-2</v>
      </c>
      <c r="GO18" s="402">
        <f t="shared" si="238"/>
        <v>-7.5926328785998101E-2</v>
      </c>
      <c r="GP18" s="396">
        <f t="shared" si="239"/>
        <v>4.6009974758298156E-2</v>
      </c>
      <c r="GQ18" s="402">
        <f t="shared" si="240"/>
        <v>6.30727832111731E-2</v>
      </c>
      <c r="GR18" s="396">
        <f t="shared" si="241"/>
        <v>7.0301701430126595E-3</v>
      </c>
      <c r="GS18" s="402">
        <f t="shared" si="242"/>
        <v>9.065522432574474E-3</v>
      </c>
      <c r="GT18" s="396">
        <f t="shared" si="243"/>
        <v>4.2476140024931386E-2</v>
      </c>
      <c r="GU18" s="402">
        <f t="shared" si="244"/>
        <v>5.4281604611731336E-2</v>
      </c>
      <c r="GV18" s="396">
        <f t="shared" si="245"/>
        <v>-1.6987699562716063E-3</v>
      </c>
      <c r="GW18" s="402">
        <f t="shared" si="246"/>
        <v>-2.0591385829441871E-3</v>
      </c>
      <c r="GX18" s="396">
        <f t="shared" si="247"/>
        <v>6.386040613294286E-3</v>
      </c>
      <c r="GY18" s="402">
        <f t="shared" si="248"/>
        <v>7.7567157244878681E-3</v>
      </c>
      <c r="GZ18" s="396">
        <f t="shared" si="249"/>
        <v>5.3828432185389907E-3</v>
      </c>
      <c r="HA18" s="402">
        <f t="shared" si="250"/>
        <v>6.4878713389908199E-3</v>
      </c>
      <c r="HB18" s="396">
        <f t="shared" si="251"/>
        <v>-1.3002947739513271E-3</v>
      </c>
      <c r="HC18" s="402">
        <f t="shared" si="252"/>
        <v>-1.5571260466785929E-3</v>
      </c>
      <c r="HD18" s="396">
        <f t="shared" si="253"/>
        <v>2.7131237861936719E-2</v>
      </c>
      <c r="HE18" s="402">
        <f t="shared" si="254"/>
        <v>3.2540808530528792E-2</v>
      </c>
      <c r="HF18" s="396">
        <f t="shared" si="255"/>
        <v>4.5335102611244738E-3</v>
      </c>
      <c r="HG18" s="402">
        <f t="shared" si="256"/>
        <v>5.2660637054818531E-3</v>
      </c>
      <c r="HH18" s="396">
        <f t="shared" si="257"/>
        <v>-2.1607370697999895E-2</v>
      </c>
      <c r="HI18" s="402">
        <f t="shared" si="258"/>
        <v>-2.4967347546288144E-2</v>
      </c>
      <c r="HJ18" s="396">
        <f t="shared" si="259"/>
        <v>-7.5214654259386116E-2</v>
      </c>
      <c r="HK18" s="402">
        <f t="shared" si="260"/>
        <v>-8.9136132682717223E-2</v>
      </c>
      <c r="HL18" s="396">
        <f t="shared" si="261"/>
        <v>-9.723239294997521E-4</v>
      </c>
      <c r="HM18" s="402">
        <f t="shared" si="262"/>
        <v>-1.2650532993576391E-3</v>
      </c>
      <c r="HN18" s="396">
        <f t="shared" si="263"/>
        <v>-4.8418740270409488E-3</v>
      </c>
      <c r="HO18" s="402">
        <f t="shared" si="264"/>
        <v>-6.3075556228640983E-3</v>
      </c>
      <c r="HP18" s="396">
        <f t="shared" si="265"/>
        <v>2.8858396583814616E-2</v>
      </c>
      <c r="HQ18" s="402">
        <f t="shared" si="266"/>
        <v>3.7832741472770381E-2</v>
      </c>
      <c r="HR18" s="396">
        <f t="shared" si="267"/>
        <v>8.3526682134571484E-3</v>
      </c>
      <c r="HS18" s="402">
        <f t="shared" si="268"/>
        <v>1.0550996483001264E-2</v>
      </c>
      <c r="HT18" s="396">
        <f t="shared" si="269"/>
        <v>4.7200370198982045E-3</v>
      </c>
      <c r="HU18" s="402">
        <f t="shared" si="270"/>
        <v>5.9000462748727556E-3</v>
      </c>
      <c r="HV18" s="396">
        <f t="shared" si="271"/>
        <v>2.1223359206516856E-2</v>
      </c>
      <c r="HW18" s="402">
        <f t="shared" si="272"/>
        <v>2.6373593585556597E-2</v>
      </c>
      <c r="HX18" s="396">
        <f t="shared" si="273"/>
        <v>-3.1722730727290815E-2</v>
      </c>
      <c r="HY18" s="402">
        <f t="shared" si="274"/>
        <v>-3.84078750096268E-2</v>
      </c>
      <c r="HZ18" s="396">
        <f t="shared" si="275"/>
        <v>5.6574726711517531E-2</v>
      </c>
      <c r="IA18" s="402">
        <f t="shared" si="276"/>
        <v>6.6496277753124736E-2</v>
      </c>
      <c r="IB18" s="396">
        <f t="shared" si="277"/>
        <v>4.0316752973164616E-2</v>
      </c>
      <c r="IC18" s="402">
        <f t="shared" si="278"/>
        <v>4.7387131315331461E-2</v>
      </c>
      <c r="ID18" s="396">
        <f t="shared" si="279"/>
        <v>-8.938334993799335E-2</v>
      </c>
      <c r="IE18" s="402">
        <f t="shared" si="280"/>
        <v>-0.11074341891383499</v>
      </c>
      <c r="IF18" s="396">
        <f t="shared" si="281"/>
        <v>-2.4070943114134713E-2</v>
      </c>
      <c r="IG18" s="402">
        <f t="shared" si="282"/>
        <v>-3.0023797644382313E-2</v>
      </c>
      <c r="IH18" s="396">
        <f t="shared" si="283"/>
        <v>1.4939680379158604E-2</v>
      </c>
      <c r="II18" s="402">
        <f t="shared" si="284"/>
        <v>1.9211122652727893E-2</v>
      </c>
      <c r="IJ18" s="396">
        <f t="shared" si="285"/>
        <v>-3.0487737031827278E-2</v>
      </c>
      <c r="IK18" s="402">
        <f t="shared" si="286"/>
        <v>-3.8465596701072781E-2</v>
      </c>
      <c r="IL18" s="396">
        <f t="shared" si="287"/>
        <v>1.5620761257071902E-2</v>
      </c>
      <c r="IM18" s="402">
        <f t="shared" si="288"/>
        <v>2.0496733344378244E-2</v>
      </c>
      <c r="IN18" s="396">
        <f t="shared" si="289"/>
        <v>1.9584298179466275E-2</v>
      </c>
      <c r="IO18" s="402">
        <f t="shared" si="290"/>
        <v>2.5181340773925764E-2</v>
      </c>
      <c r="IP18" s="396">
        <f t="shared" si="291"/>
        <v>-0.79731485491554788</v>
      </c>
      <c r="IQ18" s="402">
        <f t="shared" si="292"/>
        <v>-8.2596405214758342</v>
      </c>
      <c r="IR18" s="396">
        <f t="shared" si="293"/>
        <v>-1.6541992781966081E-2</v>
      </c>
      <c r="IS18" s="402">
        <f t="shared" si="294"/>
        <v>0.13261372397841165</v>
      </c>
      <c r="IT18" s="621">
        <f t="shared" si="295"/>
        <v>0.7916473317865429</v>
      </c>
      <c r="IU18" s="1058">
        <f t="shared" si="296"/>
        <v>0.79731485491554788</v>
      </c>
      <c r="IV18" s="665">
        <f>(IU18-IT18)*100</f>
        <v>0.5667523129004981</v>
      </c>
      <c r="IW18" s="109">
        <f>IF(ISERROR((IV18/IT18)/100),0,(IV18/IT18)/100)</f>
        <v>7.1591514320080507E-3</v>
      </c>
      <c r="IX18" s="698"/>
      <c r="IY18" s="698"/>
      <c r="IZ18" s="698"/>
      <c r="JA18" s="462" t="str">
        <f t="shared" si="298"/>
        <v xml:space="preserve">First Call Resolution </v>
      </c>
      <c r="JB18" s="266" t="e">
        <f>#REF!</f>
        <v>#REF!</v>
      </c>
      <c r="JC18" s="266" t="e">
        <f>#REF!</f>
        <v>#REF!</v>
      </c>
      <c r="JD18" s="266" t="e">
        <f>#REF!</f>
        <v>#REF!</v>
      </c>
      <c r="JE18" s="266" t="e">
        <f>#REF!</f>
        <v>#REF!</v>
      </c>
      <c r="JF18" s="266" t="e">
        <f>#REF!</f>
        <v>#REF!</v>
      </c>
      <c r="JG18" s="266" t="e">
        <f>#REF!</f>
        <v>#REF!</v>
      </c>
      <c r="JH18" s="266" t="e">
        <f>#REF!</f>
        <v>#REF!</v>
      </c>
      <c r="JI18" s="266" t="e">
        <f>#REF!</f>
        <v>#REF!</v>
      </c>
      <c r="JJ18" s="266" t="e">
        <f>#REF!</f>
        <v>#REF!</v>
      </c>
      <c r="JK18" s="266" t="e">
        <f>#REF!</f>
        <v>#REF!</v>
      </c>
      <c r="JL18" s="266" t="e">
        <f>#REF!</f>
        <v>#REF!</v>
      </c>
      <c r="JM18" s="267">
        <f t="shared" si="299"/>
        <v>0.77232704402515728</v>
      </c>
      <c r="JN18" s="267">
        <f t="shared" si="299"/>
        <v>0.77253478523895946</v>
      </c>
      <c r="JO18" s="267">
        <f t="shared" si="299"/>
        <v>0.77591973244147161</v>
      </c>
      <c r="JP18" s="267">
        <f t="shared" si="299"/>
        <v>0.62030618139803584</v>
      </c>
      <c r="JQ18" s="267">
        <f t="shared" si="299"/>
        <v>0.6971653101319113</v>
      </c>
      <c r="JR18" s="267">
        <f t="shared" si="299"/>
        <v>0.78608159067535144</v>
      </c>
      <c r="JS18" s="267">
        <f t="shared" si="299"/>
        <v>0.80538999740865513</v>
      </c>
      <c r="JT18" s="267">
        <f t="shared" si="299"/>
        <v>0.75041276829939463</v>
      </c>
      <c r="JU18" s="267">
        <f t="shared" si="299"/>
        <v>0.7453598176489743</v>
      </c>
      <c r="JV18" s="267">
        <f t="shared" si="299"/>
        <v>0.7677880321524263</v>
      </c>
      <c r="JW18" s="267">
        <f t="shared" si="299"/>
        <v>0.84904935663529868</v>
      </c>
      <c r="JX18" s="267">
        <f t="shared" si="299"/>
        <v>0.84341342170671085</v>
      </c>
      <c r="JY18" s="267">
        <f t="shared" si="300"/>
        <v>0.75583530028848678</v>
      </c>
      <c r="JZ18" s="267">
        <f t="shared" si="300"/>
        <v>0.80518763796909487</v>
      </c>
      <c r="KA18" s="267">
        <f t="shared" si="300"/>
        <v>0.88291354663036081</v>
      </c>
      <c r="KB18" s="267">
        <f t="shared" si="300"/>
        <v>0.75817538012913976</v>
      </c>
      <c r="KC18" s="267">
        <f t="shared" si="300"/>
        <v>0.73613921489275602</v>
      </c>
      <c r="KD18" s="267">
        <f t="shared" si="300"/>
        <v>0.81668978270920023</v>
      </c>
      <c r="KE18" s="267">
        <f t="shared" si="300"/>
        <v>0.87134842329270656</v>
      </c>
      <c r="KF18" s="267">
        <f t="shared" si="300"/>
        <v>0.74945054945054945</v>
      </c>
      <c r="KG18" s="267">
        <f t="shared" si="300"/>
        <v>0.79167838065785778</v>
      </c>
      <c r="KH18" s="267">
        <f t="shared" si="300"/>
        <v>0.78853465925709276</v>
      </c>
      <c r="KI18" s="267">
        <f t="shared" si="300"/>
        <v>0.80824427480916028</v>
      </c>
      <c r="KJ18" s="267">
        <f t="shared" si="300"/>
        <v>0.77518528685149601</v>
      </c>
      <c r="KK18" s="790">
        <f t="shared" si="301"/>
        <v>0.8029530201342282</v>
      </c>
      <c r="KL18" s="790">
        <f t="shared" si="301"/>
        <v>0.80376193149915776</v>
      </c>
      <c r="KM18" s="790">
        <f t="shared" si="301"/>
        <v>0.8103843217103589</v>
      </c>
      <c r="KN18" s="790">
        <f t="shared" si="301"/>
        <v>0.79752969121140138</v>
      </c>
      <c r="KO18" s="790">
        <f t="shared" si="301"/>
        <v>0.77758670106047578</v>
      </c>
      <c r="KP18" s="790">
        <f t="shared" si="301"/>
        <v>0.79762889440308793</v>
      </c>
      <c r="KQ18" s="790">
        <f t="shared" si="301"/>
        <v>0.79673721340388004</v>
      </c>
      <c r="KR18" s="790">
        <f t="shared" si="301"/>
        <v>0.82875511396843948</v>
      </c>
      <c r="KS18" s="790">
        <f t="shared" si="301"/>
        <v>0.79397373165078544</v>
      </c>
      <c r="KT18" s="790">
        <f t="shared" si="301"/>
        <v>0.87698686938493431</v>
      </c>
      <c r="KU18" s="790">
        <f t="shared" si="301"/>
        <v>0.81928094177537381</v>
      </c>
      <c r="KV18" s="790">
        <f t="shared" si="301"/>
        <v>0.81280627245998038</v>
      </c>
      <c r="KW18" s="902">
        <f t="shared" si="302"/>
        <v>0.80508191240387827</v>
      </c>
      <c r="KX18" s="902">
        <f t="shared" si="302"/>
        <v>0.80260006842285325</v>
      </c>
      <c r="KY18" s="902">
        <f t="shared" si="302"/>
        <v>0.82493040519641203</v>
      </c>
      <c r="KZ18" s="902">
        <f t="shared" si="302"/>
        <v>0.79093333333333338</v>
      </c>
      <c r="LA18" s="902">
        <f t="shared" si="302"/>
        <v>0.82323381613952118</v>
      </c>
      <c r="LB18" s="902">
        <f t="shared" si="302"/>
        <v>0.80509841884478861</v>
      </c>
      <c r="LC18" s="902">
        <f t="shared" si="302"/>
        <v>0.78941141674060933</v>
      </c>
      <c r="LD18" s="902">
        <f t="shared" si="302"/>
        <v>0.72947430596574125</v>
      </c>
      <c r="LE18" s="902">
        <f t="shared" si="302"/>
        <v>0.77548428072403941</v>
      </c>
      <c r="LF18" s="902">
        <f t="shared" si="302"/>
        <v>0.78251445086705207</v>
      </c>
      <c r="LG18" s="902">
        <f t="shared" si="302"/>
        <v>0.82499059089198346</v>
      </c>
      <c r="LH18" s="902">
        <f t="shared" si="302"/>
        <v>0.82329182093571185</v>
      </c>
      <c r="LI18" s="961">
        <f t="shared" si="303"/>
        <v>0.82967786154900613</v>
      </c>
      <c r="LJ18" s="961">
        <f t="shared" si="303"/>
        <v>0.83506070476754513</v>
      </c>
      <c r="LK18" s="961">
        <f t="shared" si="303"/>
        <v>0.8337604099935938</v>
      </c>
      <c r="LL18" s="961">
        <f t="shared" si="303"/>
        <v>0.86089164785553052</v>
      </c>
      <c r="LM18" s="961">
        <f t="shared" si="303"/>
        <v>0.86542515811665499</v>
      </c>
      <c r="LN18" s="961">
        <f t="shared" si="303"/>
        <v>0.8438177874186551</v>
      </c>
      <c r="LO18" s="961">
        <f t="shared" si="303"/>
        <v>0.76860313315926898</v>
      </c>
      <c r="LP18" s="961">
        <f t="shared" si="303"/>
        <v>0.76763080922976923</v>
      </c>
      <c r="LQ18" s="961">
        <f t="shared" si="303"/>
        <v>0.76278893520272828</v>
      </c>
      <c r="LR18" s="961">
        <f t="shared" si="303"/>
        <v>0.7916473317865429</v>
      </c>
      <c r="LS18" s="961">
        <f t="shared" si="303"/>
        <v>0.8</v>
      </c>
      <c r="LT18" s="961">
        <f t="shared" si="303"/>
        <v>0.80472003701989825</v>
      </c>
      <c r="LU18" s="1157">
        <f t="shared" si="304"/>
        <v>0.82594339622641511</v>
      </c>
      <c r="LV18" s="1157">
        <f t="shared" si="304"/>
        <v>0.79422066549912429</v>
      </c>
      <c r="LW18" s="1157">
        <f t="shared" si="304"/>
        <v>0.85079539221064182</v>
      </c>
      <c r="LX18" s="1157">
        <f t="shared" si="304"/>
        <v>0.89111214518380644</v>
      </c>
      <c r="LY18" s="1157">
        <f t="shared" si="304"/>
        <v>0.80172879524581309</v>
      </c>
      <c r="LZ18" s="1157">
        <f t="shared" si="304"/>
        <v>0.77765785213167837</v>
      </c>
      <c r="MA18" s="1157">
        <f t="shared" si="304"/>
        <v>0.79259753251083698</v>
      </c>
      <c r="MB18" s="1157">
        <f t="shared" si="304"/>
        <v>0.7621097954790097</v>
      </c>
      <c r="MC18" s="1157">
        <f t="shared" si="304"/>
        <v>0.7777305567360816</v>
      </c>
      <c r="MD18" s="1157">
        <f t="shared" si="304"/>
        <v>0.79731485491554788</v>
      </c>
      <c r="ME18" s="1157">
        <f t="shared" si="304"/>
        <v>0</v>
      </c>
      <c r="MF18" s="1157">
        <f t="shared" si="304"/>
        <v>0</v>
      </c>
      <c r="MG18" s="1179">
        <f t="shared" si="305"/>
        <v>0</v>
      </c>
      <c r="MH18" s="1179">
        <f t="shared" si="305"/>
        <v>0</v>
      </c>
      <c r="MI18" s="1179">
        <f t="shared" si="305"/>
        <v>0</v>
      </c>
      <c r="MJ18" s="1179">
        <f t="shared" si="305"/>
        <v>0</v>
      </c>
      <c r="MK18" s="1179">
        <f t="shared" si="305"/>
        <v>0</v>
      </c>
      <c r="ML18" s="1179">
        <f t="shared" si="305"/>
        <v>0</v>
      </c>
      <c r="MM18" s="1179">
        <f t="shared" si="305"/>
        <v>0</v>
      </c>
      <c r="MN18" s="1179">
        <f t="shared" si="305"/>
        <v>0</v>
      </c>
      <c r="MO18" s="1179">
        <f t="shared" si="305"/>
        <v>0</v>
      </c>
      <c r="MP18" s="1179">
        <f t="shared" si="305"/>
        <v>0</v>
      </c>
      <c r="MQ18" s="1179">
        <f t="shared" si="306"/>
        <v>0</v>
      </c>
      <c r="MR18" s="1179">
        <f t="shared" si="306"/>
        <v>0</v>
      </c>
    </row>
    <row r="19" spans="1:356" s="2" customFormat="1" ht="15.75" customHeight="1" x14ac:dyDescent="0.25">
      <c r="A19" s="764"/>
      <c r="B19" s="56">
        <v>2.7</v>
      </c>
      <c r="C19" s="13"/>
      <c r="D19" s="444"/>
      <c r="E19" s="1217" t="s">
        <v>20</v>
      </c>
      <c r="F19" s="1217"/>
      <c r="G19" s="1218"/>
      <c r="H19" s="372">
        <v>1.3996554694229113E-2</v>
      </c>
      <c r="I19" s="102">
        <v>1.3295346628679962E-2</v>
      </c>
      <c r="J19" s="105">
        <v>8.3194675540765387E-3</v>
      </c>
      <c r="K19" s="102">
        <v>1.9692423105776444E-2</v>
      </c>
      <c r="L19" s="105">
        <v>1.6993776926759217E-2</v>
      </c>
      <c r="M19" s="102">
        <v>1.1811023622047244E-2</v>
      </c>
      <c r="N19" s="105">
        <v>2.1307109198934644E-2</v>
      </c>
      <c r="O19" s="102">
        <v>2.013565069944892E-2</v>
      </c>
      <c r="P19" s="105">
        <v>1.1907654921020656E-2</v>
      </c>
      <c r="Q19" s="102">
        <v>1.2842465753424657E-2</v>
      </c>
      <c r="R19" s="105">
        <v>1.3414106447425357E-2</v>
      </c>
      <c r="S19" s="102">
        <v>2.1361815754339118E-2</v>
      </c>
      <c r="T19" s="132" t="s">
        <v>29</v>
      </c>
      <c r="U19" s="151">
        <v>1.5423116275513489E-2</v>
      </c>
      <c r="V19" s="372">
        <f>V7/V13</f>
        <v>2.1082042164084328E-2</v>
      </c>
      <c r="W19" s="102">
        <f>W7/W13</f>
        <v>1.1113917655973731E-2</v>
      </c>
      <c r="X19" s="105">
        <f>X7/X13</f>
        <v>1.3047260075384169E-2</v>
      </c>
      <c r="Y19" s="102">
        <f>Y7/Y13</f>
        <v>1.9439944457301551E-2</v>
      </c>
      <c r="Z19" s="105">
        <v>1.3034854066307736E-2</v>
      </c>
      <c r="AA19" s="102">
        <v>1.2595837897042717E-2</v>
      </c>
      <c r="AB19" s="105">
        <v>1.0834485938220378E-2</v>
      </c>
      <c r="AC19" s="102">
        <v>9.8280098280098278E-3</v>
      </c>
      <c r="AD19" s="105">
        <v>1.3080739738385205E-2</v>
      </c>
      <c r="AE19" s="102">
        <v>1.2791991101223582E-2</v>
      </c>
      <c r="AF19" s="105">
        <v>8.587503701510216E-3</v>
      </c>
      <c r="AG19" s="102">
        <v>1.0261194029850746E-2</v>
      </c>
      <c r="AH19" s="132" t="s">
        <v>29</v>
      </c>
      <c r="AI19" s="151">
        <v>1.2974815054441181E-2</v>
      </c>
      <c r="AJ19" s="372">
        <f t="shared" ref="AJ19:AU19" si="358">AJ7/AJ13</f>
        <v>1.7881332972094283E-2</v>
      </c>
      <c r="AK19" s="102">
        <f t="shared" si="358"/>
        <v>2.0605112154407929E-2</v>
      </c>
      <c r="AL19" s="105">
        <f t="shared" si="358"/>
        <v>2.4009978172747116E-2</v>
      </c>
      <c r="AM19" s="102">
        <f t="shared" si="358"/>
        <v>8.9240030097817905E-2</v>
      </c>
      <c r="AN19" s="621">
        <f t="shared" si="358"/>
        <v>2.3567220139260846E-2</v>
      </c>
      <c r="AO19" s="619">
        <f t="shared" si="358"/>
        <v>1.5764425936942297E-2</v>
      </c>
      <c r="AP19" s="621">
        <f t="shared" si="358"/>
        <v>1.4973508408200876E-2</v>
      </c>
      <c r="AQ19" s="619">
        <f t="shared" si="358"/>
        <v>1.3006134969325154E-2</v>
      </c>
      <c r="AR19" s="621">
        <f t="shared" si="358"/>
        <v>1.1714285714285714E-2</v>
      </c>
      <c r="AS19" s="619">
        <f t="shared" si="358"/>
        <v>1.8234672304439745E-2</v>
      </c>
      <c r="AT19" s="621">
        <f t="shared" si="358"/>
        <v>2.8174037089871613E-2</v>
      </c>
      <c r="AU19" s="619">
        <f t="shared" si="358"/>
        <v>2.3225806451612905E-2</v>
      </c>
      <c r="AV19" s="132" t="s">
        <v>29</v>
      </c>
      <c r="AW19" s="151">
        <f t="shared" si="168"/>
        <v>2.5033045367583866E-2</v>
      </c>
      <c r="AX19" s="372">
        <f t="shared" ref="AX19:BH19" si="359">AX7/AX13</f>
        <v>1.7012351433232348E-2</v>
      </c>
      <c r="AY19" s="102">
        <f t="shared" si="359"/>
        <v>2.0692974013474495E-2</v>
      </c>
      <c r="AZ19" s="105">
        <f t="shared" si="359"/>
        <v>3.5356400075628666E-2</v>
      </c>
      <c r="BA19" s="102">
        <f t="shared" si="359"/>
        <v>0.28982229402261711</v>
      </c>
      <c r="BB19" s="621">
        <f t="shared" si="359"/>
        <v>0.13950598104707163</v>
      </c>
      <c r="BC19" s="619">
        <f t="shared" si="359"/>
        <v>7.3247815579103925E-2</v>
      </c>
      <c r="BD19" s="621">
        <f t="shared" si="359"/>
        <v>3.8233801387244123E-2</v>
      </c>
      <c r="BE19" s="619">
        <f t="shared" si="359"/>
        <v>3.4939759036144581E-2</v>
      </c>
      <c r="BF19" s="621">
        <f t="shared" si="359"/>
        <v>1.9662921348314606E-2</v>
      </c>
      <c r="BG19" s="619">
        <f t="shared" si="359"/>
        <v>1.1329916374426759E-2</v>
      </c>
      <c r="BH19" s="621">
        <f t="shared" si="359"/>
        <v>1.3869232946504387E-2</v>
      </c>
      <c r="BI19" s="619">
        <f t="shared" ref="BI19" si="360">BI7/BI13</f>
        <v>2.0665593129361247E-2</v>
      </c>
      <c r="BJ19" s="132" t="s">
        <v>29</v>
      </c>
      <c r="BK19" s="151">
        <f t="shared" si="169"/>
        <v>5.9528253366093652E-2</v>
      </c>
      <c r="BL19" s="372">
        <f t="shared" ref="BL19:BM19" si="361">BL7/BL13</f>
        <v>1.7495626093476629E-2</v>
      </c>
      <c r="BM19" s="102">
        <f t="shared" si="361"/>
        <v>1.9154030327214685E-2</v>
      </c>
      <c r="BN19" s="105">
        <f t="shared" ref="BN19:BO19" si="362">BN7/BN13</f>
        <v>2.0853080568720379E-2</v>
      </c>
      <c r="BO19" s="102">
        <f t="shared" si="362"/>
        <v>0.38479421387980023</v>
      </c>
      <c r="BP19" s="209">
        <f t="shared" ref="BP19:BQ19" si="363">BP7/BP13</f>
        <v>1.7473118279569891E-2</v>
      </c>
      <c r="BQ19" s="619">
        <f t="shared" si="363"/>
        <v>1.6853932584269662E-2</v>
      </c>
      <c r="BR19" s="621">
        <f t="shared" ref="BR19" si="364">BR7/BR13</f>
        <v>5.2189562087582485E-2</v>
      </c>
      <c r="BS19" s="619">
        <f t="shared" ref="BS19:BT19" si="365">BS7/BS13</f>
        <v>6.8947906026557718E-2</v>
      </c>
      <c r="BT19" s="621">
        <f t="shared" si="365"/>
        <v>3.0954631379962193E-2</v>
      </c>
      <c r="BU19" s="621">
        <f t="shared" ref="BU19:BV19" si="366">BU7/BU13</f>
        <v>3.3077853973376363E-2</v>
      </c>
      <c r="BV19" s="621">
        <f t="shared" si="366"/>
        <v>2.1670943826632448E-2</v>
      </c>
      <c r="BW19" s="621">
        <f t="shared" ref="BW19" si="367">BW7/BW13</f>
        <v>2.8977272727272727E-2</v>
      </c>
      <c r="BX19" s="132" t="s">
        <v>29</v>
      </c>
      <c r="BY19" s="151">
        <f t="shared" si="170"/>
        <v>5.9370180979536287E-2</v>
      </c>
      <c r="BZ19" s="621">
        <f t="shared" ref="BZ19:CA19" si="368">BZ7/BZ13</f>
        <v>4.3634190077704721E-2</v>
      </c>
      <c r="CA19" s="102">
        <f t="shared" si="368"/>
        <v>4.1104899704044726E-2</v>
      </c>
      <c r="CB19" s="105">
        <f t="shared" ref="CB19:CC19" si="369">CB7/CB13</f>
        <v>5.4513481828839389E-2</v>
      </c>
      <c r="CC19" s="102">
        <f t="shared" si="369"/>
        <v>0.11200200451014783</v>
      </c>
      <c r="CD19" s="209">
        <f t="shared" ref="CD19:CE19" si="370">CD7/CD13</f>
        <v>8.8586956521739132E-2</v>
      </c>
      <c r="CE19" s="619">
        <f t="shared" si="370"/>
        <v>4.738154613466334E-2</v>
      </c>
      <c r="CF19" s="621">
        <f t="shared" ref="CF19:CG19" si="371">CF7/CF13</f>
        <v>3.2319912352780061E-2</v>
      </c>
      <c r="CG19" s="619">
        <f t="shared" si="371"/>
        <v>2.4205748865355523E-2</v>
      </c>
      <c r="CH19" s="621">
        <f t="shared" ref="CH19:CI19" si="372">CH7/CH13</f>
        <v>3.1955922865013774E-2</v>
      </c>
      <c r="CI19" s="621">
        <f t="shared" si="372"/>
        <v>2.5769956002514142E-2</v>
      </c>
      <c r="CJ19" s="621">
        <f t="shared" ref="CJ19:CK19" si="373">CJ7/CJ13</f>
        <v>1.8756169792694965E-2</v>
      </c>
      <c r="CK19" s="621">
        <f t="shared" si="373"/>
        <v>2.0192887281494876E-2</v>
      </c>
      <c r="CL19" s="132" t="s">
        <v>29</v>
      </c>
      <c r="CM19" s="151">
        <f t="shared" si="171"/>
        <v>4.5035306328082704E-2</v>
      </c>
      <c r="CN19" s="621">
        <f t="shared" ref="CN19:CO19" si="374">CN7/CN13</f>
        <v>2.5691056910569107E-2</v>
      </c>
      <c r="CO19" s="102">
        <f t="shared" si="374"/>
        <v>3.4198113207547169E-2</v>
      </c>
      <c r="CP19" s="105">
        <f t="shared" ref="CP19:CQ19" si="375">CP7/CP13</f>
        <v>3.2881453706374388E-2</v>
      </c>
      <c r="CQ19" s="102">
        <f t="shared" si="375"/>
        <v>3.3825503355704695E-2</v>
      </c>
      <c r="CR19" s="209">
        <f t="shared" ref="CR19:CS19" si="376">CR7/CR13</f>
        <v>1.9096117122851686E-2</v>
      </c>
      <c r="CS19" s="619">
        <f t="shared" si="376"/>
        <v>2.2949713128585892E-2</v>
      </c>
      <c r="CT19" s="1026">
        <f t="shared" ref="CT19:CU19" si="377">CT7/CT13</f>
        <v>5.7299164987042905E-2</v>
      </c>
      <c r="CU19" s="619">
        <f t="shared" si="377"/>
        <v>1.119724375538329E-2</v>
      </c>
      <c r="CV19" s="621">
        <f t="shared" ref="CV19:CW19" si="378">CV7/CV13</f>
        <v>1.8268176835951774E-2</v>
      </c>
      <c r="CW19" s="1096">
        <f t="shared" si="378"/>
        <v>2.3829431438127092E-2</v>
      </c>
      <c r="CX19" s="621">
        <f t="shared" ref="CX19:CY19" si="379">CX7/CX13</f>
        <v>2.3384859294490686E-2</v>
      </c>
      <c r="CY19" s="102">
        <f t="shared" si="379"/>
        <v>7.3497622135754431E-3</v>
      </c>
      <c r="CZ19" s="132" t="s">
        <v>29</v>
      </c>
      <c r="DA19" s="151">
        <f t="shared" si="172"/>
        <v>2.5830882996350345E-2</v>
      </c>
      <c r="DB19" s="621">
        <f t="shared" ref="DB19:DC19" si="380">DB7/DB13</f>
        <v>9.2797171895713654E-3</v>
      </c>
      <c r="DC19" s="102">
        <f t="shared" si="380"/>
        <v>8.3022000830220016E-3</v>
      </c>
      <c r="DD19" s="105">
        <f t="shared" ref="DD19:DE19" si="381">DD7/DD13</f>
        <v>1.1035207566999475E-2</v>
      </c>
      <c r="DE19" s="102">
        <f t="shared" si="381"/>
        <v>1.3039934800325998E-2</v>
      </c>
      <c r="DF19" s="209">
        <f t="shared" ref="DF19:DG19" si="382">DF7/DF13</f>
        <v>1.2967581047381545E-2</v>
      </c>
      <c r="DG19" s="619">
        <f t="shared" si="382"/>
        <v>1.0808028821410191E-2</v>
      </c>
      <c r="DH19" s="1026">
        <f t="shared" ref="DH19:DI19" si="383">DH7/DH13</f>
        <v>4.4491525423728813E-2</v>
      </c>
      <c r="DI19" s="619">
        <f t="shared" si="383"/>
        <v>1.5364061456245824E-2</v>
      </c>
      <c r="DJ19" s="621">
        <f t="shared" ref="DJ19:DK19" si="384">DJ7/DJ13</f>
        <v>1.6233766233766232E-2</v>
      </c>
      <c r="DK19" s="619">
        <f t="shared" si="384"/>
        <v>1.6216216216216217E-2</v>
      </c>
      <c r="DL19" s="621"/>
      <c r="DM19" s="619"/>
      <c r="DN19" s="132" t="s">
        <v>29</v>
      </c>
      <c r="DO19" s="151">
        <f t="shared" si="173"/>
        <v>1.5773823883866767E-2</v>
      </c>
      <c r="DP19" s="621"/>
      <c r="DQ19" s="102"/>
      <c r="DR19" s="105"/>
      <c r="DS19" s="102"/>
      <c r="DT19" s="209"/>
      <c r="DU19" s="619"/>
      <c r="DV19" s="1026"/>
      <c r="DW19" s="619"/>
      <c r="DX19" s="621"/>
      <c r="DY19" s="619"/>
      <c r="DZ19" s="621"/>
      <c r="EA19" s="619"/>
      <c r="EB19" s="132" t="s">
        <v>29</v>
      </c>
      <c r="EC19" s="151" t="e">
        <f t="shared" si="174"/>
        <v>#DIV/0!</v>
      </c>
      <c r="ED19" s="665">
        <f t="shared" si="175"/>
        <v>-6.2134550183805572E-3</v>
      </c>
      <c r="EE19" s="663">
        <f t="shared" si="176"/>
        <v>-0.26752375773582954</v>
      </c>
      <c r="EF19" s="665">
        <f t="shared" si="177"/>
        <v>3.6806225802421474E-3</v>
      </c>
      <c r="EG19" s="663">
        <f t="shared" si="178"/>
        <v>0.21635002043587745</v>
      </c>
      <c r="EH19" s="665">
        <f t="shared" si="179"/>
        <v>1.4663426062154171E-2</v>
      </c>
      <c r="EI19" s="663">
        <f t="shared" si="180"/>
        <v>0.70861858970131086</v>
      </c>
      <c r="EJ19" s="665">
        <f t="shared" si="181"/>
        <v>0.25446589394698843</v>
      </c>
      <c r="EK19" s="663">
        <f t="shared" si="182"/>
        <v>7.1971663801370145</v>
      </c>
      <c r="EL19" s="665">
        <f t="shared" si="183"/>
        <v>-0.15031631297554549</v>
      </c>
      <c r="EM19" s="663">
        <f t="shared" si="184"/>
        <v>-0.51864993161573392</v>
      </c>
      <c r="EN19" s="665">
        <f t="shared" si="185"/>
        <v>-6.62581654679677E-2</v>
      </c>
      <c r="EO19" s="663">
        <f t="shared" si="186"/>
        <v>-0.47494856471860586</v>
      </c>
      <c r="EP19" s="665">
        <f t="shared" si="187"/>
        <v>-3.5014014191859802E-2</v>
      </c>
      <c r="EQ19" s="663">
        <f t="shared" si="188"/>
        <v>-0.47802127496957836</v>
      </c>
      <c r="ER19" s="665">
        <f t="shared" si="189"/>
        <v>-3.2940423510995423E-3</v>
      </c>
      <c r="ES19" s="663">
        <f t="shared" si="190"/>
        <v>-8.6155240430749527E-2</v>
      </c>
      <c r="ET19" s="665">
        <f t="shared" si="191"/>
        <v>-1.5276837687829975E-2</v>
      </c>
      <c r="EU19" s="663">
        <f t="shared" si="192"/>
        <v>-0.43723363037582341</v>
      </c>
      <c r="EV19" s="665">
        <f t="shared" si="193"/>
        <v>-8.3330049738878469E-3</v>
      </c>
      <c r="EW19" s="109">
        <f t="shared" si="194"/>
        <v>-0.42379282438629623</v>
      </c>
      <c r="EX19" s="665">
        <f t="shared" si="195"/>
        <v>2.5393165720776281E-3</v>
      </c>
      <c r="EY19" s="663">
        <f t="shared" si="196"/>
        <v>0.22412491744504209</v>
      </c>
      <c r="EZ19" s="665">
        <f t="shared" si="197"/>
        <v>6.7963601828568594E-3</v>
      </c>
      <c r="FA19" s="663">
        <f t="shared" si="198"/>
        <v>0.49003143930680171</v>
      </c>
      <c r="FB19" s="665">
        <f t="shared" si="199"/>
        <v>-3.1699670358846174E-3</v>
      </c>
      <c r="FC19" s="663">
        <f t="shared" si="200"/>
        <v>-0.15339346981436472</v>
      </c>
      <c r="FD19" s="396">
        <f t="shared" si="201"/>
        <v>1.6584042337380554E-3</v>
      </c>
      <c r="FE19" s="402">
        <f t="shared" si="202"/>
        <v>9.4789647702656576E-2</v>
      </c>
      <c r="FF19" s="396">
        <f t="shared" si="203"/>
        <v>1.6990502415056945E-3</v>
      </c>
      <c r="FG19" s="402">
        <f t="shared" si="204"/>
        <v>8.8704581358609799E-2</v>
      </c>
      <c r="FH19" s="396">
        <f t="shared" si="205"/>
        <v>0.36394113331107986</v>
      </c>
      <c r="FI19" s="402">
        <f t="shared" si="206"/>
        <v>17.452631620144967</v>
      </c>
      <c r="FJ19" s="396">
        <f t="shared" si="207"/>
        <v>-0.36732109560023035</v>
      </c>
      <c r="FK19" s="402">
        <f t="shared" si="208"/>
        <v>-0.95459100566146238</v>
      </c>
      <c r="FL19" s="396">
        <f t="shared" si="209"/>
        <v>-6.1918569530022838E-4</v>
      </c>
      <c r="FM19" s="402">
        <f t="shared" si="210"/>
        <v>-3.5436473638720767E-2</v>
      </c>
      <c r="FN19" s="396">
        <f t="shared" si="211"/>
        <v>3.5335629503312822E-2</v>
      </c>
      <c r="FO19" s="402">
        <f t="shared" si="212"/>
        <v>2.0965806838632277</v>
      </c>
      <c r="FP19" s="396">
        <f t="shared" si="213"/>
        <v>1.6758343938975233E-2</v>
      </c>
      <c r="FQ19" s="402">
        <f t="shared" si="214"/>
        <v>0.32110527984220361</v>
      </c>
      <c r="FR19" s="396">
        <f t="shared" si="215"/>
        <v>-3.7993274646595521E-2</v>
      </c>
      <c r="FS19" s="402">
        <f t="shared" si="216"/>
        <v>-0.55104319820765946</v>
      </c>
      <c r="FT19" s="396">
        <f t="shared" si="217"/>
        <v>2.1232225934141695E-3</v>
      </c>
      <c r="FU19" s="402">
        <f t="shared" si="218"/>
        <v>6.8591435231517298E-2</v>
      </c>
      <c r="FV19" s="396">
        <f t="shared" si="219"/>
        <v>-1.1406910146743915E-2</v>
      </c>
      <c r="FW19" s="402">
        <f t="shared" si="220"/>
        <v>-0.34485036894851417</v>
      </c>
      <c r="FX19" s="396">
        <f t="shared" si="221"/>
        <v>7.3063289006402785E-3</v>
      </c>
      <c r="FY19" s="402">
        <f t="shared" si="222"/>
        <v>0.3371486244019139</v>
      </c>
      <c r="FZ19" s="396">
        <f t="shared" si="223"/>
        <v>1.4656917350431994E-2</v>
      </c>
      <c r="GA19" s="402">
        <f t="shared" si="224"/>
        <v>0.50580734385804527</v>
      </c>
      <c r="GB19" s="396">
        <f t="shared" si="225"/>
        <v>-2.5292903736599953E-3</v>
      </c>
      <c r="GC19" s="402">
        <f t="shared" si="226"/>
        <v>-5.7965791714153045E-2</v>
      </c>
      <c r="GD19" s="396">
        <f t="shared" si="227"/>
        <v>1.3408582124794663E-2</v>
      </c>
      <c r="GE19" s="402">
        <f t="shared" si="228"/>
        <v>0.32620398593200456</v>
      </c>
      <c r="GF19" s="396">
        <f t="shared" si="229"/>
        <v>5.748852268130844E-2</v>
      </c>
      <c r="GG19" s="402">
        <f t="shared" si="230"/>
        <v>1.0545744053151849</v>
      </c>
      <c r="GH19" s="396">
        <f t="shared" si="231"/>
        <v>-2.3415047988408696E-2</v>
      </c>
      <c r="GI19" s="402">
        <f t="shared" si="232"/>
        <v>-0.20905918684952821</v>
      </c>
      <c r="GJ19" s="396">
        <f t="shared" si="233"/>
        <v>-4.1205410387075793E-2</v>
      </c>
      <c r="GK19" s="402">
        <f t="shared" si="234"/>
        <v>-0.46514082890932185</v>
      </c>
      <c r="GL19" s="396">
        <f t="shared" si="235"/>
        <v>-1.5061633781883278E-2</v>
      </c>
      <c r="GM19" s="402">
        <f t="shared" si="236"/>
        <v>-0.31787974455448392</v>
      </c>
      <c r="GN19" s="396">
        <f t="shared" si="237"/>
        <v>-8.1141634874245389E-3</v>
      </c>
      <c r="GO19" s="402">
        <f t="shared" si="238"/>
        <v>-0.25105771942870331</v>
      </c>
      <c r="GP19" s="396">
        <f t="shared" si="239"/>
        <v>7.7501739996582511E-3</v>
      </c>
      <c r="GQ19" s="402">
        <f t="shared" si="240"/>
        <v>0.32017906336088148</v>
      </c>
      <c r="GR19" s="396">
        <f t="shared" si="241"/>
        <v>-6.1859668624996318E-3</v>
      </c>
      <c r="GS19" s="402">
        <f t="shared" si="242"/>
        <v>-0.19357810095580744</v>
      </c>
      <c r="GT19" s="396">
        <f t="shared" si="243"/>
        <v>-7.0137862098191769E-3</v>
      </c>
      <c r="GU19" s="402">
        <f t="shared" si="244"/>
        <v>-0.27216911853225145</v>
      </c>
      <c r="GV19" s="396">
        <f t="shared" si="245"/>
        <v>1.4367174887999108E-3</v>
      </c>
      <c r="GW19" s="402">
        <f t="shared" si="246"/>
        <v>7.6599727166016304E-2</v>
      </c>
      <c r="GX19" s="396">
        <f t="shared" si="247"/>
        <v>5.4981696290742309E-3</v>
      </c>
      <c r="GY19" s="402">
        <f t="shared" si="248"/>
        <v>0.27228248998907911</v>
      </c>
      <c r="GZ19" s="396">
        <f t="shared" si="249"/>
        <v>8.5070562969780626E-3</v>
      </c>
      <c r="HA19" s="402">
        <f t="shared" si="250"/>
        <v>0.33112909004060181</v>
      </c>
      <c r="HB19" s="396">
        <f t="shared" si="251"/>
        <v>-1.3166595011727816E-3</v>
      </c>
      <c r="HC19" s="402">
        <f t="shared" si="252"/>
        <v>-3.8500939896362718E-2</v>
      </c>
      <c r="HD19" s="396">
        <f t="shared" si="253"/>
        <v>9.4404964933030716E-4</v>
      </c>
      <c r="HE19" s="402">
        <f t="shared" si="254"/>
        <v>2.8710702931826097E-2</v>
      </c>
      <c r="HF19" s="396">
        <f t="shared" si="255"/>
        <v>-1.4729386232853008E-2</v>
      </c>
      <c r="HG19" s="402">
        <f t="shared" si="256"/>
        <v>-0.43545209299505921</v>
      </c>
      <c r="HH19" s="396">
        <f t="shared" si="257"/>
        <v>3.8535960057342056E-3</v>
      </c>
      <c r="HI19" s="402">
        <f t="shared" si="258"/>
        <v>0.20179997750028122</v>
      </c>
      <c r="HJ19" s="396">
        <f t="shared" si="259"/>
        <v>3.4349451858457017E-2</v>
      </c>
      <c r="HK19" s="402">
        <f t="shared" si="260"/>
        <v>1.4967268508324727</v>
      </c>
      <c r="HL19" s="396">
        <f t="shared" si="261"/>
        <v>-4.6101921231659612E-2</v>
      </c>
      <c r="HM19" s="402">
        <f t="shared" si="262"/>
        <v>-0.80458277606810968</v>
      </c>
      <c r="HN19" s="396">
        <f t="shared" si="263"/>
        <v>7.0709330805684839E-3</v>
      </c>
      <c r="HO19" s="402">
        <f t="shared" si="264"/>
        <v>0.63148871588769306</v>
      </c>
      <c r="HP19" s="396">
        <f t="shared" si="265"/>
        <v>5.5612546021753181E-3</v>
      </c>
      <c r="HQ19" s="402">
        <f t="shared" si="266"/>
        <v>0.30442307692307691</v>
      </c>
      <c r="HR19" s="396">
        <f t="shared" si="267"/>
        <v>-4.4457214363640557E-4</v>
      </c>
      <c r="HS19" s="402">
        <f t="shared" si="268"/>
        <v>-1.8656431010145299E-2</v>
      </c>
      <c r="HT19" s="396">
        <f t="shared" si="269"/>
        <v>-1.6035097080915245E-2</v>
      </c>
      <c r="HU19" s="402">
        <f t="shared" si="270"/>
        <v>-0.68570423618896881</v>
      </c>
      <c r="HV19" s="396">
        <f t="shared" si="271"/>
        <v>1.9299549759959223E-3</v>
      </c>
      <c r="HW19" s="402">
        <f t="shared" si="272"/>
        <v>0.26258740349873932</v>
      </c>
      <c r="HX19" s="396">
        <f t="shared" si="273"/>
        <v>-9.7751710654936375E-4</v>
      </c>
      <c r="HY19" s="402">
        <f t="shared" si="274"/>
        <v>-0.10533910533910525</v>
      </c>
      <c r="HZ19" s="396">
        <f t="shared" si="275"/>
        <v>2.7330074839774735E-3</v>
      </c>
      <c r="IA19" s="402">
        <f t="shared" si="276"/>
        <v>0.24766253533376817</v>
      </c>
      <c r="IB19" s="396">
        <f t="shared" si="277"/>
        <v>2.0047272333265226E-3</v>
      </c>
      <c r="IC19" s="402">
        <f t="shared" si="278"/>
        <v>0.18166647262001773</v>
      </c>
      <c r="ID19" s="396">
        <f t="shared" si="279"/>
        <v>-7.2353752944452274E-5</v>
      </c>
      <c r="IE19" s="402">
        <f t="shared" si="280"/>
        <v>-4.5869507278101804E-3</v>
      </c>
      <c r="IF19" s="396">
        <f t="shared" si="281"/>
        <v>-2.1595522259713548E-3</v>
      </c>
      <c r="IG19" s="402">
        <f t="shared" si="282"/>
        <v>-0.16653470050279101</v>
      </c>
      <c r="IH19" s="396">
        <f t="shared" si="283"/>
        <v>3.3683496602318619E-2</v>
      </c>
      <c r="II19" s="402">
        <f t="shared" si="284"/>
        <v>3.1165254237288131</v>
      </c>
      <c r="IJ19" s="396">
        <f t="shared" si="285"/>
        <v>-2.9127463967482989E-2</v>
      </c>
      <c r="IK19" s="402">
        <f t="shared" si="286"/>
        <v>-0.65467442822152244</v>
      </c>
      <c r="IL19" s="396">
        <f t="shared" si="287"/>
        <v>8.6970477752040809E-4</v>
      </c>
      <c r="IM19" s="402">
        <f t="shared" si="288"/>
        <v>5.6606437041219607E-2</v>
      </c>
      <c r="IN19" s="396">
        <f t="shared" si="289"/>
        <v>-1.7550017550015118E-5</v>
      </c>
      <c r="IO19" s="402">
        <f t="shared" si="290"/>
        <v>-1.0810810810809313E-3</v>
      </c>
      <c r="IP19" s="396">
        <f t="shared" si="291"/>
        <v>-1.6216216216216217E-2</v>
      </c>
      <c r="IQ19" s="402">
        <f t="shared" si="292"/>
        <v>-2.2884265882795282E-2</v>
      </c>
      <c r="IR19" s="396">
        <f t="shared" si="293"/>
        <v>6.9427004861900263</v>
      </c>
      <c r="IS19" s="402">
        <f t="shared" si="294"/>
        <v>27.283422459893046</v>
      </c>
      <c r="IT19" s="621">
        <f t="shared" si="295"/>
        <v>2.3829431438127092E-2</v>
      </c>
      <c r="IU19" s="1058">
        <f t="shared" si="296"/>
        <v>1.6216216216216217E-2</v>
      </c>
      <c r="IV19" s="665">
        <f>(IU19-IT19)*100</f>
        <v>-0.76132152219108751</v>
      </c>
      <c r="IW19" s="109">
        <f>IF(ISERROR((IV19/IT19)/100),0,(IV19/IT19)/100)</f>
        <v>-0.31948790896159318</v>
      </c>
      <c r="IX19" s="698"/>
      <c r="IY19" s="698"/>
      <c r="IZ19" s="698"/>
      <c r="JA19" s="2" t="str">
        <f t="shared" si="298"/>
        <v xml:space="preserve">Calls Abandoned </v>
      </c>
      <c r="JB19" s="266" t="e">
        <f>#REF!</f>
        <v>#REF!</v>
      </c>
      <c r="JC19" s="266" t="e">
        <f>#REF!</f>
        <v>#REF!</v>
      </c>
      <c r="JD19" s="266" t="e">
        <f>#REF!</f>
        <v>#REF!</v>
      </c>
      <c r="JE19" s="266" t="e">
        <f>#REF!</f>
        <v>#REF!</v>
      </c>
      <c r="JF19" s="266" t="e">
        <f>#REF!</f>
        <v>#REF!</v>
      </c>
      <c r="JG19" s="266" t="e">
        <f>#REF!</f>
        <v>#REF!</v>
      </c>
      <c r="JH19" s="266" t="e">
        <f>#REF!</f>
        <v>#REF!</v>
      </c>
      <c r="JI19" s="266" t="e">
        <f>#REF!</f>
        <v>#REF!</v>
      </c>
      <c r="JJ19" s="266" t="e">
        <f>#REF!</f>
        <v>#REF!</v>
      </c>
      <c r="JK19" s="266" t="e">
        <f>#REF!</f>
        <v>#REF!</v>
      </c>
      <c r="JL19" s="266" t="e">
        <f>#REF!</f>
        <v>#REF!</v>
      </c>
      <c r="JM19" s="267">
        <f t="shared" si="299"/>
        <v>1.7881332972094283E-2</v>
      </c>
      <c r="JN19" s="267">
        <f t="shared" si="299"/>
        <v>2.0605112154407929E-2</v>
      </c>
      <c r="JO19" s="267">
        <f t="shared" si="299"/>
        <v>2.4009978172747116E-2</v>
      </c>
      <c r="JP19" s="267">
        <f t="shared" si="299"/>
        <v>8.9240030097817905E-2</v>
      </c>
      <c r="JQ19" s="267">
        <f t="shared" si="299"/>
        <v>2.3567220139260846E-2</v>
      </c>
      <c r="JR19" s="267">
        <f t="shared" si="299"/>
        <v>1.5764425936942297E-2</v>
      </c>
      <c r="JS19" s="267">
        <f t="shared" si="299"/>
        <v>1.4973508408200876E-2</v>
      </c>
      <c r="JT19" s="267">
        <f t="shared" si="299"/>
        <v>1.3006134969325154E-2</v>
      </c>
      <c r="JU19" s="267">
        <f t="shared" si="299"/>
        <v>1.1714285714285714E-2</v>
      </c>
      <c r="JV19" s="267">
        <f t="shared" si="299"/>
        <v>1.8234672304439745E-2</v>
      </c>
      <c r="JW19" s="267">
        <f t="shared" si="299"/>
        <v>2.8174037089871613E-2</v>
      </c>
      <c r="JX19" s="267">
        <f t="shared" si="299"/>
        <v>2.3225806451612905E-2</v>
      </c>
      <c r="JY19" s="267">
        <f t="shared" si="300"/>
        <v>1.7012351433232348E-2</v>
      </c>
      <c r="JZ19" s="267">
        <f t="shared" si="300"/>
        <v>2.0692974013474495E-2</v>
      </c>
      <c r="KA19" s="267">
        <f t="shared" si="300"/>
        <v>3.5356400075628666E-2</v>
      </c>
      <c r="KB19" s="267">
        <f t="shared" si="300"/>
        <v>0.28982229402261711</v>
      </c>
      <c r="KC19" s="267">
        <f t="shared" si="300"/>
        <v>0.13950598104707163</v>
      </c>
      <c r="KD19" s="267">
        <f t="shared" si="300"/>
        <v>7.3247815579103925E-2</v>
      </c>
      <c r="KE19" s="267">
        <f t="shared" si="300"/>
        <v>3.8233801387244123E-2</v>
      </c>
      <c r="KF19" s="267">
        <f t="shared" si="300"/>
        <v>3.4939759036144581E-2</v>
      </c>
      <c r="KG19" s="267">
        <f t="shared" si="300"/>
        <v>1.9662921348314606E-2</v>
      </c>
      <c r="KH19" s="267">
        <f t="shared" si="300"/>
        <v>1.1329916374426759E-2</v>
      </c>
      <c r="KI19" s="267">
        <f t="shared" si="300"/>
        <v>1.3869232946504387E-2</v>
      </c>
      <c r="KJ19" s="267">
        <f t="shared" si="300"/>
        <v>2.0665593129361247E-2</v>
      </c>
      <c r="KK19" s="790">
        <f t="shared" si="301"/>
        <v>1.7495626093476629E-2</v>
      </c>
      <c r="KL19" s="790">
        <f t="shared" si="301"/>
        <v>1.9154030327214685E-2</v>
      </c>
      <c r="KM19" s="790">
        <f t="shared" si="301"/>
        <v>2.0853080568720379E-2</v>
      </c>
      <c r="KN19" s="790">
        <f t="shared" si="301"/>
        <v>0.38479421387980023</v>
      </c>
      <c r="KO19" s="790">
        <f t="shared" si="301"/>
        <v>1.7473118279569891E-2</v>
      </c>
      <c r="KP19" s="790">
        <f t="shared" si="301"/>
        <v>1.6853932584269662E-2</v>
      </c>
      <c r="KQ19" s="790">
        <f t="shared" si="301"/>
        <v>5.2189562087582485E-2</v>
      </c>
      <c r="KR19" s="790">
        <f t="shared" si="301"/>
        <v>6.8947906026557718E-2</v>
      </c>
      <c r="KS19" s="790">
        <f t="shared" si="301"/>
        <v>3.0954631379962193E-2</v>
      </c>
      <c r="KT19" s="790">
        <f t="shared" si="301"/>
        <v>3.3077853973376363E-2</v>
      </c>
      <c r="KU19" s="790">
        <f t="shared" si="301"/>
        <v>2.1670943826632448E-2</v>
      </c>
      <c r="KV19" s="790">
        <f t="shared" si="301"/>
        <v>2.8977272727272727E-2</v>
      </c>
      <c r="KW19" s="902">
        <f t="shared" si="302"/>
        <v>4.3634190077704721E-2</v>
      </c>
      <c r="KX19" s="902">
        <f t="shared" si="302"/>
        <v>4.1104899704044726E-2</v>
      </c>
      <c r="KY19" s="902">
        <f t="shared" si="302"/>
        <v>5.4513481828839389E-2</v>
      </c>
      <c r="KZ19" s="902">
        <f t="shared" si="302"/>
        <v>0.11200200451014783</v>
      </c>
      <c r="LA19" s="902">
        <f t="shared" si="302"/>
        <v>8.8586956521739132E-2</v>
      </c>
      <c r="LB19" s="902">
        <f t="shared" si="302"/>
        <v>4.738154613466334E-2</v>
      </c>
      <c r="LC19" s="902">
        <f t="shared" si="302"/>
        <v>3.2319912352780061E-2</v>
      </c>
      <c r="LD19" s="902">
        <f t="shared" si="302"/>
        <v>2.4205748865355523E-2</v>
      </c>
      <c r="LE19" s="902">
        <f t="shared" si="302"/>
        <v>3.1955922865013774E-2</v>
      </c>
      <c r="LF19" s="902">
        <f t="shared" si="302"/>
        <v>2.5769956002514142E-2</v>
      </c>
      <c r="LG19" s="902">
        <f t="shared" si="302"/>
        <v>1.8756169792694965E-2</v>
      </c>
      <c r="LH19" s="902">
        <f t="shared" si="302"/>
        <v>2.0192887281494876E-2</v>
      </c>
      <c r="LI19" s="961">
        <f t="shared" si="303"/>
        <v>2.5691056910569107E-2</v>
      </c>
      <c r="LJ19" s="961">
        <f t="shared" si="303"/>
        <v>3.4198113207547169E-2</v>
      </c>
      <c r="LK19" s="961">
        <f t="shared" si="303"/>
        <v>3.2881453706374388E-2</v>
      </c>
      <c r="LL19" s="961">
        <f t="shared" si="303"/>
        <v>3.3825503355704695E-2</v>
      </c>
      <c r="LM19" s="961">
        <f t="shared" si="303"/>
        <v>1.9096117122851686E-2</v>
      </c>
      <c r="LN19" s="961">
        <f t="shared" si="303"/>
        <v>2.2949713128585892E-2</v>
      </c>
      <c r="LO19" s="961">
        <f t="shared" si="303"/>
        <v>5.7299164987042905E-2</v>
      </c>
      <c r="LP19" s="961">
        <f t="shared" si="303"/>
        <v>1.119724375538329E-2</v>
      </c>
      <c r="LQ19" s="961">
        <f t="shared" si="303"/>
        <v>1.8268176835951774E-2</v>
      </c>
      <c r="LR19" s="961">
        <f t="shared" si="303"/>
        <v>2.3829431438127092E-2</v>
      </c>
      <c r="LS19" s="961">
        <f t="shared" si="303"/>
        <v>2.3384859294490686E-2</v>
      </c>
      <c r="LT19" s="961">
        <f t="shared" si="303"/>
        <v>7.3497622135754431E-3</v>
      </c>
      <c r="LU19" s="1157">
        <f t="shared" si="304"/>
        <v>9.2797171895713654E-3</v>
      </c>
      <c r="LV19" s="1157">
        <f t="shared" si="304"/>
        <v>8.3022000830220016E-3</v>
      </c>
      <c r="LW19" s="1157">
        <f t="shared" si="304"/>
        <v>1.1035207566999475E-2</v>
      </c>
      <c r="LX19" s="1157">
        <f t="shared" si="304"/>
        <v>1.3039934800325998E-2</v>
      </c>
      <c r="LY19" s="1157">
        <f t="shared" si="304"/>
        <v>1.2967581047381545E-2</v>
      </c>
      <c r="LZ19" s="1157">
        <f t="shared" si="304"/>
        <v>1.0808028821410191E-2</v>
      </c>
      <c r="MA19" s="1157">
        <f t="shared" si="304"/>
        <v>4.4491525423728813E-2</v>
      </c>
      <c r="MB19" s="1157">
        <f t="shared" si="304"/>
        <v>1.5364061456245824E-2</v>
      </c>
      <c r="MC19" s="1157">
        <f t="shared" si="304"/>
        <v>1.6233766233766232E-2</v>
      </c>
      <c r="MD19" s="1157">
        <f t="shared" si="304"/>
        <v>1.6216216216216217E-2</v>
      </c>
      <c r="ME19" s="1157">
        <f t="shared" si="304"/>
        <v>0</v>
      </c>
      <c r="MF19" s="1157">
        <f t="shared" si="304"/>
        <v>0</v>
      </c>
      <c r="MG19" s="1179">
        <f t="shared" si="305"/>
        <v>0</v>
      </c>
      <c r="MH19" s="1179">
        <f t="shared" si="305"/>
        <v>0</v>
      </c>
      <c r="MI19" s="1179">
        <f t="shared" si="305"/>
        <v>0</v>
      </c>
      <c r="MJ19" s="1179">
        <f t="shared" si="305"/>
        <v>0</v>
      </c>
      <c r="MK19" s="1179">
        <f t="shared" si="305"/>
        <v>0</v>
      </c>
      <c r="ML19" s="1179">
        <f t="shared" si="305"/>
        <v>0</v>
      </c>
      <c r="MM19" s="1179">
        <f t="shared" si="305"/>
        <v>0</v>
      </c>
      <c r="MN19" s="1179">
        <f t="shared" si="305"/>
        <v>0</v>
      </c>
      <c r="MO19" s="1179">
        <f t="shared" si="305"/>
        <v>0</v>
      </c>
      <c r="MP19" s="1179">
        <f t="shared" si="305"/>
        <v>0</v>
      </c>
      <c r="MQ19" s="1179">
        <f t="shared" si="306"/>
        <v>0</v>
      </c>
      <c r="MR19" s="1179">
        <f t="shared" si="306"/>
        <v>0</v>
      </c>
    </row>
    <row r="20" spans="1:356" s="1" customFormat="1" ht="15.75" thickBot="1" x14ac:dyDescent="0.3">
      <c r="A20" s="765"/>
      <c r="B20" s="57">
        <v>2.8</v>
      </c>
      <c r="C20" s="14"/>
      <c r="D20" s="445"/>
      <c r="E20" s="1219" t="s">
        <v>164</v>
      </c>
      <c r="F20" s="1219"/>
      <c r="G20" s="1220"/>
      <c r="H20" s="373">
        <v>3.665380152960955E-2</v>
      </c>
      <c r="I20" s="201">
        <v>3.3233128979572514E-2</v>
      </c>
      <c r="J20" s="199">
        <v>3.3168293413645751E-2</v>
      </c>
      <c r="K20" s="201">
        <v>4.2126220649116711E-2</v>
      </c>
      <c r="L20" s="199">
        <v>3.2911890976407107E-2</v>
      </c>
      <c r="M20" s="201">
        <v>3.406974909263058E-2</v>
      </c>
      <c r="N20" s="199">
        <v>3.858040548551555E-2</v>
      </c>
      <c r="O20" s="201">
        <v>3.7489372184125423E-2</v>
      </c>
      <c r="P20" s="199">
        <v>2.634712902730113E-2</v>
      </c>
      <c r="Q20" s="201">
        <v>2.7622741462491721E-2</v>
      </c>
      <c r="R20" s="199">
        <v>3.6627308027577465E-2</v>
      </c>
      <c r="S20" s="201">
        <v>3.5897149156089499E-2</v>
      </c>
      <c r="T20" s="200" t="s">
        <v>29</v>
      </c>
      <c r="U20" s="198">
        <v>3.4560599165340246E-2</v>
      </c>
      <c r="V20" s="373">
        <f t="shared" ref="V20:Y20" si="385">V13/V11</f>
        <v>3.1294214902309908E-2</v>
      </c>
      <c r="W20" s="201">
        <f t="shared" si="385"/>
        <v>2.5042221983263016E-2</v>
      </c>
      <c r="X20" s="199">
        <f t="shared" si="385"/>
        <v>2.7029568733787354E-2</v>
      </c>
      <c r="Y20" s="201">
        <f t="shared" si="385"/>
        <v>3.3989899784465809E-2</v>
      </c>
      <c r="Z20" s="199">
        <v>2.7719739219228653E-2</v>
      </c>
      <c r="AA20" s="201">
        <v>2.8759981729693972E-2</v>
      </c>
      <c r="AB20" s="199">
        <v>2.7221385542168675E-2</v>
      </c>
      <c r="AC20" s="201">
        <v>3.2084381134068571E-2</v>
      </c>
      <c r="AD20" s="199">
        <v>3.5664301915930702E-2</v>
      </c>
      <c r="AE20" s="201">
        <v>2.8936992033475498E-2</v>
      </c>
      <c r="AF20" s="199">
        <v>3.3384740099254601E-2</v>
      </c>
      <c r="AG20" s="201">
        <v>2.9930200093066541E-2</v>
      </c>
      <c r="AH20" s="200" t="s">
        <v>29</v>
      </c>
      <c r="AI20" s="198">
        <v>3.0088135597559438E-2</v>
      </c>
      <c r="AJ20" s="373">
        <f t="shared" ref="AJ20:AO20" si="386">AJ13/AJ11</f>
        <v>3.3088597835928608E-2</v>
      </c>
      <c r="AK20" s="201">
        <f t="shared" si="386"/>
        <v>2.8423370326713077E-2</v>
      </c>
      <c r="AL20" s="199">
        <f t="shared" si="386"/>
        <v>2.8790735254511177E-2</v>
      </c>
      <c r="AM20" s="201">
        <f t="shared" si="386"/>
        <v>5.9614056178061668E-2</v>
      </c>
      <c r="AN20" s="622">
        <f t="shared" si="386"/>
        <v>3.3549871065707074E-2</v>
      </c>
      <c r="AO20" s="620">
        <f t="shared" si="386"/>
        <v>3.0259391932028874E-2</v>
      </c>
      <c r="AP20" s="622">
        <f t="shared" ref="AP20:AU20" si="387">AP13/AP11</f>
        <v>3.9101062871554675E-2</v>
      </c>
      <c r="AQ20" s="620">
        <f t="shared" si="387"/>
        <v>3.0752860204666888E-2</v>
      </c>
      <c r="AR20" s="622">
        <f t="shared" si="387"/>
        <v>3.1547447360830691E-2</v>
      </c>
      <c r="AS20" s="620">
        <f t="shared" si="387"/>
        <v>3.3993316324697258E-2</v>
      </c>
      <c r="AT20" s="622">
        <f t="shared" si="387"/>
        <v>5.0249545263120164E-2</v>
      </c>
      <c r="AU20" s="620">
        <f t="shared" si="387"/>
        <v>3.4464050659930981E-2</v>
      </c>
      <c r="AV20" s="200" t="s">
        <v>29</v>
      </c>
      <c r="AW20" s="198">
        <f t="shared" si="168"/>
        <v>3.6152858773145925E-2</v>
      </c>
      <c r="AX20" s="373">
        <f t="shared" ref="AX20:BC20" si="388">AX13/AX11</f>
        <v>3.8176496232172882E-2</v>
      </c>
      <c r="AY20" s="201">
        <f t="shared" si="388"/>
        <v>3.1051306381357262E-2</v>
      </c>
      <c r="AZ20" s="199">
        <f t="shared" si="388"/>
        <v>4.7770873225188769E-2</v>
      </c>
      <c r="BA20" s="201">
        <f t="shared" si="388"/>
        <v>0.1398541359770811</v>
      </c>
      <c r="BB20" s="622">
        <f t="shared" si="388"/>
        <v>5.8454944196732625E-2</v>
      </c>
      <c r="BC20" s="620">
        <f t="shared" si="388"/>
        <v>4.8991748182960815E-2</v>
      </c>
      <c r="BD20" s="622">
        <f t="shared" ref="BD20:BI20" si="389">BD13/BD11</f>
        <v>4.7952428854203852E-2</v>
      </c>
      <c r="BE20" s="620">
        <f t="shared" si="389"/>
        <v>3.788570385247398E-2</v>
      </c>
      <c r="BF20" s="622">
        <f t="shared" si="389"/>
        <v>3.5672967433386472E-2</v>
      </c>
      <c r="BG20" s="620">
        <f t="shared" si="389"/>
        <v>3.3561178760581234E-2</v>
      </c>
      <c r="BH20" s="622">
        <f t="shared" si="389"/>
        <v>3.1742181252976114E-2</v>
      </c>
      <c r="BI20" s="620">
        <f t="shared" si="389"/>
        <v>2.7356225633796614E-2</v>
      </c>
      <c r="BJ20" s="200" t="s">
        <v>29</v>
      </c>
      <c r="BK20" s="198">
        <f t="shared" si="169"/>
        <v>4.8205849165242648E-2</v>
      </c>
      <c r="BL20" s="373">
        <f t="shared" ref="BL20:BM20" si="390">BL13/BL11</f>
        <v>3.5147671170300612E-2</v>
      </c>
      <c r="BM20" s="201">
        <f t="shared" si="390"/>
        <v>3.2569705581645209E-2</v>
      </c>
      <c r="BN20" s="199">
        <f t="shared" ref="BN20:BO20" si="391">BN13/BN11</f>
        <v>3.6418554476806905E-2</v>
      </c>
      <c r="BO20" s="201">
        <f t="shared" si="391"/>
        <v>9.9605488850771876E-2</v>
      </c>
      <c r="BP20" s="210">
        <f t="shared" ref="BP20:BQ20" si="392">BP13/BP11</f>
        <v>3.1669277395627596E-2</v>
      </c>
      <c r="BQ20" s="620">
        <f t="shared" si="392"/>
        <v>3.3386476601331705E-2</v>
      </c>
      <c r="BR20" s="622">
        <f t="shared" ref="BR20" si="393">BR13/BR11</f>
        <v>3.5078243913388089E-2</v>
      </c>
      <c r="BS20" s="620">
        <f t="shared" ref="BS20:BT20" si="394">BS13/BS11</f>
        <v>3.3455216484981037E-2</v>
      </c>
      <c r="BT20" s="622">
        <f t="shared" si="394"/>
        <v>3.6025912778472988E-2</v>
      </c>
      <c r="BU20" s="622">
        <f t="shared" ref="BU20:BV20" si="395">BU13/BU11</f>
        <v>4.1667717183941376E-2</v>
      </c>
      <c r="BV20" s="622">
        <f t="shared" si="395"/>
        <v>2.9264995493841584E-2</v>
      </c>
      <c r="BW20" s="622">
        <f t="shared" ref="BW20" si="396">BW13/BW11</f>
        <v>2.9058728350421847E-2</v>
      </c>
      <c r="BX20" s="200" t="s">
        <v>29</v>
      </c>
      <c r="BY20" s="198">
        <f t="shared" si="170"/>
        <v>3.9445665690127564E-2</v>
      </c>
      <c r="BZ20" s="622">
        <f t="shared" ref="BZ20:CA20" si="397">BZ13/BZ11</f>
        <v>2.2514248033535866E-2</v>
      </c>
      <c r="CA20" s="201">
        <f t="shared" si="397"/>
        <v>2.5094693062443784E-2</v>
      </c>
      <c r="CB20" s="199">
        <f t="shared" ref="CB20:CC20" si="398">CB13/CB11</f>
        <v>2.8278977249181551E-2</v>
      </c>
      <c r="CC20" s="201">
        <f t="shared" si="398"/>
        <v>3.3058604265893562E-2</v>
      </c>
      <c r="CD20" s="210">
        <f t="shared" ref="CD20:CE20" si="399">CD13/CD11</f>
        <v>3.0543474652235982E-2</v>
      </c>
      <c r="CE20" s="620">
        <f t="shared" si="399"/>
        <v>2.4562716940039475E-2</v>
      </c>
      <c r="CF20" s="622">
        <f t="shared" ref="CF20:CG20" si="400">CF13/CF11</f>
        <v>2.9761079909029403E-2</v>
      </c>
      <c r="CG20" s="620">
        <f t="shared" si="400"/>
        <v>3.3436469864180147E-2</v>
      </c>
      <c r="CH20" s="622">
        <f t="shared" ref="CH20:CI20" si="401">CH13/CH11</f>
        <v>3.0764536879306401E-2</v>
      </c>
      <c r="CI20" s="622">
        <f t="shared" si="401"/>
        <v>2.6831715728849577E-2</v>
      </c>
      <c r="CJ20" s="622">
        <f t="shared" ref="CJ20:CK20" si="402">CJ13/CJ11</f>
        <v>2.5573919482967552E-2</v>
      </c>
      <c r="CK20" s="622">
        <f t="shared" si="402"/>
        <v>2.78127043202736E-2</v>
      </c>
      <c r="CL20" s="200" t="s">
        <v>29</v>
      </c>
      <c r="CM20" s="198">
        <f t="shared" si="171"/>
        <v>2.8186095032328076E-2</v>
      </c>
      <c r="CN20" s="622">
        <f t="shared" ref="CN20:CO20" si="403">CN13/CN11</f>
        <v>2.1091981617394884E-2</v>
      </c>
      <c r="CO20" s="201">
        <f t="shared" si="403"/>
        <v>2.9189542708638109E-2</v>
      </c>
      <c r="CP20" s="199">
        <f t="shared" ref="CP20:CQ20" si="404">CP13/CP11</f>
        <v>3.0140225508350067E-2</v>
      </c>
      <c r="CQ20" s="201">
        <f t="shared" si="404"/>
        <v>3.1262326588503857E-2</v>
      </c>
      <c r="CR20" s="210">
        <f t="shared" ref="CR20:CS20" si="405">CR13/CR11</f>
        <v>2.6490624578443277E-2</v>
      </c>
      <c r="CS20" s="620">
        <f t="shared" si="405"/>
        <v>2.139921856380405E-2</v>
      </c>
      <c r="CT20" s="1027">
        <f t="shared" ref="CT20:CU20" si="406">CT13/CT11</f>
        <v>2.8310115180514683E-2</v>
      </c>
      <c r="CU20" s="620">
        <f t="shared" si="406"/>
        <v>2.9429409130467845E-2</v>
      </c>
      <c r="CV20" s="622">
        <f t="shared" ref="CV20:CW20" si="407">CV13/CV11</f>
        <v>2.305929533085076E-2</v>
      </c>
      <c r="CW20" s="1097">
        <f t="shared" si="407"/>
        <v>2.0109627736489895E-2</v>
      </c>
      <c r="CX20" s="622">
        <f t="shared" ref="CX20:CY20" si="408">CX13/CX11</f>
        <v>2.1177833364111002E-2</v>
      </c>
      <c r="CY20" s="201">
        <f t="shared" si="408"/>
        <v>1.585310687996052E-2</v>
      </c>
      <c r="CZ20" s="200" t="s">
        <v>29</v>
      </c>
      <c r="DA20" s="198">
        <f t="shared" si="172"/>
        <v>2.4792775598960745E-2</v>
      </c>
      <c r="DB20" s="622">
        <f t="shared" ref="DB20:DC20" si="409">DB13/DB11</f>
        <v>1.8806146277413512E-2</v>
      </c>
      <c r="DC20" s="201">
        <f t="shared" si="409"/>
        <v>2.0001826650835691E-2</v>
      </c>
      <c r="DD20" s="199">
        <f t="shared" ref="DD20:DE20" si="410">DD13/DD11</f>
        <v>1.5798168641091841E-2</v>
      </c>
      <c r="DE20" s="201">
        <f t="shared" si="410"/>
        <v>1.9838960031043851E-2</v>
      </c>
      <c r="DF20" s="210">
        <f t="shared" ref="DF20:DG20" si="411">DF13/DF11</f>
        <v>1.6285983494704011E-2</v>
      </c>
      <c r="DG20" s="620">
        <f t="shared" si="411"/>
        <v>1.2895390047387075E-2</v>
      </c>
      <c r="DH20" s="1027">
        <f t="shared" ref="DH20:DI20" si="412">DH13/DH11</f>
        <v>2.6916716225794099E-2</v>
      </c>
      <c r="DI20" s="620">
        <f t="shared" si="412"/>
        <v>2.4455589498962638E-2</v>
      </c>
      <c r="DJ20" s="622">
        <f t="shared" ref="DJ20:DK20" si="413">DJ13/DJ11</f>
        <v>2.0125457396759017E-2</v>
      </c>
      <c r="DK20" s="620">
        <f t="shared" si="413"/>
        <v>1.9520470114606669E-2</v>
      </c>
      <c r="DL20" s="622"/>
      <c r="DM20" s="620"/>
      <c r="DN20" s="200" t="s">
        <v>29</v>
      </c>
      <c r="DO20" s="198">
        <f t="shared" si="173"/>
        <v>1.9464470837859842E-2</v>
      </c>
      <c r="DP20" s="622"/>
      <c r="DQ20" s="201"/>
      <c r="DR20" s="199"/>
      <c r="DS20" s="201"/>
      <c r="DT20" s="210"/>
      <c r="DU20" s="620"/>
      <c r="DV20" s="1027"/>
      <c r="DW20" s="620"/>
      <c r="DX20" s="622"/>
      <c r="DY20" s="620"/>
      <c r="DZ20" s="622"/>
      <c r="EA20" s="620"/>
      <c r="EB20" s="200" t="s">
        <v>29</v>
      </c>
      <c r="EC20" s="198" t="e">
        <f t="shared" si="174"/>
        <v>#DIV/0!</v>
      </c>
      <c r="ED20" s="666">
        <f t="shared" si="175"/>
        <v>3.7124455722419014E-3</v>
      </c>
      <c r="EE20" s="667">
        <f t="shared" si="176"/>
        <v>0.10771936267370076</v>
      </c>
      <c r="EF20" s="666">
        <f t="shared" si="177"/>
        <v>-7.1251898508156199E-3</v>
      </c>
      <c r="EG20" s="667">
        <f t="shared" si="178"/>
        <v>-0.18663812958327311</v>
      </c>
      <c r="EH20" s="666">
        <f t="shared" si="179"/>
        <v>1.6719566843831506E-2</v>
      </c>
      <c r="EI20" s="667">
        <f t="shared" si="180"/>
        <v>0.53844970767058231</v>
      </c>
      <c r="EJ20" s="666">
        <f t="shared" si="181"/>
        <v>9.2083262751892325E-2</v>
      </c>
      <c r="EK20" s="667">
        <f t="shared" si="182"/>
        <v>1.9276026694722086</v>
      </c>
      <c r="EL20" s="666">
        <f t="shared" si="183"/>
        <v>-8.1399191780348476E-2</v>
      </c>
      <c r="EM20" s="667">
        <f t="shared" si="184"/>
        <v>-0.5820292064418312</v>
      </c>
      <c r="EN20" s="666">
        <f t="shared" si="185"/>
        <v>-9.4631960137718102E-3</v>
      </c>
      <c r="EO20" s="667">
        <f t="shared" si="186"/>
        <v>-0.16188871863298709</v>
      </c>
      <c r="EP20" s="666">
        <f t="shared" si="187"/>
        <v>-1.039319328756963E-3</v>
      </c>
      <c r="EQ20" s="667">
        <f t="shared" si="188"/>
        <v>-2.1214171106440232E-2</v>
      </c>
      <c r="ER20" s="666">
        <f t="shared" si="189"/>
        <v>-1.0066725001729872E-2</v>
      </c>
      <c r="ES20" s="667">
        <f t="shared" si="190"/>
        <v>-0.20993149340437112</v>
      </c>
      <c r="ET20" s="666">
        <f t="shared" si="191"/>
        <v>-2.2127364190875076E-3</v>
      </c>
      <c r="EU20" s="667">
        <f t="shared" si="192"/>
        <v>-5.8405577673938697E-2</v>
      </c>
      <c r="EV20" s="666">
        <f t="shared" si="193"/>
        <v>-2.1117886728052385E-3</v>
      </c>
      <c r="EW20" s="110">
        <f t="shared" si="194"/>
        <v>-5.919857036700589E-2</v>
      </c>
      <c r="EX20" s="666">
        <f t="shared" si="195"/>
        <v>-1.8189975076051204E-3</v>
      </c>
      <c r="EY20" s="667">
        <f t="shared" si="196"/>
        <v>-5.419945230712802E-2</v>
      </c>
      <c r="EZ20" s="666">
        <f t="shared" si="197"/>
        <v>-4.3859556191794997E-3</v>
      </c>
      <c r="FA20" s="667">
        <f t="shared" si="198"/>
        <v>-0.13817436124583521</v>
      </c>
      <c r="FB20" s="666">
        <f t="shared" si="199"/>
        <v>7.7914455365039985E-3</v>
      </c>
      <c r="FC20" s="667">
        <f t="shared" si="200"/>
        <v>0.28481434686217233</v>
      </c>
      <c r="FD20" s="318">
        <f t="shared" si="201"/>
        <v>-2.5779655886554037E-3</v>
      </c>
      <c r="FE20" s="403">
        <f t="shared" si="202"/>
        <v>-7.3346697030492181E-2</v>
      </c>
      <c r="FF20" s="318">
        <f t="shared" si="203"/>
        <v>3.8488488951616967E-3</v>
      </c>
      <c r="FG20" s="403">
        <f t="shared" si="204"/>
        <v>0.11817266464117905</v>
      </c>
      <c r="FH20" s="318">
        <f t="shared" si="205"/>
        <v>6.318693437396497E-2</v>
      </c>
      <c r="FI20" s="403">
        <f t="shared" si="206"/>
        <v>1.7350203840244527</v>
      </c>
      <c r="FJ20" s="318">
        <f t="shared" si="207"/>
        <v>-6.793621145514428E-2</v>
      </c>
      <c r="FK20" s="403">
        <f t="shared" si="208"/>
        <v>-0.68205288924313956</v>
      </c>
      <c r="FL20" s="318">
        <f t="shared" si="209"/>
        <v>1.7171992057041091E-3</v>
      </c>
      <c r="FM20" s="403">
        <f t="shared" si="210"/>
        <v>5.4222872983555777E-2</v>
      </c>
      <c r="FN20" s="318">
        <f t="shared" si="211"/>
        <v>1.6917673120563845E-3</v>
      </c>
      <c r="FO20" s="403">
        <f t="shared" si="212"/>
        <v>5.0672232720385478E-2</v>
      </c>
      <c r="FP20" s="318">
        <f t="shared" si="213"/>
        <v>-1.623027428407052E-3</v>
      </c>
      <c r="FQ20" s="403">
        <f t="shared" si="214"/>
        <v>-4.6268776521837272E-2</v>
      </c>
      <c r="FR20" s="318">
        <f t="shared" si="215"/>
        <v>2.5706962934919503E-3</v>
      </c>
      <c r="FS20" s="403">
        <f t="shared" si="216"/>
        <v>7.6839924041322713E-2</v>
      </c>
      <c r="FT20" s="318">
        <f t="shared" si="217"/>
        <v>5.6418044054683883E-3</v>
      </c>
      <c r="FU20" s="403">
        <f t="shared" si="218"/>
        <v>0.15660406552806638</v>
      </c>
      <c r="FV20" s="318">
        <f t="shared" si="219"/>
        <v>-1.2402721690099792E-2</v>
      </c>
      <c r="FW20" s="403">
        <f t="shared" si="220"/>
        <v>-0.2976578158901339</v>
      </c>
      <c r="FX20" s="318">
        <f t="shared" si="221"/>
        <v>-2.0626714341973745E-4</v>
      </c>
      <c r="FY20" s="403">
        <f t="shared" si="222"/>
        <v>-7.0482547473189779E-3</v>
      </c>
      <c r="FZ20" s="318">
        <f t="shared" si="223"/>
        <v>-6.5444803168859811E-3</v>
      </c>
      <c r="GA20" s="403">
        <f t="shared" si="224"/>
        <v>-0.22521564735956434</v>
      </c>
      <c r="GB20" s="318">
        <f t="shared" si="225"/>
        <v>2.5804450289079184E-3</v>
      </c>
      <c r="GC20" s="403">
        <f t="shared" si="226"/>
        <v>0.11461386696389962</v>
      </c>
      <c r="GD20" s="318">
        <f t="shared" si="227"/>
        <v>3.1842841867377666E-3</v>
      </c>
      <c r="GE20" s="403">
        <f t="shared" si="228"/>
        <v>0.12689074055674754</v>
      </c>
      <c r="GF20" s="318">
        <f t="shared" si="229"/>
        <v>4.7796270167120118E-3</v>
      </c>
      <c r="GG20" s="403">
        <f t="shared" si="230"/>
        <v>0.16901696884565878</v>
      </c>
      <c r="GH20" s="318">
        <f t="shared" si="231"/>
        <v>-2.515129613657581E-3</v>
      </c>
      <c r="GI20" s="403">
        <f t="shared" si="232"/>
        <v>-7.6080937762167733E-2</v>
      </c>
      <c r="GJ20" s="318">
        <f t="shared" si="233"/>
        <v>-5.9807577121965064E-3</v>
      </c>
      <c r="GK20" s="403">
        <f t="shared" si="234"/>
        <v>-0.19581130766203367</v>
      </c>
      <c r="GL20" s="318">
        <f t="shared" si="235"/>
        <v>5.198362968989928E-3</v>
      </c>
      <c r="GM20" s="403">
        <f t="shared" si="236"/>
        <v>0.21163631782590472</v>
      </c>
      <c r="GN20" s="318">
        <f t="shared" si="237"/>
        <v>3.6753899551507443E-3</v>
      </c>
      <c r="GO20" s="403">
        <f t="shared" si="238"/>
        <v>0.1234965252062525</v>
      </c>
      <c r="GP20" s="318">
        <f t="shared" si="239"/>
        <v>-2.6719329848737469E-3</v>
      </c>
      <c r="GQ20" s="403">
        <f t="shared" si="240"/>
        <v>-7.9910738057193578E-2</v>
      </c>
      <c r="GR20" s="318">
        <f t="shared" si="241"/>
        <v>-3.9328211504568236E-3</v>
      </c>
      <c r="GS20" s="403">
        <f t="shared" si="242"/>
        <v>-0.12783618898232837</v>
      </c>
      <c r="GT20" s="318">
        <f t="shared" si="243"/>
        <v>-1.2577962458820251E-3</v>
      </c>
      <c r="GU20" s="403">
        <f t="shared" si="244"/>
        <v>-4.6877220174542815E-2</v>
      </c>
      <c r="GV20" s="318">
        <f t="shared" si="245"/>
        <v>2.238784837306048E-3</v>
      </c>
      <c r="GW20" s="403">
        <f t="shared" si="246"/>
        <v>8.754171760011592E-2</v>
      </c>
      <c r="GX20" s="318">
        <f t="shared" si="247"/>
        <v>-6.7207227028787155E-3</v>
      </c>
      <c r="GY20" s="403">
        <f t="shared" si="248"/>
        <v>-0.24164218716335895</v>
      </c>
      <c r="GZ20" s="318">
        <f t="shared" si="249"/>
        <v>8.0975610912432244E-3</v>
      </c>
      <c r="HA20" s="403">
        <f t="shared" si="250"/>
        <v>0.38391656308694294</v>
      </c>
      <c r="HB20" s="318">
        <f t="shared" si="251"/>
        <v>9.5068279971195768E-4</v>
      </c>
      <c r="HC20" s="403">
        <f t="shared" si="252"/>
        <v>3.2569294051688603E-2</v>
      </c>
      <c r="HD20" s="318">
        <f t="shared" si="253"/>
        <v>1.1221010801537902E-3</v>
      </c>
      <c r="HE20" s="403">
        <f t="shared" si="254"/>
        <v>3.7229352509088647E-2</v>
      </c>
      <c r="HF20" s="318">
        <f t="shared" si="255"/>
        <v>-4.77170201006058E-3</v>
      </c>
      <c r="HG20" s="403">
        <f t="shared" si="256"/>
        <v>-0.15263425761201296</v>
      </c>
      <c r="HH20" s="318">
        <f t="shared" si="257"/>
        <v>-5.091406014639227E-3</v>
      </c>
      <c r="HI20" s="403">
        <f t="shared" si="258"/>
        <v>-0.19219652596573183</v>
      </c>
      <c r="HJ20" s="318">
        <f t="shared" si="259"/>
        <v>6.9108966167106337E-3</v>
      </c>
      <c r="HK20" s="403">
        <f t="shared" si="260"/>
        <v>0.32295088701977875</v>
      </c>
      <c r="HL20" s="318">
        <f t="shared" si="261"/>
        <v>1.1192939499531616E-3</v>
      </c>
      <c r="HM20" s="403">
        <f t="shared" si="262"/>
        <v>3.9536891419062491E-2</v>
      </c>
      <c r="HN20" s="318">
        <f t="shared" si="263"/>
        <v>-6.3701137996170845E-3</v>
      </c>
      <c r="HO20" s="403">
        <f t="shared" si="264"/>
        <v>-0.21645401616379029</v>
      </c>
      <c r="HP20" s="318">
        <f t="shared" si="265"/>
        <v>-2.9496675943608656E-3</v>
      </c>
      <c r="HQ20" s="403">
        <f t="shared" si="266"/>
        <v>-0.12791664064489169</v>
      </c>
      <c r="HR20" s="318">
        <f t="shared" si="267"/>
        <v>1.068205627621107E-3</v>
      </c>
      <c r="HS20" s="403">
        <f t="shared" si="268"/>
        <v>5.3119114964161974E-2</v>
      </c>
      <c r="HT20" s="318">
        <f t="shared" si="269"/>
        <v>-5.324726484150482E-3</v>
      </c>
      <c r="HU20" s="403">
        <f t="shared" si="270"/>
        <v>-0.2514292370046704</v>
      </c>
      <c r="HV20" s="318">
        <f t="shared" si="271"/>
        <v>2.9530393974529917E-3</v>
      </c>
      <c r="HW20" s="403">
        <f t="shared" si="272"/>
        <v>0.18627512069484931</v>
      </c>
      <c r="HX20" s="318">
        <f t="shared" si="273"/>
        <v>1.1956803734221796E-3</v>
      </c>
      <c r="HY20" s="403">
        <f t="shared" si="274"/>
        <v>6.3579233926209081E-2</v>
      </c>
      <c r="HZ20" s="318">
        <f t="shared" si="275"/>
        <v>-4.2036580097438506E-3</v>
      </c>
      <c r="IA20" s="403">
        <f t="shared" si="276"/>
        <v>-0.26608514602192068</v>
      </c>
      <c r="IB20" s="318">
        <f t="shared" si="277"/>
        <v>4.0407913899520101E-3</v>
      </c>
      <c r="IC20" s="403">
        <f t="shared" si="278"/>
        <v>0.25577593718310526</v>
      </c>
      <c r="ID20" s="318">
        <f t="shared" si="279"/>
        <v>-3.55297653633984E-3</v>
      </c>
      <c r="IE20" s="403">
        <f t="shared" si="280"/>
        <v>-0.18253650797580567</v>
      </c>
      <c r="IF20" s="318">
        <f t="shared" si="281"/>
        <v>-3.390593447316936E-3</v>
      </c>
      <c r="IG20" s="403">
        <f t="shared" si="282"/>
        <v>-0.20819089301051499</v>
      </c>
      <c r="IH20" s="318">
        <f t="shared" si="283"/>
        <v>1.4021326178407024E-2</v>
      </c>
      <c r="II20" s="403">
        <f t="shared" si="284"/>
        <v>1.087313072879722</v>
      </c>
      <c r="IJ20" s="318">
        <f t="shared" si="285"/>
        <v>-2.4611267268314606E-3</v>
      </c>
      <c r="IK20" s="403">
        <f t="shared" si="286"/>
        <v>-9.1434880324405263E-2</v>
      </c>
      <c r="IL20" s="318">
        <f t="shared" si="287"/>
        <v>-4.330132102203621E-3</v>
      </c>
      <c r="IM20" s="403">
        <f t="shared" si="288"/>
        <v>-0.17706103966078174</v>
      </c>
      <c r="IN20" s="318">
        <f t="shared" si="289"/>
        <v>-6.049872821523479E-4</v>
      </c>
      <c r="IO20" s="403">
        <f t="shared" si="290"/>
        <v>-3.006079664305043E-2</v>
      </c>
      <c r="IP20" s="318">
        <f t="shared" si="291"/>
        <v>-1.9520470114606669E-2</v>
      </c>
      <c r="IQ20" s="403">
        <f t="shared" si="292"/>
        <v>-3.6253098175232146E-2</v>
      </c>
      <c r="IR20" s="318">
        <f t="shared" si="293"/>
        <v>1.8355194067203162</v>
      </c>
      <c r="IS20" s="403">
        <f t="shared" si="294"/>
        <v>19.933257704670069</v>
      </c>
      <c r="IT20" s="622">
        <f t="shared" si="295"/>
        <v>2.0109627736489895E-2</v>
      </c>
      <c r="IU20" s="1059">
        <f t="shared" si="296"/>
        <v>1.9520470114606669E-2</v>
      </c>
      <c r="IV20" s="666">
        <f>IU20-IT20</f>
        <v>-5.8915762188322535E-4</v>
      </c>
      <c r="IW20" s="110">
        <f t="shared" si="297"/>
        <v>-2.9297291307594436E-2</v>
      </c>
      <c r="IX20" s="699"/>
      <c r="IY20" s="699"/>
      <c r="IZ20" s="699"/>
      <c r="JA20" s="1" t="str">
        <f t="shared" si="298"/>
        <v>Average Calls per Payroll Processed</v>
      </c>
      <c r="JB20" s="268" t="e">
        <f>#REF!</f>
        <v>#REF!</v>
      </c>
      <c r="JC20" s="268" t="e">
        <f>#REF!</f>
        <v>#REF!</v>
      </c>
      <c r="JD20" s="268" t="e">
        <f>#REF!</f>
        <v>#REF!</v>
      </c>
      <c r="JE20" s="268" t="e">
        <f>#REF!</f>
        <v>#REF!</v>
      </c>
      <c r="JF20" s="268" t="e">
        <f>#REF!</f>
        <v>#REF!</v>
      </c>
      <c r="JG20" s="268" t="e">
        <f>#REF!</f>
        <v>#REF!</v>
      </c>
      <c r="JH20" s="268" t="e">
        <f>#REF!</f>
        <v>#REF!</v>
      </c>
      <c r="JI20" s="268" t="e">
        <f>#REF!</f>
        <v>#REF!</v>
      </c>
      <c r="JJ20" s="268" t="e">
        <f>#REF!</f>
        <v>#REF!</v>
      </c>
      <c r="JK20" s="268" t="e">
        <f>#REF!</f>
        <v>#REF!</v>
      </c>
      <c r="JL20" s="268" t="e">
        <f>#REF!</f>
        <v>#REF!</v>
      </c>
      <c r="JM20" s="269">
        <f t="shared" si="299"/>
        <v>3.3088597835928608E-2</v>
      </c>
      <c r="JN20" s="269">
        <f t="shared" si="299"/>
        <v>2.8423370326713077E-2</v>
      </c>
      <c r="JO20" s="269">
        <f t="shared" si="299"/>
        <v>2.8790735254511177E-2</v>
      </c>
      <c r="JP20" s="269">
        <f t="shared" si="299"/>
        <v>5.9614056178061668E-2</v>
      </c>
      <c r="JQ20" s="269">
        <f t="shared" si="299"/>
        <v>3.3549871065707074E-2</v>
      </c>
      <c r="JR20" s="269">
        <f t="shared" si="299"/>
        <v>3.0259391932028874E-2</v>
      </c>
      <c r="JS20" s="269">
        <f t="shared" si="299"/>
        <v>3.9101062871554675E-2</v>
      </c>
      <c r="JT20" s="269">
        <f t="shared" si="299"/>
        <v>3.0752860204666888E-2</v>
      </c>
      <c r="JU20" s="269">
        <f t="shared" si="299"/>
        <v>3.1547447360830691E-2</v>
      </c>
      <c r="JV20" s="269">
        <f t="shared" si="299"/>
        <v>3.3993316324697258E-2</v>
      </c>
      <c r="JW20" s="269">
        <f t="shared" si="299"/>
        <v>5.0249545263120164E-2</v>
      </c>
      <c r="JX20" s="269">
        <f t="shared" si="299"/>
        <v>3.4464050659930981E-2</v>
      </c>
      <c r="JY20" s="269">
        <f t="shared" si="300"/>
        <v>3.8176496232172882E-2</v>
      </c>
      <c r="JZ20" s="269">
        <f t="shared" si="300"/>
        <v>3.1051306381357262E-2</v>
      </c>
      <c r="KA20" s="269">
        <f t="shared" si="300"/>
        <v>4.7770873225188769E-2</v>
      </c>
      <c r="KB20" s="269">
        <f t="shared" si="300"/>
        <v>0.1398541359770811</v>
      </c>
      <c r="KC20" s="269">
        <f t="shared" si="300"/>
        <v>5.8454944196732625E-2</v>
      </c>
      <c r="KD20" s="269">
        <f t="shared" si="300"/>
        <v>4.8991748182960815E-2</v>
      </c>
      <c r="KE20" s="269">
        <f t="shared" si="300"/>
        <v>4.7952428854203852E-2</v>
      </c>
      <c r="KF20" s="269">
        <f t="shared" si="300"/>
        <v>3.788570385247398E-2</v>
      </c>
      <c r="KG20" s="269">
        <f t="shared" si="300"/>
        <v>3.5672967433386472E-2</v>
      </c>
      <c r="KH20" s="269">
        <f t="shared" si="300"/>
        <v>3.3561178760581234E-2</v>
      </c>
      <c r="KI20" s="269">
        <f t="shared" si="300"/>
        <v>3.1742181252976114E-2</v>
      </c>
      <c r="KJ20" s="269">
        <f t="shared" si="300"/>
        <v>2.7356225633796614E-2</v>
      </c>
      <c r="KK20" s="791">
        <f t="shared" si="301"/>
        <v>3.5147671170300612E-2</v>
      </c>
      <c r="KL20" s="791">
        <f t="shared" si="301"/>
        <v>3.2569705581645209E-2</v>
      </c>
      <c r="KM20" s="791">
        <f t="shared" si="301"/>
        <v>3.6418554476806905E-2</v>
      </c>
      <c r="KN20" s="791">
        <f t="shared" si="301"/>
        <v>9.9605488850771876E-2</v>
      </c>
      <c r="KO20" s="791">
        <f t="shared" si="301"/>
        <v>3.1669277395627596E-2</v>
      </c>
      <c r="KP20" s="791">
        <f t="shared" si="301"/>
        <v>3.3386476601331705E-2</v>
      </c>
      <c r="KQ20" s="791">
        <f t="shared" si="301"/>
        <v>3.5078243913388089E-2</v>
      </c>
      <c r="KR20" s="791">
        <f t="shared" si="301"/>
        <v>3.3455216484981037E-2</v>
      </c>
      <c r="KS20" s="791">
        <f t="shared" si="301"/>
        <v>3.6025912778472988E-2</v>
      </c>
      <c r="KT20" s="791">
        <f t="shared" si="301"/>
        <v>4.1667717183941376E-2</v>
      </c>
      <c r="KU20" s="791">
        <f t="shared" si="301"/>
        <v>2.9264995493841584E-2</v>
      </c>
      <c r="KV20" s="791">
        <f t="shared" si="301"/>
        <v>2.9058728350421847E-2</v>
      </c>
      <c r="KW20" s="903">
        <f t="shared" si="302"/>
        <v>2.2514248033535866E-2</v>
      </c>
      <c r="KX20" s="903">
        <f t="shared" si="302"/>
        <v>2.5094693062443784E-2</v>
      </c>
      <c r="KY20" s="903">
        <f t="shared" si="302"/>
        <v>2.8278977249181551E-2</v>
      </c>
      <c r="KZ20" s="903">
        <f t="shared" si="302"/>
        <v>3.3058604265893562E-2</v>
      </c>
      <c r="LA20" s="903">
        <f t="shared" si="302"/>
        <v>3.0543474652235982E-2</v>
      </c>
      <c r="LB20" s="903">
        <f t="shared" si="302"/>
        <v>2.4562716940039475E-2</v>
      </c>
      <c r="LC20" s="903">
        <f t="shared" si="302"/>
        <v>2.9761079909029403E-2</v>
      </c>
      <c r="LD20" s="903">
        <f t="shared" si="302"/>
        <v>3.3436469864180147E-2</v>
      </c>
      <c r="LE20" s="903">
        <f t="shared" si="302"/>
        <v>3.0764536879306401E-2</v>
      </c>
      <c r="LF20" s="903">
        <f t="shared" si="302"/>
        <v>2.6831715728849577E-2</v>
      </c>
      <c r="LG20" s="903">
        <f t="shared" si="302"/>
        <v>2.5573919482967552E-2</v>
      </c>
      <c r="LH20" s="903">
        <f t="shared" si="302"/>
        <v>2.78127043202736E-2</v>
      </c>
      <c r="LI20" s="962">
        <f t="shared" si="303"/>
        <v>2.1091981617394884E-2</v>
      </c>
      <c r="LJ20" s="962">
        <f t="shared" si="303"/>
        <v>2.9189542708638109E-2</v>
      </c>
      <c r="LK20" s="962">
        <f t="shared" si="303"/>
        <v>3.0140225508350067E-2</v>
      </c>
      <c r="LL20" s="962">
        <f t="shared" si="303"/>
        <v>3.1262326588503857E-2</v>
      </c>
      <c r="LM20" s="962">
        <f t="shared" si="303"/>
        <v>2.6490624578443277E-2</v>
      </c>
      <c r="LN20" s="962">
        <f t="shared" si="303"/>
        <v>2.139921856380405E-2</v>
      </c>
      <c r="LO20" s="962">
        <f t="shared" si="303"/>
        <v>2.8310115180514683E-2</v>
      </c>
      <c r="LP20" s="962">
        <f t="shared" si="303"/>
        <v>2.9429409130467845E-2</v>
      </c>
      <c r="LQ20" s="962">
        <f t="shared" si="303"/>
        <v>2.305929533085076E-2</v>
      </c>
      <c r="LR20" s="962">
        <f t="shared" si="303"/>
        <v>2.0109627736489895E-2</v>
      </c>
      <c r="LS20" s="962">
        <f t="shared" si="303"/>
        <v>2.1177833364111002E-2</v>
      </c>
      <c r="LT20" s="962">
        <f t="shared" si="303"/>
        <v>1.585310687996052E-2</v>
      </c>
      <c r="LU20" s="1158">
        <f t="shared" si="304"/>
        <v>1.8806146277413512E-2</v>
      </c>
      <c r="LV20" s="1158">
        <f t="shared" si="304"/>
        <v>2.0001826650835691E-2</v>
      </c>
      <c r="LW20" s="1158">
        <f t="shared" si="304"/>
        <v>1.5798168641091841E-2</v>
      </c>
      <c r="LX20" s="1158">
        <f t="shared" si="304"/>
        <v>1.9838960031043851E-2</v>
      </c>
      <c r="LY20" s="1158">
        <f t="shared" si="304"/>
        <v>1.6285983494704011E-2</v>
      </c>
      <c r="LZ20" s="1158">
        <f t="shared" si="304"/>
        <v>1.2895390047387075E-2</v>
      </c>
      <c r="MA20" s="1158">
        <f t="shared" si="304"/>
        <v>2.6916716225794099E-2</v>
      </c>
      <c r="MB20" s="1158">
        <f t="shared" si="304"/>
        <v>2.4455589498962638E-2</v>
      </c>
      <c r="MC20" s="1158">
        <f t="shared" si="304"/>
        <v>2.0125457396759017E-2</v>
      </c>
      <c r="MD20" s="1158">
        <f t="shared" si="304"/>
        <v>1.9520470114606669E-2</v>
      </c>
      <c r="ME20" s="1158">
        <f t="shared" si="304"/>
        <v>0</v>
      </c>
      <c r="MF20" s="1158">
        <f t="shared" si="304"/>
        <v>0</v>
      </c>
      <c r="MG20" s="1180">
        <f t="shared" si="305"/>
        <v>0</v>
      </c>
      <c r="MH20" s="1180">
        <f t="shared" si="305"/>
        <v>0</v>
      </c>
      <c r="MI20" s="1180">
        <f t="shared" si="305"/>
        <v>0</v>
      </c>
      <c r="MJ20" s="1180">
        <f t="shared" si="305"/>
        <v>0</v>
      </c>
      <c r="MK20" s="1180">
        <f t="shared" si="305"/>
        <v>0</v>
      </c>
      <c r="ML20" s="1180">
        <f t="shared" si="305"/>
        <v>0</v>
      </c>
      <c r="MM20" s="1180">
        <f t="shared" si="305"/>
        <v>0</v>
      </c>
      <c r="MN20" s="1180">
        <f t="shared" si="305"/>
        <v>0</v>
      </c>
      <c r="MO20" s="1180">
        <f t="shared" si="305"/>
        <v>0</v>
      </c>
      <c r="MP20" s="1180">
        <f t="shared" si="305"/>
        <v>0</v>
      </c>
      <c r="MQ20" s="1180">
        <f t="shared" si="306"/>
        <v>0</v>
      </c>
      <c r="MR20" s="1180">
        <f t="shared" si="306"/>
        <v>0</v>
      </c>
    </row>
    <row r="21" spans="1:356" ht="15.75" customHeight="1" x14ac:dyDescent="0.25">
      <c r="A21" s="763">
        <v>3</v>
      </c>
      <c r="B21" s="5" t="s">
        <v>91</v>
      </c>
      <c r="C21" s="103"/>
      <c r="D21" s="446"/>
      <c r="E21" s="307"/>
      <c r="F21" s="307"/>
      <c r="G21" s="307"/>
      <c r="H21" s="374"/>
      <c r="I21" s="66"/>
      <c r="J21" s="18"/>
      <c r="K21" s="66"/>
      <c r="L21" s="18"/>
      <c r="M21" s="66"/>
      <c r="N21" s="18"/>
      <c r="O21" s="66"/>
      <c r="P21" s="18"/>
      <c r="Q21" s="66"/>
      <c r="R21" s="18"/>
      <c r="S21" s="66"/>
      <c r="T21" s="129"/>
      <c r="U21" s="149"/>
      <c r="V21" s="374"/>
      <c r="W21" s="66"/>
      <c r="X21" s="18"/>
      <c r="Y21" s="66"/>
      <c r="Z21" s="18"/>
      <c r="AA21" s="66"/>
      <c r="AB21" s="18"/>
      <c r="AC21" s="66"/>
      <c r="AD21" s="18"/>
      <c r="AE21" s="66"/>
      <c r="AF21" s="18"/>
      <c r="AG21" s="66"/>
      <c r="AH21" s="129"/>
      <c r="AI21" s="149"/>
      <c r="AJ21" s="374"/>
      <c r="AK21" s="66"/>
      <c r="AL21" s="18"/>
      <c r="AM21" s="66"/>
      <c r="AN21" s="18"/>
      <c r="AO21" s="66"/>
      <c r="AP21" s="623"/>
      <c r="AQ21" s="66"/>
      <c r="AR21" s="623"/>
      <c r="AS21" s="66"/>
      <c r="AT21" s="623"/>
      <c r="AU21" s="66"/>
      <c r="AV21" s="129"/>
      <c r="AW21" s="149"/>
      <c r="AX21" s="374"/>
      <c r="AY21" s="66"/>
      <c r="AZ21" s="18"/>
      <c r="BA21" s="66"/>
      <c r="BB21" s="18"/>
      <c r="BC21" s="66"/>
      <c r="BD21" s="623"/>
      <c r="BE21" s="66"/>
      <c r="BF21" s="623"/>
      <c r="BG21" s="66"/>
      <c r="BH21" s="623"/>
      <c r="BI21" s="66"/>
      <c r="BJ21" s="129"/>
      <c r="BK21" s="149"/>
      <c r="BL21" s="374"/>
      <c r="BM21" s="66"/>
      <c r="BN21" s="18"/>
      <c r="BO21" s="66"/>
      <c r="BP21" s="18"/>
      <c r="BQ21" s="66"/>
      <c r="BR21" s="623"/>
      <c r="BS21" s="66"/>
      <c r="BT21" s="623"/>
      <c r="BU21" s="623"/>
      <c r="BV21" s="623"/>
      <c r="BW21" s="623"/>
      <c r="BX21" s="129"/>
      <c r="BY21" s="149"/>
      <c r="BZ21" s="623"/>
      <c r="CA21" s="66"/>
      <c r="CB21" s="18"/>
      <c r="CC21" s="66"/>
      <c r="CD21" s="18"/>
      <c r="CE21" s="66"/>
      <c r="CF21" s="623"/>
      <c r="CG21" s="66"/>
      <c r="CH21" s="623"/>
      <c r="CI21" s="623"/>
      <c r="CJ21" s="623"/>
      <c r="CK21" s="623"/>
      <c r="CL21" s="129"/>
      <c r="CM21" s="149"/>
      <c r="CN21" s="623"/>
      <c r="CO21" s="66"/>
      <c r="CP21" s="18"/>
      <c r="CQ21" s="66"/>
      <c r="CR21" s="18"/>
      <c r="CS21" s="66"/>
      <c r="CT21" s="75"/>
      <c r="CU21" s="66"/>
      <c r="CV21" s="623"/>
      <c r="CW21" s="1060"/>
      <c r="CX21" s="623"/>
      <c r="CY21" s="66"/>
      <c r="CZ21" s="129"/>
      <c r="DA21" s="149"/>
      <c r="DB21" s="623"/>
      <c r="DC21" s="66"/>
      <c r="DD21" s="18"/>
      <c r="DE21" s="66"/>
      <c r="DF21" s="18"/>
      <c r="DG21" s="66"/>
      <c r="DH21" s="75"/>
      <c r="DI21" s="66"/>
      <c r="DJ21" s="623"/>
      <c r="DK21" s="66"/>
      <c r="DL21" s="623"/>
      <c r="DM21" s="66"/>
      <c r="DN21" s="129"/>
      <c r="DO21" s="149"/>
      <c r="DP21" s="623"/>
      <c r="DQ21" s="66"/>
      <c r="DR21" s="18"/>
      <c r="DS21" s="66"/>
      <c r="DT21" s="18"/>
      <c r="DU21" s="66"/>
      <c r="DV21" s="75"/>
      <c r="DW21" s="66"/>
      <c r="DX21" s="623"/>
      <c r="DY21" s="66"/>
      <c r="DZ21" s="623"/>
      <c r="EA21" s="66"/>
      <c r="EB21" s="129"/>
      <c r="EC21" s="149"/>
      <c r="ED21" s="118"/>
      <c r="EE21" s="663"/>
      <c r="EF21" s="118"/>
      <c r="EG21" s="663"/>
      <c r="EH21" s="118"/>
      <c r="EI21" s="663"/>
      <c r="EJ21" s="118"/>
      <c r="EK21" s="663"/>
      <c r="EL21" s="118"/>
      <c r="EM21" s="663"/>
      <c r="EN21" s="118"/>
      <c r="EO21" s="663"/>
      <c r="EP21" s="118"/>
      <c r="EQ21" s="663"/>
      <c r="ER21" s="118"/>
      <c r="ES21" s="663"/>
      <c r="ET21" s="118"/>
      <c r="EU21" s="663"/>
      <c r="EV21" s="118"/>
      <c r="EW21" s="109"/>
      <c r="EX21" s="118"/>
      <c r="EY21" s="663"/>
      <c r="EZ21" s="118"/>
      <c r="FA21" s="663"/>
      <c r="FB21" s="118"/>
      <c r="FC21" s="663"/>
      <c r="FD21" s="319"/>
      <c r="FE21" s="402"/>
      <c r="FF21" s="319"/>
      <c r="FG21" s="402"/>
      <c r="FH21" s="319"/>
      <c r="FI21" s="402"/>
      <c r="FJ21" s="319"/>
      <c r="FK21" s="402"/>
      <c r="FL21" s="319"/>
      <c r="FM21" s="402"/>
      <c r="FN21" s="319"/>
      <c r="FO21" s="402"/>
      <c r="FP21" s="319"/>
      <c r="FQ21" s="402"/>
      <c r="FR21" s="319"/>
      <c r="FS21" s="402"/>
      <c r="FT21" s="319"/>
      <c r="FU21" s="402"/>
      <c r="FV21" s="319"/>
      <c r="FW21" s="402"/>
      <c r="FX21" s="319"/>
      <c r="FY21" s="402"/>
      <c r="FZ21" s="319"/>
      <c r="GA21" s="402"/>
      <c r="GB21" s="319"/>
      <c r="GC21" s="402"/>
      <c r="GD21" s="319"/>
      <c r="GE21" s="402"/>
      <c r="GF21" s="319"/>
      <c r="GG21" s="402"/>
      <c r="GH21" s="319"/>
      <c r="GI21" s="402"/>
      <c r="GJ21" s="319"/>
      <c r="GK21" s="402"/>
      <c r="GL21" s="319"/>
      <c r="GM21" s="402"/>
      <c r="GN21" s="319"/>
      <c r="GO21" s="402"/>
      <c r="GP21" s="319"/>
      <c r="GQ21" s="402"/>
      <c r="GR21" s="319"/>
      <c r="GS21" s="402"/>
      <c r="GT21" s="319"/>
      <c r="GU21" s="402"/>
      <c r="GV21" s="319"/>
      <c r="GW21" s="402"/>
      <c r="GX21" s="319"/>
      <c r="GY21" s="402"/>
      <c r="GZ21" s="319"/>
      <c r="HA21" s="402"/>
      <c r="HB21" s="319"/>
      <c r="HC21" s="402"/>
      <c r="HD21" s="319"/>
      <c r="HE21" s="402"/>
      <c r="HF21" s="319"/>
      <c r="HG21" s="402"/>
      <c r="HH21" s="319"/>
      <c r="HI21" s="402"/>
      <c r="HJ21" s="319"/>
      <c r="HK21" s="402"/>
      <c r="HL21" s="319"/>
      <c r="HM21" s="402"/>
      <c r="HN21" s="319"/>
      <c r="HO21" s="402"/>
      <c r="HP21" s="319"/>
      <c r="HQ21" s="402"/>
      <c r="HR21" s="319"/>
      <c r="HS21" s="402"/>
      <c r="HT21" s="319"/>
      <c r="HU21" s="402"/>
      <c r="HV21" s="319"/>
      <c r="HW21" s="402"/>
      <c r="HX21" s="319"/>
      <c r="HY21" s="402"/>
      <c r="HZ21" s="319"/>
      <c r="IA21" s="402"/>
      <c r="IB21" s="319"/>
      <c r="IC21" s="402"/>
      <c r="ID21" s="319"/>
      <c r="IE21" s="402"/>
      <c r="IF21" s="319"/>
      <c r="IG21" s="402"/>
      <c r="IH21" s="319"/>
      <c r="II21" s="402"/>
      <c r="IJ21" s="319"/>
      <c r="IK21" s="402"/>
      <c r="IL21" s="319"/>
      <c r="IM21" s="402"/>
      <c r="IN21" s="319"/>
      <c r="IO21" s="402"/>
      <c r="IP21" s="319"/>
      <c r="IQ21" s="402"/>
      <c r="IR21" s="319"/>
      <c r="IS21" s="402"/>
      <c r="IT21" s="623"/>
      <c r="IU21" s="1060"/>
      <c r="IV21" s="111"/>
      <c r="IW21" s="109"/>
      <c r="IX21" s="698"/>
      <c r="IY21" s="698"/>
      <c r="IZ21" s="698"/>
      <c r="JB21" s="260"/>
      <c r="JC21" s="260"/>
      <c r="JD21" s="260"/>
      <c r="JE21" s="260"/>
      <c r="JF21" s="260"/>
      <c r="JG21" s="260"/>
      <c r="JH21" s="260"/>
      <c r="JI21" s="260"/>
      <c r="JJ21" s="260"/>
      <c r="JK21" s="260"/>
      <c r="JL21" s="260"/>
      <c r="JM21" s="261"/>
      <c r="JN21" s="261"/>
      <c r="JO21" s="261"/>
      <c r="JP21" s="261"/>
      <c r="JQ21" s="261"/>
      <c r="JR21" s="261"/>
      <c r="JS21" s="261"/>
      <c r="JT21" s="261"/>
      <c r="JU21" s="261"/>
      <c r="JV21" s="261"/>
      <c r="JW21" s="261"/>
      <c r="JX21" s="261"/>
      <c r="JY21" s="261"/>
      <c r="JZ21" s="261"/>
      <c r="KA21" s="261"/>
      <c r="KB21" s="261"/>
      <c r="KC21" s="261"/>
      <c r="KD21" s="261"/>
      <c r="KE21" s="261"/>
      <c r="KF21" s="261"/>
      <c r="KG21" s="261"/>
      <c r="KH21" s="261"/>
      <c r="KI21" s="261"/>
      <c r="KJ21" s="261"/>
      <c r="KK21" s="787"/>
      <c r="KL21" s="787"/>
      <c r="KM21" s="787"/>
      <c r="KN21" s="787"/>
      <c r="KO21" s="787"/>
      <c r="KP21" s="787"/>
      <c r="KQ21" s="787"/>
      <c r="KR21" s="787"/>
      <c r="KS21" s="787"/>
      <c r="KT21" s="787"/>
      <c r="KU21" s="787"/>
      <c r="KV21" s="787"/>
      <c r="KW21" s="899"/>
      <c r="KX21" s="899"/>
      <c r="KY21" s="899"/>
      <c r="KZ21" s="899"/>
      <c r="LA21" s="899"/>
      <c r="LB21" s="899"/>
      <c r="LC21" s="899"/>
      <c r="LD21" s="899"/>
      <c r="LE21" s="899"/>
      <c r="LF21" s="899"/>
      <c r="LG21" s="899"/>
      <c r="LH21" s="899"/>
      <c r="LI21" s="958"/>
      <c r="LJ21" s="958"/>
      <c r="LK21" s="958"/>
      <c r="LL21" s="958"/>
      <c r="LM21" s="958"/>
      <c r="LN21" s="958"/>
      <c r="LO21" s="958"/>
      <c r="LP21" s="958"/>
      <c r="LQ21" s="958"/>
      <c r="LR21" s="958"/>
      <c r="LS21" s="958"/>
      <c r="LT21" s="958"/>
      <c r="LU21" s="1154"/>
      <c r="LV21" s="1154"/>
      <c r="LW21" s="1154"/>
      <c r="LX21" s="1154"/>
      <c r="LY21" s="1154"/>
      <c r="LZ21" s="1154"/>
      <c r="MA21" s="1154"/>
      <c r="MB21" s="1154"/>
      <c r="MC21" s="1154"/>
      <c r="MD21" s="1154"/>
      <c r="ME21" s="1154"/>
      <c r="MF21" s="1154"/>
      <c r="MG21" s="1176"/>
      <c r="MH21" s="1176"/>
      <c r="MI21" s="1176"/>
      <c r="MJ21" s="1176"/>
      <c r="MK21" s="1176"/>
      <c r="ML21" s="1176"/>
      <c r="MM21" s="1176"/>
      <c r="MN21" s="1176"/>
      <c r="MO21" s="1176"/>
      <c r="MP21" s="1176"/>
      <c r="MQ21" s="1176"/>
      <c r="MR21" s="1176"/>
    </row>
    <row r="22" spans="1:356" x14ac:dyDescent="0.25">
      <c r="A22" s="764"/>
      <c r="B22" s="56">
        <v>3.1</v>
      </c>
      <c r="C22" s="7"/>
      <c r="D22" s="1146"/>
      <c r="E22" s="1146" t="s">
        <v>59</v>
      </c>
      <c r="F22" s="1146"/>
      <c r="G22" s="1147"/>
      <c r="H22" s="375">
        <v>7315</v>
      </c>
      <c r="I22" s="70">
        <v>7174</v>
      </c>
      <c r="J22" s="33">
        <v>7151</v>
      </c>
      <c r="K22" s="70">
        <v>11183</v>
      </c>
      <c r="L22" s="33">
        <v>7336</v>
      </c>
      <c r="M22" s="70">
        <v>6470</v>
      </c>
      <c r="N22" s="33">
        <v>7189</v>
      </c>
      <c r="O22" s="70">
        <v>7501</v>
      </c>
      <c r="P22" s="33">
        <v>7037</v>
      </c>
      <c r="Q22" s="70">
        <v>5915</v>
      </c>
      <c r="R22" s="33">
        <v>7750</v>
      </c>
      <c r="S22" s="70">
        <v>8679</v>
      </c>
      <c r="T22" s="130">
        <v>90700</v>
      </c>
      <c r="U22" s="163">
        <v>7558.333333333333</v>
      </c>
      <c r="V22" s="375">
        <f t="shared" ref="V22:Y22" si="414">SUM(V23:V27)</f>
        <v>6832</v>
      </c>
      <c r="W22" s="70">
        <f t="shared" si="414"/>
        <v>6811</v>
      </c>
      <c r="X22" s="33">
        <f t="shared" si="414"/>
        <v>5779</v>
      </c>
      <c r="Y22" s="70">
        <f t="shared" si="414"/>
        <v>7279</v>
      </c>
      <c r="Z22" s="33">
        <v>6036</v>
      </c>
      <c r="AA22" s="70">
        <v>5730</v>
      </c>
      <c r="AB22" s="33">
        <v>6885</v>
      </c>
      <c r="AC22" s="70">
        <v>6840</v>
      </c>
      <c r="AD22" s="33">
        <v>6934</v>
      </c>
      <c r="AE22" s="70">
        <v>6265</v>
      </c>
      <c r="AF22" s="33">
        <v>6143</v>
      </c>
      <c r="AG22" s="70">
        <v>5995</v>
      </c>
      <c r="AH22" s="130">
        <v>77529</v>
      </c>
      <c r="AI22" s="163">
        <v>6460.75</v>
      </c>
      <c r="AJ22" s="375">
        <f t="shared" ref="AJ22:AS22" si="415">SUM(AJ23:AJ27)</f>
        <v>6768</v>
      </c>
      <c r="AK22" s="70">
        <f t="shared" si="415"/>
        <v>6949</v>
      </c>
      <c r="AL22" s="33">
        <f t="shared" si="415"/>
        <v>5345</v>
      </c>
      <c r="AM22" s="70">
        <f t="shared" si="415"/>
        <v>9088</v>
      </c>
      <c r="AN22" s="33">
        <f t="shared" si="415"/>
        <v>6219</v>
      </c>
      <c r="AO22" s="70">
        <f t="shared" si="415"/>
        <v>5518</v>
      </c>
      <c r="AP22" s="624">
        <f t="shared" si="415"/>
        <v>7380</v>
      </c>
      <c r="AQ22" s="70">
        <f t="shared" si="415"/>
        <v>6960</v>
      </c>
      <c r="AR22" s="624">
        <f t="shared" si="415"/>
        <v>6079</v>
      </c>
      <c r="AS22" s="70">
        <f t="shared" si="415"/>
        <v>6613</v>
      </c>
      <c r="AT22" s="624">
        <f>SUM(AT23:AT27)</f>
        <v>8313</v>
      </c>
      <c r="AU22" s="70">
        <f>SUM(AU23:AU27)</f>
        <v>6310</v>
      </c>
      <c r="AV22" s="130">
        <f t="shared" ref="AV22:AV28" si="416">SUM(AJ22:AU22)</f>
        <v>81542</v>
      </c>
      <c r="AW22" s="163">
        <f t="shared" ref="AW22:AW30" si="417">SUM(AJ22:AU22)/$AV$4</f>
        <v>6795.166666666667</v>
      </c>
      <c r="AX22" s="375">
        <f t="shared" ref="AX22:BC22" si="418">SUM(AX23:AX27)</f>
        <v>7221</v>
      </c>
      <c r="AY22" s="77">
        <f t="shared" si="418"/>
        <v>6954</v>
      </c>
      <c r="AZ22" s="33">
        <f t="shared" si="418"/>
        <v>7492</v>
      </c>
      <c r="BA22" s="184">
        <f t="shared" si="418"/>
        <v>13806</v>
      </c>
      <c r="BB22" s="33">
        <f t="shared" si="418"/>
        <v>8718</v>
      </c>
      <c r="BC22" s="70">
        <f t="shared" si="418"/>
        <v>7584</v>
      </c>
      <c r="BD22" s="624">
        <f t="shared" ref="BD22:BI22" si="419">SUM(BD23:BD27)</f>
        <v>8400</v>
      </c>
      <c r="BE22" s="70">
        <f t="shared" si="419"/>
        <v>6710</v>
      </c>
      <c r="BF22" s="624">
        <f t="shared" si="419"/>
        <v>6732</v>
      </c>
      <c r="BG22" s="70">
        <f t="shared" si="419"/>
        <v>6700</v>
      </c>
      <c r="BH22" s="624">
        <f t="shared" si="419"/>
        <v>6663</v>
      </c>
      <c r="BI22" s="184">
        <f t="shared" si="419"/>
        <v>7110</v>
      </c>
      <c r="BJ22" s="130">
        <f t="shared" ref="BJ22:BJ28" si="420">SUM(AX22:BI22)</f>
        <v>94090</v>
      </c>
      <c r="BK22" s="163">
        <f t="shared" ref="BK22:BK30" si="421">SUM(AX22:BI22)/$BJ$4</f>
        <v>7840.833333333333</v>
      </c>
      <c r="BL22" s="375">
        <f t="shared" ref="BL22:BP22" si="422">SUM(BL23:BL27)</f>
        <v>7534</v>
      </c>
      <c r="BM22" s="77">
        <f t="shared" ref="BM22:BN22" si="423">SUM(BM23:BM27)</f>
        <v>6935</v>
      </c>
      <c r="BN22" s="33">
        <f t="shared" si="423"/>
        <v>7341</v>
      </c>
      <c r="BO22" s="184">
        <f t="shared" si="422"/>
        <v>14182</v>
      </c>
      <c r="BP22" s="33">
        <f t="shared" si="422"/>
        <v>7075</v>
      </c>
      <c r="BQ22" s="70">
        <f t="shared" ref="BQ22:BR22" si="424">SUM(BQ23:BQ27)</f>
        <v>6975</v>
      </c>
      <c r="BR22" s="624">
        <f t="shared" si="424"/>
        <v>8839</v>
      </c>
      <c r="BS22" s="70">
        <f t="shared" ref="BS22:BT22" si="425">SUM(BS23:BS27)</f>
        <v>7077</v>
      </c>
      <c r="BT22" s="624">
        <f t="shared" si="425"/>
        <v>8034</v>
      </c>
      <c r="BU22" s="624">
        <f t="shared" ref="BU22" si="426">SUM(BU23:BU27)</f>
        <v>8445</v>
      </c>
      <c r="BV22" s="624">
        <f t="shared" ref="BV22:BW22" si="427">SUM(BV23:BV27)</f>
        <v>6607</v>
      </c>
      <c r="BW22" s="624">
        <f t="shared" si="427"/>
        <v>7352</v>
      </c>
      <c r="BX22" s="130">
        <f t="shared" ref="BX22:BX28" si="428">SUM(BL22:BW22)</f>
        <v>96396</v>
      </c>
      <c r="BY22" s="163">
        <f t="shared" ref="BY22:BY30" si="429">SUM(BL22:BW22)/$BX$4</f>
        <v>8033</v>
      </c>
      <c r="BZ22" s="624">
        <f t="shared" ref="BZ22:CA22" si="430">SUM(BZ23:BZ27)</f>
        <v>7541</v>
      </c>
      <c r="CA22" s="77">
        <f t="shared" si="430"/>
        <v>7048</v>
      </c>
      <c r="CB22" s="33">
        <f t="shared" ref="CB22:CC22" si="431">SUM(CB23:CB27)</f>
        <v>6782</v>
      </c>
      <c r="CC22" s="184">
        <f t="shared" si="431"/>
        <v>7289</v>
      </c>
      <c r="CD22" s="33">
        <f t="shared" ref="CD22:CE22" si="432">SUM(CD23:CD27)</f>
        <v>7028</v>
      </c>
      <c r="CE22" s="70">
        <f t="shared" si="432"/>
        <v>7247</v>
      </c>
      <c r="CF22" s="624">
        <f t="shared" ref="CF22:CG22" si="433">SUM(CF23:CF27)</f>
        <v>6883</v>
      </c>
      <c r="CG22" s="70">
        <f t="shared" si="433"/>
        <v>7569</v>
      </c>
      <c r="CH22" s="624">
        <f t="shared" ref="CH22:CI22" si="434">SUM(CH23:CH27)</f>
        <v>7006</v>
      </c>
      <c r="CI22" s="624">
        <f t="shared" si="434"/>
        <v>6358</v>
      </c>
      <c r="CJ22" s="624">
        <f t="shared" ref="CJ22:CK22" si="435">SUM(CJ23:CJ27)</f>
        <v>5948</v>
      </c>
      <c r="CK22" s="624">
        <f t="shared" si="435"/>
        <v>6524</v>
      </c>
      <c r="CL22" s="130">
        <f t="shared" ref="CL22:CL28" si="436">SUM(BZ22:CK22)</f>
        <v>83223</v>
      </c>
      <c r="CM22" s="163">
        <f t="shared" ref="CM22:CM30" si="437">SUM(BZ22:CK22)/$CL$4</f>
        <v>6935.25</v>
      </c>
      <c r="CN22" s="624">
        <f t="shared" ref="CN22:CO22" si="438">SUM(CN23:CN27)</f>
        <v>6679</v>
      </c>
      <c r="CO22" s="77">
        <f t="shared" si="438"/>
        <v>7131</v>
      </c>
      <c r="CP22" s="33">
        <f t="shared" ref="CP22:CQ22" si="439">SUM(CP23:CP27)</f>
        <v>6183</v>
      </c>
      <c r="CQ22" s="184">
        <f t="shared" si="439"/>
        <v>7343</v>
      </c>
      <c r="CR22" s="33">
        <f t="shared" ref="CR22:CS22" si="440">SUM(CR23:CR27)</f>
        <v>6061</v>
      </c>
      <c r="CS22" s="184">
        <f t="shared" si="440"/>
        <v>6053</v>
      </c>
      <c r="CT22" s="211">
        <f t="shared" ref="CT22:CU22" si="441">SUM(CT23:CT27)</f>
        <v>6951</v>
      </c>
      <c r="CU22" s="77">
        <f t="shared" si="441"/>
        <v>6584</v>
      </c>
      <c r="CV22" s="624">
        <f t="shared" ref="CV22:CW22" si="442">SUM(CV23:CV27)</f>
        <v>6181</v>
      </c>
      <c r="CW22" s="1061">
        <f t="shared" si="442"/>
        <v>5205</v>
      </c>
      <c r="CX22" s="624">
        <f t="shared" ref="CX22:CY22" si="443">SUM(CX23:CX27)</f>
        <v>5680</v>
      </c>
      <c r="CY22" s="77">
        <f t="shared" si="443"/>
        <v>5484</v>
      </c>
      <c r="CZ22" s="130">
        <f t="shared" ref="CZ22:CZ28" si="444">SUM(CN22:CY22)</f>
        <v>75535</v>
      </c>
      <c r="DA22" s="163">
        <f t="shared" ref="DA22:DA30" si="445">SUM(CN22:CY22)/$CZ$4</f>
        <v>6294.583333333333</v>
      </c>
      <c r="DB22" s="624">
        <f t="shared" ref="DB22:DC22" si="446">SUM(DB23:DB27)</f>
        <v>5350</v>
      </c>
      <c r="DC22" s="77">
        <f t="shared" si="446"/>
        <v>6023</v>
      </c>
      <c r="DD22" s="33">
        <f t="shared" ref="DD22:DE22" si="447">SUM(DD23:DD27)</f>
        <v>4888</v>
      </c>
      <c r="DE22" s="184">
        <f t="shared" si="447"/>
        <v>5606</v>
      </c>
      <c r="DF22" s="33">
        <f t="shared" ref="DF22:DG22" si="448">SUM(DF23:DF27)</f>
        <v>4913</v>
      </c>
      <c r="DG22" s="184">
        <f t="shared" si="448"/>
        <v>4578</v>
      </c>
      <c r="DH22" s="211">
        <f t="shared" ref="DH22:DI22" si="449">SUM(DH23:DH27)</f>
        <v>6718</v>
      </c>
      <c r="DI22" s="77">
        <f t="shared" si="449"/>
        <v>6309</v>
      </c>
      <c r="DJ22" s="624">
        <f t="shared" ref="DJ22:DK22" si="450">SUM(DJ23:DJ27)</f>
        <v>6009</v>
      </c>
      <c r="DK22" s="77">
        <f t="shared" si="450"/>
        <v>6042</v>
      </c>
      <c r="DL22" s="624"/>
      <c r="DM22" s="77"/>
      <c r="DN22" s="130">
        <f t="shared" ref="DN22:DN28" si="451">SUM(DB22:DM22)</f>
        <v>56436</v>
      </c>
      <c r="DO22" s="163">
        <f t="shared" ref="DO22:DO30" si="452">SUM(DB22:DM22)/$DN$4</f>
        <v>5643.6</v>
      </c>
      <c r="DP22" s="624"/>
      <c r="DQ22" s="77"/>
      <c r="DR22" s="33"/>
      <c r="DS22" s="184"/>
      <c r="DT22" s="33"/>
      <c r="DU22" s="184"/>
      <c r="DV22" s="211"/>
      <c r="DW22" s="77"/>
      <c r="DX22" s="624"/>
      <c r="DY22" s="77"/>
      <c r="DZ22" s="624"/>
      <c r="EA22" s="77"/>
      <c r="EB22" s="130">
        <f t="shared" ref="EB22:EB28" si="453">SUM(DP22:EA22)</f>
        <v>0</v>
      </c>
      <c r="EC22" s="163" t="e">
        <f t="shared" ref="EC22:EC30" si="454">SUM(DP22:EA22)/$EB$4</f>
        <v>#DIV/0!</v>
      </c>
      <c r="ED22" s="662">
        <f t="shared" ref="ED22:ED30" si="455">AX22-AU22</f>
        <v>911</v>
      </c>
      <c r="EE22" s="663">
        <f t="shared" ref="EE22:EE30" si="456">ED22/AU22</f>
        <v>0.14437400950871632</v>
      </c>
      <c r="EF22" s="662">
        <f t="shared" ref="EF22:EF30" si="457">AY22-AX22</f>
        <v>-267</v>
      </c>
      <c r="EG22" s="663">
        <f t="shared" ref="EG22:EG30" si="458">EF22/AX22</f>
        <v>-3.6975488159534692E-2</v>
      </c>
      <c r="EH22" s="662">
        <f t="shared" ref="EH22:EH30" si="459">AZ22-AY22</f>
        <v>538</v>
      </c>
      <c r="EI22" s="663">
        <f t="shared" ref="EI22:EI30" si="460">EH22/AY22</f>
        <v>7.736554501006615E-2</v>
      </c>
      <c r="EJ22" s="662">
        <f t="shared" ref="EJ22:EJ30" si="461">BA22-AZ22</f>
        <v>6314</v>
      </c>
      <c r="EK22" s="663">
        <f t="shared" ref="EK22:EK30" si="462">EJ22/AZ22</f>
        <v>0.84276561665776828</v>
      </c>
      <c r="EL22" s="662">
        <f t="shared" ref="EL22:EL30" si="463">BB22-BA22</f>
        <v>-5088</v>
      </c>
      <c r="EM22" s="663">
        <f t="shared" ref="EM22:EM30" si="464">EL22/BA22</f>
        <v>-0.36853541938287698</v>
      </c>
      <c r="EN22" s="662">
        <f t="shared" ref="EN22:EN30" si="465">BC22-BB22</f>
        <v>-1134</v>
      </c>
      <c r="EO22" s="663">
        <f t="shared" ref="EO22:EO30" si="466">EN22/BB22</f>
        <v>-0.13007570543702685</v>
      </c>
      <c r="EP22" s="662">
        <f t="shared" ref="EP22:EP30" si="467">BD22-BC22</f>
        <v>816</v>
      </c>
      <c r="EQ22" s="663">
        <f t="shared" ref="EQ22:EQ30" si="468">EP22/BC22</f>
        <v>0.10759493670886076</v>
      </c>
      <c r="ER22" s="662">
        <f t="shared" ref="ER22:ER30" si="469">BE22-BD22</f>
        <v>-1690</v>
      </c>
      <c r="ES22" s="663">
        <f t="shared" ref="ES22:ES30" si="470">ER22/BD22</f>
        <v>-0.2011904761904762</v>
      </c>
      <c r="ET22" s="662">
        <f t="shared" ref="ET22:ET30" si="471">BF22-BE22</f>
        <v>22</v>
      </c>
      <c r="EU22" s="663">
        <f t="shared" ref="EU22:EU30" si="472">ET22/BE22</f>
        <v>3.2786885245901639E-3</v>
      </c>
      <c r="EV22" s="662">
        <f t="shared" ref="EV22:EV30" si="473">BG22-BF22</f>
        <v>-32</v>
      </c>
      <c r="EW22" s="109">
        <f t="shared" ref="EW22:EW30" si="474">EV22/BF22</f>
        <v>-4.7534165181224008E-3</v>
      </c>
      <c r="EX22" s="662">
        <f t="shared" ref="EX22:EX30" si="475">BH22-BG22</f>
        <v>-37</v>
      </c>
      <c r="EY22" s="663">
        <f t="shared" ref="EY22:EY30" si="476">EX22/BG22</f>
        <v>-5.5223880597014925E-3</v>
      </c>
      <c r="EZ22" s="662">
        <f t="shared" ref="EZ22:EZ30" si="477">BI22-BH22</f>
        <v>447</v>
      </c>
      <c r="FA22" s="663">
        <f t="shared" ref="FA22:FA30" si="478">EZ22/BH22</f>
        <v>6.7086897793786585E-2</v>
      </c>
      <c r="FB22" s="662">
        <f t="shared" ref="FB22:FB30" si="479">BL22-BI22</f>
        <v>424</v>
      </c>
      <c r="FC22" s="663">
        <f t="shared" ref="FC22:FC30" si="480">FB22/BI22</f>
        <v>5.9634317862165963E-2</v>
      </c>
      <c r="FD22" s="315">
        <f t="shared" ref="FD22:FD30" si="481">BM22-BL22</f>
        <v>-599</v>
      </c>
      <c r="FE22" s="402">
        <f t="shared" ref="FE22:FE30" si="482">FD22/BL22</f>
        <v>-7.9506238385983544E-2</v>
      </c>
      <c r="FF22" s="315">
        <f t="shared" ref="FF22:FF30" si="483">BN22-BM22</f>
        <v>406</v>
      </c>
      <c r="FG22" s="402">
        <f t="shared" ref="FG22:FG30" si="484">FF22/BM22</f>
        <v>5.8543619322278299E-2</v>
      </c>
      <c r="FH22" s="315">
        <f t="shared" ref="FH22:FH30" si="485">BO22-BN22</f>
        <v>6841</v>
      </c>
      <c r="FI22" s="402">
        <f t="shared" ref="FI22:FI30" si="486">FH22/BN22</f>
        <v>0.93188938836670754</v>
      </c>
      <c r="FJ22" s="315">
        <f t="shared" ref="FJ22:FJ30" si="487">BP22-BO22</f>
        <v>-7107</v>
      </c>
      <c r="FK22" s="402">
        <f t="shared" ref="FK22:FK30" si="488">FJ22/BO22</f>
        <v>-0.50112819066422221</v>
      </c>
      <c r="FL22" s="315">
        <f t="shared" ref="FL22:FL30" si="489">BQ22-BP22</f>
        <v>-100</v>
      </c>
      <c r="FM22" s="402">
        <f t="shared" ref="FM22:FM30" si="490">FL22/BP22</f>
        <v>-1.4134275618374558E-2</v>
      </c>
      <c r="FN22" s="315">
        <f t="shared" ref="FN22:FN30" si="491">BR22-BQ22</f>
        <v>1864</v>
      </c>
      <c r="FO22" s="402">
        <f t="shared" ref="FO22:FO30" si="492">FN22/BQ22</f>
        <v>0.26724014336917562</v>
      </c>
      <c r="FP22" s="315">
        <f t="shared" ref="FP22:FP30" si="493">BS22-BR22</f>
        <v>-1762</v>
      </c>
      <c r="FQ22" s="402">
        <f t="shared" ref="FQ22:FQ30" si="494">FP22/BR22</f>
        <v>-0.19934381717388844</v>
      </c>
      <c r="FR22" s="315">
        <f t="shared" ref="FR22:FR30" si="495">BT22-BS22</f>
        <v>957</v>
      </c>
      <c r="FS22" s="402">
        <f t="shared" ref="FS22:FS30" si="496">FR22/BS22</f>
        <v>0.13522679101314117</v>
      </c>
      <c r="FT22" s="315">
        <f t="shared" ref="FT22:FT30" si="497">BU22-BT22</f>
        <v>411</v>
      </c>
      <c r="FU22" s="402">
        <f t="shared" ref="FU22:FU30" si="498">FT22/BT22</f>
        <v>5.1157580283793878E-2</v>
      </c>
      <c r="FV22" s="315">
        <f t="shared" ref="FV22:FV30" si="499">BV22-BU22</f>
        <v>-1838</v>
      </c>
      <c r="FW22" s="402">
        <f t="shared" ref="FW22:FW30" si="500">FV22/BU22</f>
        <v>-0.21764357608052101</v>
      </c>
      <c r="FX22" s="315">
        <f t="shared" ref="FX22:FX30" si="501">BW22-BV22</f>
        <v>745</v>
      </c>
      <c r="FY22" s="402">
        <f t="shared" ref="FY22:FY30" si="502">FX22/BV22</f>
        <v>0.11275919479340094</v>
      </c>
      <c r="FZ22" s="315">
        <f t="shared" ref="FZ22:FZ30" si="503">BZ22-BW22</f>
        <v>189</v>
      </c>
      <c r="GA22" s="402">
        <f t="shared" ref="GA22:GA30" si="504">FZ22/BW22</f>
        <v>2.5707290533188248E-2</v>
      </c>
      <c r="GB22" s="315">
        <f t="shared" ref="GB22:GB30" si="505">CA22-BZ22</f>
        <v>-493</v>
      </c>
      <c r="GC22" s="402">
        <f t="shared" ref="GC22:GC30" si="506">GB22/BZ22</f>
        <v>-6.5375944834902527E-2</v>
      </c>
      <c r="GD22" s="315">
        <f t="shared" ref="GD22:GD30" si="507">CB22-CA22</f>
        <v>-266</v>
      </c>
      <c r="GE22" s="402">
        <f t="shared" ref="GE22:GE30" si="508">GD22/CA22</f>
        <v>-3.7741203178206582E-2</v>
      </c>
      <c r="GF22" s="315">
        <f t="shared" ref="GF22:GF30" si="509">CC22-CB22</f>
        <v>507</v>
      </c>
      <c r="GG22" s="402">
        <f t="shared" ref="GG22:GG30" si="510">GF22/CB22</f>
        <v>7.4756708935417276E-2</v>
      </c>
      <c r="GH22" s="315">
        <f t="shared" ref="GH22:GH30" si="511">CD22-CC22</f>
        <v>-261</v>
      </c>
      <c r="GI22" s="402">
        <f t="shared" ref="GI22:GI30" si="512">GH22/CC22</f>
        <v>-3.5807380985045961E-2</v>
      </c>
      <c r="GJ22" s="315">
        <f t="shared" ref="GJ22:GJ30" si="513">CE22-CD22</f>
        <v>219</v>
      </c>
      <c r="GK22" s="402">
        <f t="shared" ref="GK22:GK30" si="514">GJ22/CD22</f>
        <v>3.1161070005691519E-2</v>
      </c>
      <c r="GL22" s="315">
        <f t="shared" ref="GL22:GL30" si="515">CF22-CE22</f>
        <v>-364</v>
      </c>
      <c r="GM22" s="402">
        <f t="shared" ref="GM22:GM30" si="516">GL22/CE22</f>
        <v>-5.0227680419483924E-2</v>
      </c>
      <c r="GN22" s="315">
        <f t="shared" ref="GN22:GN30" si="517">CG22-CF22</f>
        <v>686</v>
      </c>
      <c r="GO22" s="402">
        <f t="shared" ref="GO22:GO30" si="518">GN22/CF22</f>
        <v>9.9665843382246114E-2</v>
      </c>
      <c r="GP22" s="315">
        <f t="shared" ref="GP22:GP30" si="519">CH22-CG22</f>
        <v>-563</v>
      </c>
      <c r="GQ22" s="402">
        <f t="shared" ref="GQ22:GQ30" si="520">GP22/CG22</f>
        <v>-7.4382349055357372E-2</v>
      </c>
      <c r="GR22" s="315">
        <f t="shared" ref="GR22:GR30" si="521">CI22-CH22</f>
        <v>-648</v>
      </c>
      <c r="GS22" s="402">
        <f t="shared" ref="GS22:GS30" si="522">GR22/CH22</f>
        <v>-9.2492149586069078E-2</v>
      </c>
      <c r="GT22" s="315">
        <f t="shared" ref="GT22:GT30" si="523">CJ22-CI22</f>
        <v>-410</v>
      </c>
      <c r="GU22" s="402">
        <f t="shared" ref="GU22:GU30" si="524">GT22/CI22</f>
        <v>-6.4485687323057567E-2</v>
      </c>
      <c r="GV22" s="315">
        <f t="shared" ref="GV22:GV30" si="525">CK22-CJ22</f>
        <v>576</v>
      </c>
      <c r="GW22" s="402">
        <f t="shared" ref="GW22:GW30" si="526">GV22/CJ22</f>
        <v>9.6839273705447204E-2</v>
      </c>
      <c r="GX22" s="315">
        <f t="shared" ref="GX22:GX30" si="527">CN22-CK22</f>
        <v>155</v>
      </c>
      <c r="GY22" s="402">
        <f t="shared" ref="GY22:GY30" si="528">GX22/CK22</f>
        <v>2.3758430410790926E-2</v>
      </c>
      <c r="GZ22" s="315">
        <f t="shared" ref="GZ22:GZ30" si="529">CO22-CN22</f>
        <v>452</v>
      </c>
      <c r="HA22" s="402">
        <f t="shared" ref="HA22:HA30" si="530">GZ22/CN22</f>
        <v>6.7674801617008534E-2</v>
      </c>
      <c r="HB22" s="315">
        <f t="shared" ref="HB22:HB30" si="531">CP22-CO22</f>
        <v>-948</v>
      </c>
      <c r="HC22" s="402">
        <f t="shared" ref="HC22:HC30" si="532">HB22/CO22</f>
        <v>-0.13294068153134203</v>
      </c>
      <c r="HD22" s="315">
        <f t="shared" ref="HD22:HD30" si="533">CQ22-CP22</f>
        <v>1160</v>
      </c>
      <c r="HE22" s="402">
        <f t="shared" ref="HE22:HE30" si="534">HD22/CP22</f>
        <v>0.18761119197800422</v>
      </c>
      <c r="HF22" s="315">
        <f t="shared" ref="HF22:HF30" si="535">CR22-CQ22</f>
        <v>-1282</v>
      </c>
      <c r="HG22" s="402">
        <f t="shared" ref="HG22:HG30" si="536">HF22/CQ22</f>
        <v>-0.17458804303418221</v>
      </c>
      <c r="HH22" s="315">
        <f t="shared" ref="HH22:HH30" si="537">CS22-CR22</f>
        <v>-8</v>
      </c>
      <c r="HI22" s="402">
        <f t="shared" ref="HI22:HI30" si="538">HH22/CR22</f>
        <v>-1.3199142055766375E-3</v>
      </c>
      <c r="HJ22" s="315">
        <f t="shared" ref="HJ22:HJ30" si="539">CT22-CS22</f>
        <v>898</v>
      </c>
      <c r="HK22" s="402">
        <f t="shared" ref="HK22:HK30" si="540">HJ22/CS22</f>
        <v>0.14835618701470346</v>
      </c>
      <c r="HL22" s="315">
        <f t="shared" ref="HL22:HL30" si="541">CU22-CT22</f>
        <v>-367</v>
      </c>
      <c r="HM22" s="402">
        <f t="shared" ref="HM22:HM30" si="542">HL22/CT22</f>
        <v>-5.2798158538339808E-2</v>
      </c>
      <c r="HN22" s="315">
        <f t="shared" ref="HN22:HN30" si="543">CV22-CU22</f>
        <v>-403</v>
      </c>
      <c r="HO22" s="402">
        <f t="shared" ref="HO22:HO30" si="544">HN22/CU22</f>
        <v>-6.1208991494532197E-2</v>
      </c>
      <c r="HP22" s="315">
        <f t="shared" ref="HP22:HP30" si="545">CW22-CV22</f>
        <v>-976</v>
      </c>
      <c r="HQ22" s="402">
        <f t="shared" ref="HQ22:HQ30" si="546">HP22/CV22</f>
        <v>-0.15790325190098689</v>
      </c>
      <c r="HR22" s="315">
        <f t="shared" ref="HR22:HR30" si="547">CX22-CW22</f>
        <v>475</v>
      </c>
      <c r="HS22" s="402">
        <f t="shared" ref="HS22:HS30" si="548">HR22/CW22</f>
        <v>9.1258405379442839E-2</v>
      </c>
      <c r="HT22" s="315">
        <f t="shared" ref="HT22:HT30" si="549">CY22-CX22</f>
        <v>-196</v>
      </c>
      <c r="HU22" s="402">
        <f t="shared" ref="HU22:HU30" si="550">HT22/CX22</f>
        <v>-3.4507042253521129E-2</v>
      </c>
      <c r="HV22" s="315">
        <f t="shared" ref="HV22:HV30" si="551">DB22-CY22</f>
        <v>-134</v>
      </c>
      <c r="HW22" s="402">
        <f t="shared" ref="HW22:HW30" si="552">HV22/CY22</f>
        <v>-2.4434719183078046E-2</v>
      </c>
      <c r="HX22" s="315">
        <f t="shared" ref="HX22:HX30" si="553">DC22-DB22</f>
        <v>673</v>
      </c>
      <c r="HY22" s="402">
        <f t="shared" ref="HY22:HY30" si="554">HX22/DB22</f>
        <v>0.1257943925233645</v>
      </c>
      <c r="HZ22" s="315">
        <f t="shared" ref="HZ22:HZ30" si="555">DD22-DC22</f>
        <v>-1135</v>
      </c>
      <c r="IA22" s="402">
        <f t="shared" ref="IA22:IA30" si="556">HZ22/DD22</f>
        <v>-0.2322013093289689</v>
      </c>
      <c r="IB22" s="315">
        <f t="shared" ref="IB22:IB30" si="557">DE22-DD22</f>
        <v>718</v>
      </c>
      <c r="IC22" s="402">
        <f t="shared" ref="IC22:IC30" si="558">IB22/DD22</f>
        <v>0.14689034369885434</v>
      </c>
      <c r="ID22" s="315">
        <f t="shared" ref="ID22:ID30" si="559">DF22-DE22</f>
        <v>-693</v>
      </c>
      <c r="IE22" s="402">
        <f t="shared" ref="IE22:IE30" si="560">ID22/DO22</f>
        <v>-0.12279396130129704</v>
      </c>
      <c r="IF22" s="315">
        <f t="shared" ref="IF22:IF30" si="561">DG22-DF22</f>
        <v>-335</v>
      </c>
      <c r="IG22" s="402">
        <f t="shared" ref="IG22:IG30" si="562">IF22/DF22</f>
        <v>-6.8186444127824139E-2</v>
      </c>
      <c r="IH22" s="315">
        <f t="shared" ref="IH22:IH30" si="563">DH22-DG22</f>
        <v>2140</v>
      </c>
      <c r="II22" s="402">
        <f t="shared" ref="II22:II30" si="564">IH22/DG22</f>
        <v>0.46745303626037571</v>
      </c>
      <c r="IJ22" s="315">
        <f t="shared" ref="IJ22:IJ30" si="565">DI22-DH22</f>
        <v>-409</v>
      </c>
      <c r="IK22" s="402">
        <f t="shared" ref="IK22:IK30" si="566">IJ22/DH22</f>
        <v>-6.0881214647216436E-2</v>
      </c>
      <c r="IL22" s="315">
        <f t="shared" ref="IL22:IL30" si="567">DJ22-DI22</f>
        <v>-300</v>
      </c>
      <c r="IM22" s="402">
        <f t="shared" ref="IM22:IM30" si="568">IL22/DI22</f>
        <v>-4.7551117451260103E-2</v>
      </c>
      <c r="IN22" s="315">
        <f t="shared" ref="IN22:IN30" si="569">DK22-DJ22</f>
        <v>33</v>
      </c>
      <c r="IO22" s="402">
        <f t="shared" ref="IO22:IO30" si="570">IN22/DJ22</f>
        <v>5.4917623564653024E-3</v>
      </c>
      <c r="IP22" s="315">
        <f t="shared" ref="IP22:IP30" si="571">DL22-DK22</f>
        <v>-6042</v>
      </c>
      <c r="IQ22" s="402">
        <f t="shared" ref="IQ22:IQ30" si="572">IP22/EI22</f>
        <v>-78096.78066914498</v>
      </c>
      <c r="IR22" s="315">
        <f t="shared" ref="IR22:IR30" si="573">EK22-EJ22</f>
        <v>-6313.1572343833423</v>
      </c>
      <c r="IS22" s="402">
        <f t="shared" ref="IS22:IS30" si="574">IR22/EJ22</f>
        <v>-0.99986652429257872</v>
      </c>
      <c r="IT22" s="624">
        <f t="shared" ref="IT22:IT30" si="575">CW22</f>
        <v>5205</v>
      </c>
      <c r="IU22" s="1061">
        <f t="shared" ref="IU22:IU30" si="576">DK22</f>
        <v>6042</v>
      </c>
      <c r="IV22" s="662">
        <f t="shared" ref="IV22:IV30" si="577">IU22-IT22</f>
        <v>837</v>
      </c>
      <c r="IW22" s="109">
        <f t="shared" ref="IW22:IW30" si="578">IF(ISERROR(IV22/IT22),0,IV22/IT22)</f>
        <v>0.16080691642651296</v>
      </c>
      <c r="IX22" s="698"/>
      <c r="IY22" s="698"/>
      <c r="IZ22" s="698"/>
      <c r="JA22" t="str">
        <f t="shared" ref="JA22:JA30" si="579">E22</f>
        <v xml:space="preserve">Number of New Tickets </v>
      </c>
      <c r="JB22" s="262" t="e">
        <f>#REF!</f>
        <v>#REF!</v>
      </c>
      <c r="JC22" s="262" t="e">
        <f>#REF!</f>
        <v>#REF!</v>
      </c>
      <c r="JD22" s="262" t="e">
        <f>#REF!</f>
        <v>#REF!</v>
      </c>
      <c r="JE22" s="262" t="e">
        <f>#REF!</f>
        <v>#REF!</v>
      </c>
      <c r="JF22" s="262" t="e">
        <f>#REF!</f>
        <v>#REF!</v>
      </c>
      <c r="JG22" s="262" t="e">
        <f>#REF!</f>
        <v>#REF!</v>
      </c>
      <c r="JH22" s="262" t="e">
        <f>#REF!</f>
        <v>#REF!</v>
      </c>
      <c r="JI22" s="262" t="e">
        <f>#REF!</f>
        <v>#REF!</v>
      </c>
      <c r="JJ22" s="262" t="e">
        <f>#REF!</f>
        <v>#REF!</v>
      </c>
      <c r="JK22" s="262" t="e">
        <f>#REF!</f>
        <v>#REF!</v>
      </c>
      <c r="JL22" s="262" t="e">
        <f>#REF!</f>
        <v>#REF!</v>
      </c>
      <c r="JM22" s="263">
        <f t="shared" ref="JM22:JM30" si="580">AJ22</f>
        <v>6768</v>
      </c>
      <c r="JN22" s="263">
        <f t="shared" ref="JN22:JN30" si="581">AK22</f>
        <v>6949</v>
      </c>
      <c r="JO22" s="263">
        <f t="shared" ref="JO22:JO30" si="582">AL22</f>
        <v>5345</v>
      </c>
      <c r="JP22" s="263">
        <f t="shared" ref="JP22:JP30" si="583">AM22</f>
        <v>9088</v>
      </c>
      <c r="JQ22" s="263">
        <f t="shared" ref="JQ22:JQ30" si="584">AN22</f>
        <v>6219</v>
      </c>
      <c r="JR22" s="263">
        <f t="shared" ref="JR22:JR30" si="585">AO22</f>
        <v>5518</v>
      </c>
      <c r="JS22" s="263">
        <f t="shared" ref="JS22:JS30" si="586">AP22</f>
        <v>7380</v>
      </c>
      <c r="JT22" s="263">
        <f t="shared" ref="JT22:JT30" si="587">AQ22</f>
        <v>6960</v>
      </c>
      <c r="JU22" s="263">
        <f t="shared" ref="JU22:JU30" si="588">AR22</f>
        <v>6079</v>
      </c>
      <c r="JV22" s="263">
        <f t="shared" ref="JV22:JV30" si="589">AS22</f>
        <v>6613</v>
      </c>
      <c r="JW22" s="263">
        <f t="shared" ref="JW22:JW30" si="590">AT22</f>
        <v>8313</v>
      </c>
      <c r="JX22" s="263">
        <f t="shared" ref="JX22:JX30" si="591">AU22</f>
        <v>6310</v>
      </c>
      <c r="JY22" s="263">
        <f t="shared" ref="JY22:JY30" si="592">AX22</f>
        <v>7221</v>
      </c>
      <c r="JZ22" s="263">
        <f t="shared" ref="JZ22:JZ30" si="593">AY22</f>
        <v>6954</v>
      </c>
      <c r="KA22" s="263">
        <f t="shared" ref="KA22:KA30" si="594">AZ22</f>
        <v>7492</v>
      </c>
      <c r="KB22" s="263">
        <f t="shared" ref="KB22:KB30" si="595">BA22</f>
        <v>13806</v>
      </c>
      <c r="KC22" s="263">
        <f t="shared" ref="KC22:KC30" si="596">BB22</f>
        <v>8718</v>
      </c>
      <c r="KD22" s="263">
        <f t="shared" ref="KD22:KD30" si="597">BC22</f>
        <v>7584</v>
      </c>
      <c r="KE22" s="263">
        <f t="shared" ref="KE22:KE30" si="598">BD22</f>
        <v>8400</v>
      </c>
      <c r="KF22" s="263">
        <f t="shared" ref="KF22:KF30" si="599">BE22</f>
        <v>6710</v>
      </c>
      <c r="KG22" s="263">
        <f t="shared" ref="KG22:KG30" si="600">BF22</f>
        <v>6732</v>
      </c>
      <c r="KH22" s="263">
        <f t="shared" ref="KH22:KH30" si="601">BG22</f>
        <v>6700</v>
      </c>
      <c r="KI22" s="263">
        <f t="shared" ref="KI22:KI30" si="602">BH22</f>
        <v>6663</v>
      </c>
      <c r="KJ22" s="263">
        <f t="shared" ref="KJ22:KJ30" si="603">BI22</f>
        <v>7110</v>
      </c>
      <c r="KK22" s="788">
        <f t="shared" ref="KK22:KK30" si="604">BL22</f>
        <v>7534</v>
      </c>
      <c r="KL22" s="788">
        <f t="shared" ref="KL22:KL30" si="605">BM22</f>
        <v>6935</v>
      </c>
      <c r="KM22" s="788">
        <f t="shared" ref="KM22:KM30" si="606">BN22</f>
        <v>7341</v>
      </c>
      <c r="KN22" s="788">
        <f t="shared" ref="KN22:KN30" si="607">BO22</f>
        <v>14182</v>
      </c>
      <c r="KO22" s="788">
        <f t="shared" ref="KO22:KO30" si="608">BP22</f>
        <v>7075</v>
      </c>
      <c r="KP22" s="788">
        <f t="shared" ref="KP22:KP30" si="609">BQ22</f>
        <v>6975</v>
      </c>
      <c r="KQ22" s="788">
        <f t="shared" ref="KQ22:KQ30" si="610">BR22</f>
        <v>8839</v>
      </c>
      <c r="KR22" s="788">
        <f t="shared" ref="KR22:KR30" si="611">BS22</f>
        <v>7077</v>
      </c>
      <c r="KS22" s="788">
        <f t="shared" ref="KS22:KS30" si="612">BT22</f>
        <v>8034</v>
      </c>
      <c r="KT22" s="788">
        <f t="shared" ref="KT22:KT30" si="613">BU22</f>
        <v>8445</v>
      </c>
      <c r="KU22" s="788">
        <f t="shared" ref="KU22:KU30" si="614">BV22</f>
        <v>6607</v>
      </c>
      <c r="KV22" s="788">
        <f t="shared" ref="KV22:KV30" si="615">BW22</f>
        <v>7352</v>
      </c>
      <c r="KW22" s="900">
        <f t="shared" ref="KW22:KW30" si="616">BZ22</f>
        <v>7541</v>
      </c>
      <c r="KX22" s="900">
        <f t="shared" ref="KX22:KX30" si="617">CA22</f>
        <v>7048</v>
      </c>
      <c r="KY22" s="900">
        <f t="shared" ref="KY22:KY30" si="618">CB22</f>
        <v>6782</v>
      </c>
      <c r="KZ22" s="900">
        <f t="shared" ref="KZ22:KZ30" si="619">CC22</f>
        <v>7289</v>
      </c>
      <c r="LA22" s="900">
        <f t="shared" ref="LA22:LA30" si="620">CD22</f>
        <v>7028</v>
      </c>
      <c r="LB22" s="900">
        <f t="shared" ref="LB22:LB30" si="621">CE22</f>
        <v>7247</v>
      </c>
      <c r="LC22" s="900">
        <f t="shared" ref="LC22:LC30" si="622">CF22</f>
        <v>6883</v>
      </c>
      <c r="LD22" s="900">
        <f t="shared" ref="LD22:LD30" si="623">CG22</f>
        <v>7569</v>
      </c>
      <c r="LE22" s="900">
        <f t="shared" ref="LE22:LE30" si="624">CH22</f>
        <v>7006</v>
      </c>
      <c r="LF22" s="900">
        <f t="shared" ref="LF22:LF30" si="625">CI22</f>
        <v>6358</v>
      </c>
      <c r="LG22" s="900">
        <f t="shared" ref="LG22:LG30" si="626">CJ22</f>
        <v>5948</v>
      </c>
      <c r="LH22" s="900">
        <f t="shared" ref="LH22:LH30" si="627">CK22</f>
        <v>6524</v>
      </c>
      <c r="LI22" s="959">
        <f t="shared" ref="LI22:LI30" si="628">CN22</f>
        <v>6679</v>
      </c>
      <c r="LJ22" s="959">
        <f t="shared" ref="LJ22:LJ30" si="629">CO22</f>
        <v>7131</v>
      </c>
      <c r="LK22" s="959">
        <f t="shared" ref="LK22:LK30" si="630">CP22</f>
        <v>6183</v>
      </c>
      <c r="LL22" s="959">
        <f t="shared" ref="LL22:LL30" si="631">CQ22</f>
        <v>7343</v>
      </c>
      <c r="LM22" s="959">
        <f t="shared" ref="LM22:LM30" si="632">CR22</f>
        <v>6061</v>
      </c>
      <c r="LN22" s="959">
        <f t="shared" ref="LN22:LN30" si="633">CS22</f>
        <v>6053</v>
      </c>
      <c r="LO22" s="959">
        <f t="shared" ref="LO22:LO30" si="634">CT22</f>
        <v>6951</v>
      </c>
      <c r="LP22" s="959">
        <f t="shared" ref="LP22:LP30" si="635">CU22</f>
        <v>6584</v>
      </c>
      <c r="LQ22" s="959">
        <f t="shared" ref="LQ22:LQ30" si="636">CV22</f>
        <v>6181</v>
      </c>
      <c r="LR22" s="959">
        <f t="shared" ref="LR22:LR30" si="637">CW22</f>
        <v>5205</v>
      </c>
      <c r="LS22" s="959">
        <f t="shared" ref="LS22:LS30" si="638">CX22</f>
        <v>5680</v>
      </c>
      <c r="LT22" s="959">
        <f t="shared" ref="LT22:LT30" si="639">CY22</f>
        <v>5484</v>
      </c>
      <c r="LU22" s="1155">
        <f t="shared" ref="LU22:LU30" si="640">DB22</f>
        <v>5350</v>
      </c>
      <c r="LV22" s="1155">
        <f t="shared" ref="LV22:LV30" si="641">DC22</f>
        <v>6023</v>
      </c>
      <c r="LW22" s="1155">
        <f t="shared" ref="LW22:LW30" si="642">DD22</f>
        <v>4888</v>
      </c>
      <c r="LX22" s="1155">
        <f t="shared" ref="LX22:LX30" si="643">DE22</f>
        <v>5606</v>
      </c>
      <c r="LY22" s="1155">
        <f t="shared" ref="LY22:LY30" si="644">DF22</f>
        <v>4913</v>
      </c>
      <c r="LZ22" s="1155">
        <f t="shared" ref="LZ22:LZ30" si="645">DG22</f>
        <v>4578</v>
      </c>
      <c r="MA22" s="1155">
        <f t="shared" ref="MA22:MA30" si="646">DH22</f>
        <v>6718</v>
      </c>
      <c r="MB22" s="1155">
        <f t="shared" ref="MB22:MB30" si="647">DI22</f>
        <v>6309</v>
      </c>
      <c r="MC22" s="1155">
        <f t="shared" ref="MC22:MC30" si="648">DJ22</f>
        <v>6009</v>
      </c>
      <c r="MD22" s="1155">
        <f t="shared" ref="MD22:MD30" si="649">DK22</f>
        <v>6042</v>
      </c>
      <c r="ME22" s="1155">
        <f t="shared" ref="ME22:ME30" si="650">DL22</f>
        <v>0</v>
      </c>
      <c r="MF22" s="1155">
        <f t="shared" ref="MF22:MF30" si="651">DM22</f>
        <v>0</v>
      </c>
      <c r="MG22" s="1177">
        <f t="shared" ref="MG22:MG30" si="652">DP22</f>
        <v>0</v>
      </c>
      <c r="MH22" s="1177">
        <f t="shared" ref="MH22:MH30" si="653">DQ22</f>
        <v>0</v>
      </c>
      <c r="MI22" s="1177">
        <f t="shared" ref="MI22:MI30" si="654">DR22</f>
        <v>0</v>
      </c>
      <c r="MJ22" s="1177">
        <f t="shared" ref="MJ22:MJ30" si="655">DS22</f>
        <v>0</v>
      </c>
      <c r="MK22" s="1177">
        <f t="shared" ref="MK22:MK30" si="656">DT22</f>
        <v>0</v>
      </c>
      <c r="ML22" s="1177">
        <f t="shared" ref="ML22:ML30" si="657">DU22</f>
        <v>0</v>
      </c>
      <c r="MM22" s="1177">
        <f t="shared" ref="MM22:MM30" si="658">DV22</f>
        <v>0</v>
      </c>
      <c r="MN22" s="1177">
        <f t="shared" ref="MN22:MN30" si="659">DW22</f>
        <v>0</v>
      </c>
      <c r="MO22" s="1177">
        <f t="shared" ref="MO22:MO30" si="660">DX22</f>
        <v>0</v>
      </c>
      <c r="MP22" s="1177">
        <f t="shared" ref="MP22:MP30" si="661">DY22</f>
        <v>0</v>
      </c>
      <c r="MQ22" s="1177">
        <f t="shared" ref="MQ22:MR30" si="662">DZ22</f>
        <v>0</v>
      </c>
      <c r="MR22" s="1177">
        <f t="shared" si="662"/>
        <v>0</v>
      </c>
    </row>
    <row r="23" spans="1:356" x14ac:dyDescent="0.25">
      <c r="A23" s="764"/>
      <c r="B23" s="56"/>
      <c r="C23" s="56" t="s">
        <v>33</v>
      </c>
      <c r="D23" s="119"/>
      <c r="E23" s="1217" t="s">
        <v>38</v>
      </c>
      <c r="F23" s="1217"/>
      <c r="G23" s="1218"/>
      <c r="H23" s="368">
        <v>3850</v>
      </c>
      <c r="I23" s="70">
        <v>3579</v>
      </c>
      <c r="J23" s="23">
        <v>3585</v>
      </c>
      <c r="K23" s="70">
        <v>4400</v>
      </c>
      <c r="L23" s="23">
        <v>3503</v>
      </c>
      <c r="M23" s="70">
        <v>3773</v>
      </c>
      <c r="N23" s="23">
        <v>4249</v>
      </c>
      <c r="O23" s="70">
        <v>3875</v>
      </c>
      <c r="P23" s="23">
        <v>3469</v>
      </c>
      <c r="Q23" s="70">
        <v>3019</v>
      </c>
      <c r="R23" s="23">
        <v>4033</v>
      </c>
      <c r="S23" s="70">
        <v>3859</v>
      </c>
      <c r="T23" s="130">
        <v>45194</v>
      </c>
      <c r="U23" s="163">
        <v>3766.1666666666665</v>
      </c>
      <c r="V23" s="368">
        <v>3359</v>
      </c>
      <c r="W23" s="70">
        <v>3424</v>
      </c>
      <c r="X23" s="23">
        <v>3027</v>
      </c>
      <c r="Y23" s="70">
        <v>3829</v>
      </c>
      <c r="Z23" s="23">
        <v>3004</v>
      </c>
      <c r="AA23" s="70">
        <v>3139</v>
      </c>
      <c r="AB23" s="23">
        <v>3783</v>
      </c>
      <c r="AC23" s="70">
        <v>3559</v>
      </c>
      <c r="AD23" s="23">
        <v>3843</v>
      </c>
      <c r="AE23" s="70">
        <v>3152</v>
      </c>
      <c r="AF23" s="23">
        <v>2921</v>
      </c>
      <c r="AG23" s="70">
        <v>2794</v>
      </c>
      <c r="AH23" s="130">
        <v>39834</v>
      </c>
      <c r="AI23" s="163">
        <v>3319.5</v>
      </c>
      <c r="AJ23" s="368">
        <v>3180</v>
      </c>
      <c r="AK23" s="70">
        <v>3306</v>
      </c>
      <c r="AL23" s="23">
        <v>2691</v>
      </c>
      <c r="AM23" s="70">
        <v>6924</v>
      </c>
      <c r="AN23" s="23">
        <v>3563</v>
      </c>
      <c r="AO23" s="70">
        <v>2917</v>
      </c>
      <c r="AP23" s="625">
        <v>3859</v>
      </c>
      <c r="AQ23" s="70">
        <v>3634</v>
      </c>
      <c r="AR23" s="625">
        <v>3071</v>
      </c>
      <c r="AS23" s="70">
        <v>3359</v>
      </c>
      <c r="AT23" s="625">
        <v>5207</v>
      </c>
      <c r="AU23" s="70">
        <v>3621</v>
      </c>
      <c r="AV23" s="130">
        <f t="shared" si="416"/>
        <v>45332</v>
      </c>
      <c r="AW23" s="163">
        <f t="shared" si="417"/>
        <v>3777.6666666666665</v>
      </c>
      <c r="AX23" s="368">
        <v>3813</v>
      </c>
      <c r="AY23" s="70">
        <v>3624</v>
      </c>
      <c r="AZ23" s="23">
        <v>4407</v>
      </c>
      <c r="BA23" s="70">
        <v>9602</v>
      </c>
      <c r="BB23" s="23">
        <v>4942</v>
      </c>
      <c r="BC23" s="70">
        <v>4326</v>
      </c>
      <c r="BD23" s="625">
        <v>5169</v>
      </c>
      <c r="BE23" s="70">
        <v>3640</v>
      </c>
      <c r="BF23" s="625">
        <v>3557</v>
      </c>
      <c r="BG23" s="70">
        <v>3419</v>
      </c>
      <c r="BH23" s="625">
        <v>3275</v>
      </c>
      <c r="BI23" s="70">
        <v>3643</v>
      </c>
      <c r="BJ23" s="130">
        <f t="shared" si="420"/>
        <v>53417</v>
      </c>
      <c r="BK23" s="163">
        <f t="shared" si="421"/>
        <v>4451.416666666667</v>
      </c>
      <c r="BL23" s="368">
        <v>3725</v>
      </c>
      <c r="BM23" s="70">
        <v>3562</v>
      </c>
      <c r="BN23" s="23">
        <v>3929</v>
      </c>
      <c r="BO23" s="70">
        <v>10525</v>
      </c>
      <c r="BP23" s="23">
        <v>3489</v>
      </c>
      <c r="BQ23" s="70">
        <v>3627</v>
      </c>
      <c r="BR23" s="625">
        <v>4536</v>
      </c>
      <c r="BS23" s="70">
        <v>3422</v>
      </c>
      <c r="BT23" s="625">
        <v>3883</v>
      </c>
      <c r="BU23" s="625">
        <v>4341</v>
      </c>
      <c r="BV23" s="625">
        <v>3143</v>
      </c>
      <c r="BW23" s="625">
        <v>3061</v>
      </c>
      <c r="BX23" s="130">
        <f t="shared" si="428"/>
        <v>51243</v>
      </c>
      <c r="BY23" s="163">
        <f t="shared" si="429"/>
        <v>4270.25</v>
      </c>
      <c r="BZ23" s="625">
        <v>2991</v>
      </c>
      <c r="CA23" s="70">
        <v>2923</v>
      </c>
      <c r="CB23" s="23">
        <v>3233</v>
      </c>
      <c r="CC23" s="70">
        <v>3750</v>
      </c>
      <c r="CD23" s="23">
        <v>3383</v>
      </c>
      <c r="CE23" s="70">
        <v>3099</v>
      </c>
      <c r="CF23" s="625">
        <v>3381</v>
      </c>
      <c r="CG23" s="70">
        <v>3386</v>
      </c>
      <c r="CH23" s="625">
        <v>3149</v>
      </c>
      <c r="CI23" s="625">
        <v>2768</v>
      </c>
      <c r="CJ23" s="625">
        <v>2657</v>
      </c>
      <c r="CK23" s="625">
        <v>2971</v>
      </c>
      <c r="CL23" s="130">
        <f t="shared" si="436"/>
        <v>37691</v>
      </c>
      <c r="CM23" s="163">
        <f t="shared" si="437"/>
        <v>3140.9166666666665</v>
      </c>
      <c r="CN23" s="625">
        <v>2918</v>
      </c>
      <c r="CO23" s="70">
        <v>3377</v>
      </c>
      <c r="CP23" s="23">
        <v>3122</v>
      </c>
      <c r="CQ23" s="70">
        <v>3544</v>
      </c>
      <c r="CR23" s="23">
        <v>2846</v>
      </c>
      <c r="CS23" s="70">
        <v>2766</v>
      </c>
      <c r="CT23" s="207">
        <v>3064</v>
      </c>
      <c r="CU23" s="70">
        <v>3077</v>
      </c>
      <c r="CV23" s="625">
        <v>2639</v>
      </c>
      <c r="CW23" s="1062">
        <v>2155</v>
      </c>
      <c r="CX23" s="625">
        <v>2265</v>
      </c>
      <c r="CY23" s="70">
        <v>2161</v>
      </c>
      <c r="CZ23" s="130">
        <f t="shared" si="444"/>
        <v>33934</v>
      </c>
      <c r="DA23" s="163">
        <f t="shared" si="445"/>
        <v>2827.8333333333335</v>
      </c>
      <c r="DB23" s="625">
        <v>2120</v>
      </c>
      <c r="DC23" s="70">
        <v>2284</v>
      </c>
      <c r="DD23" s="23">
        <v>1823</v>
      </c>
      <c r="DE23" s="70">
        <v>2149</v>
      </c>
      <c r="DF23" s="23">
        <v>1851</v>
      </c>
      <c r="DG23" s="70">
        <v>1853</v>
      </c>
      <c r="DH23" s="207">
        <v>2999</v>
      </c>
      <c r="DI23" s="70">
        <v>2787</v>
      </c>
      <c r="DJ23" s="625">
        <v>2353</v>
      </c>
      <c r="DK23" s="70">
        <v>2309</v>
      </c>
      <c r="DL23" s="625"/>
      <c r="DM23" s="70"/>
      <c r="DN23" s="130">
        <f t="shared" si="451"/>
        <v>22528</v>
      </c>
      <c r="DO23" s="163">
        <f t="shared" si="452"/>
        <v>2252.8000000000002</v>
      </c>
      <c r="DP23" s="625"/>
      <c r="DQ23" s="70"/>
      <c r="DR23" s="23"/>
      <c r="DS23" s="70"/>
      <c r="DT23" s="23"/>
      <c r="DU23" s="70"/>
      <c r="DV23" s="207"/>
      <c r="DW23" s="70"/>
      <c r="DX23" s="625"/>
      <c r="DY23" s="70"/>
      <c r="DZ23" s="625"/>
      <c r="EA23" s="70"/>
      <c r="EB23" s="130">
        <f t="shared" si="453"/>
        <v>0</v>
      </c>
      <c r="EC23" s="163" t="e">
        <f t="shared" si="454"/>
        <v>#DIV/0!</v>
      </c>
      <c r="ED23" s="662">
        <f t="shared" si="455"/>
        <v>192</v>
      </c>
      <c r="EE23" s="663">
        <f t="shared" si="456"/>
        <v>5.3024026512013253E-2</v>
      </c>
      <c r="EF23" s="662">
        <f t="shared" si="457"/>
        <v>-189</v>
      </c>
      <c r="EG23" s="663">
        <f t="shared" si="458"/>
        <v>-4.956726986624705E-2</v>
      </c>
      <c r="EH23" s="662">
        <f t="shared" si="459"/>
        <v>783</v>
      </c>
      <c r="EI23" s="663">
        <f t="shared" si="460"/>
        <v>0.21605960264900662</v>
      </c>
      <c r="EJ23" s="662">
        <f t="shared" si="461"/>
        <v>5195</v>
      </c>
      <c r="EK23" s="663">
        <f t="shared" si="462"/>
        <v>1.1788064442931701</v>
      </c>
      <c r="EL23" s="662">
        <f t="shared" si="463"/>
        <v>-4660</v>
      </c>
      <c r="EM23" s="663">
        <f t="shared" si="464"/>
        <v>-0.48531555925848779</v>
      </c>
      <c r="EN23" s="662">
        <f t="shared" si="465"/>
        <v>-616</v>
      </c>
      <c r="EO23" s="663">
        <f t="shared" si="466"/>
        <v>-0.12464589235127478</v>
      </c>
      <c r="EP23" s="662">
        <f t="shared" si="467"/>
        <v>843</v>
      </c>
      <c r="EQ23" s="663">
        <f t="shared" si="468"/>
        <v>0.19486823855755894</v>
      </c>
      <c r="ER23" s="662">
        <f t="shared" si="469"/>
        <v>-1529</v>
      </c>
      <c r="ES23" s="663">
        <f t="shared" si="470"/>
        <v>-0.29580189591797251</v>
      </c>
      <c r="ET23" s="662">
        <f t="shared" si="471"/>
        <v>-83</v>
      </c>
      <c r="EU23" s="663">
        <f t="shared" si="472"/>
        <v>-2.2802197802197801E-2</v>
      </c>
      <c r="EV23" s="662">
        <f t="shared" si="473"/>
        <v>-138</v>
      </c>
      <c r="EW23" s="109">
        <f t="shared" si="474"/>
        <v>-3.8796738824852406E-2</v>
      </c>
      <c r="EX23" s="662">
        <f t="shared" si="475"/>
        <v>-144</v>
      </c>
      <c r="EY23" s="663">
        <f t="shared" si="476"/>
        <v>-4.211757823925124E-2</v>
      </c>
      <c r="EZ23" s="662">
        <f t="shared" si="477"/>
        <v>368</v>
      </c>
      <c r="FA23" s="663">
        <f t="shared" si="478"/>
        <v>0.11236641221374045</v>
      </c>
      <c r="FB23" s="662">
        <f t="shared" si="479"/>
        <v>82</v>
      </c>
      <c r="FC23" s="663">
        <f t="shared" si="480"/>
        <v>2.2508921218775735E-2</v>
      </c>
      <c r="FD23" s="315">
        <f t="shared" si="481"/>
        <v>-163</v>
      </c>
      <c r="FE23" s="402">
        <f t="shared" si="482"/>
        <v>-4.3758389261744968E-2</v>
      </c>
      <c r="FF23" s="315">
        <f t="shared" si="483"/>
        <v>367</v>
      </c>
      <c r="FG23" s="402">
        <f t="shared" si="484"/>
        <v>0.10303200449185851</v>
      </c>
      <c r="FH23" s="315">
        <f t="shared" si="485"/>
        <v>6596</v>
      </c>
      <c r="FI23" s="402">
        <f t="shared" si="486"/>
        <v>1.6787986765080174</v>
      </c>
      <c r="FJ23" s="315">
        <f t="shared" si="487"/>
        <v>-7036</v>
      </c>
      <c r="FK23" s="402">
        <f t="shared" si="488"/>
        <v>-0.66850356294536817</v>
      </c>
      <c r="FL23" s="315">
        <f t="shared" si="489"/>
        <v>138</v>
      </c>
      <c r="FM23" s="402">
        <f t="shared" si="490"/>
        <v>3.9552880481513328E-2</v>
      </c>
      <c r="FN23" s="315">
        <f t="shared" si="491"/>
        <v>909</v>
      </c>
      <c r="FO23" s="402">
        <f t="shared" si="492"/>
        <v>0.25062034739454092</v>
      </c>
      <c r="FP23" s="315">
        <f t="shared" si="493"/>
        <v>-1114</v>
      </c>
      <c r="FQ23" s="402">
        <f t="shared" si="494"/>
        <v>-0.24559082892416226</v>
      </c>
      <c r="FR23" s="315">
        <f t="shared" si="495"/>
        <v>461</v>
      </c>
      <c r="FS23" s="402">
        <f t="shared" si="496"/>
        <v>0.13471654003506722</v>
      </c>
      <c r="FT23" s="315">
        <f t="shared" si="497"/>
        <v>458</v>
      </c>
      <c r="FU23" s="402">
        <f t="shared" si="498"/>
        <v>0.11795003862992531</v>
      </c>
      <c r="FV23" s="315">
        <f t="shared" si="499"/>
        <v>-1198</v>
      </c>
      <c r="FW23" s="402">
        <f t="shared" si="500"/>
        <v>-0.27597327804653304</v>
      </c>
      <c r="FX23" s="315">
        <f t="shared" si="501"/>
        <v>-82</v>
      </c>
      <c r="FY23" s="402">
        <f t="shared" si="502"/>
        <v>-2.6089723194400255E-2</v>
      </c>
      <c r="FZ23" s="315">
        <f t="shared" si="503"/>
        <v>-70</v>
      </c>
      <c r="GA23" s="402">
        <f t="shared" si="504"/>
        <v>-2.2868343678536424E-2</v>
      </c>
      <c r="GB23" s="315">
        <f t="shared" si="505"/>
        <v>-68</v>
      </c>
      <c r="GC23" s="402">
        <f t="shared" si="506"/>
        <v>-2.273487128050819E-2</v>
      </c>
      <c r="GD23" s="315">
        <f t="shared" si="507"/>
        <v>310</v>
      </c>
      <c r="GE23" s="402">
        <f t="shared" si="508"/>
        <v>0.10605542251111871</v>
      </c>
      <c r="GF23" s="315">
        <f t="shared" si="509"/>
        <v>517</v>
      </c>
      <c r="GG23" s="402">
        <f t="shared" si="510"/>
        <v>0.15991339313331271</v>
      </c>
      <c r="GH23" s="315">
        <f t="shared" si="511"/>
        <v>-367</v>
      </c>
      <c r="GI23" s="402">
        <f t="shared" si="512"/>
        <v>-9.7866666666666671E-2</v>
      </c>
      <c r="GJ23" s="315">
        <f t="shared" si="513"/>
        <v>-284</v>
      </c>
      <c r="GK23" s="402">
        <f t="shared" si="514"/>
        <v>-8.394915755246822E-2</v>
      </c>
      <c r="GL23" s="315">
        <f t="shared" si="515"/>
        <v>282</v>
      </c>
      <c r="GM23" s="402">
        <f t="shared" si="516"/>
        <v>9.0997095837366898E-2</v>
      </c>
      <c r="GN23" s="315">
        <f t="shared" si="517"/>
        <v>5</v>
      </c>
      <c r="GO23" s="402">
        <f t="shared" si="518"/>
        <v>1.4788524105294291E-3</v>
      </c>
      <c r="GP23" s="315">
        <f t="shared" si="519"/>
        <v>-237</v>
      </c>
      <c r="GQ23" s="402">
        <f t="shared" si="520"/>
        <v>-6.9994093325457765E-2</v>
      </c>
      <c r="GR23" s="315">
        <f t="shared" si="521"/>
        <v>-381</v>
      </c>
      <c r="GS23" s="402">
        <f t="shared" si="522"/>
        <v>-0.12099079072721498</v>
      </c>
      <c r="GT23" s="315">
        <f t="shared" si="523"/>
        <v>-111</v>
      </c>
      <c r="GU23" s="402">
        <f t="shared" si="524"/>
        <v>-4.0101156069364159E-2</v>
      </c>
      <c r="GV23" s="315">
        <f t="shared" si="525"/>
        <v>314</v>
      </c>
      <c r="GW23" s="402">
        <f t="shared" si="526"/>
        <v>0.11817839668799397</v>
      </c>
      <c r="GX23" s="315">
        <f t="shared" si="527"/>
        <v>-53</v>
      </c>
      <c r="GY23" s="402">
        <f t="shared" si="528"/>
        <v>-1.7839111410299563E-2</v>
      </c>
      <c r="GZ23" s="315">
        <f t="shared" si="529"/>
        <v>459</v>
      </c>
      <c r="HA23" s="402">
        <f t="shared" si="530"/>
        <v>0.1572995202193283</v>
      </c>
      <c r="HB23" s="315">
        <f t="shared" si="531"/>
        <v>-255</v>
      </c>
      <c r="HC23" s="402">
        <f t="shared" si="532"/>
        <v>-7.5510808409831209E-2</v>
      </c>
      <c r="HD23" s="315">
        <f t="shared" si="533"/>
        <v>422</v>
      </c>
      <c r="HE23" s="402">
        <f t="shared" si="534"/>
        <v>0.13516976297245356</v>
      </c>
      <c r="HF23" s="315">
        <f t="shared" si="535"/>
        <v>-698</v>
      </c>
      <c r="HG23" s="402">
        <f t="shared" si="536"/>
        <v>-0.19695259593679459</v>
      </c>
      <c r="HH23" s="315">
        <f t="shared" si="537"/>
        <v>-80</v>
      </c>
      <c r="HI23" s="402">
        <f t="shared" si="538"/>
        <v>-2.8109627547434995E-2</v>
      </c>
      <c r="HJ23" s="315">
        <f t="shared" si="539"/>
        <v>298</v>
      </c>
      <c r="HK23" s="402">
        <f t="shared" si="540"/>
        <v>0.10773680404916848</v>
      </c>
      <c r="HL23" s="315">
        <f t="shared" si="541"/>
        <v>13</v>
      </c>
      <c r="HM23" s="402">
        <f t="shared" si="542"/>
        <v>4.2428198433420369E-3</v>
      </c>
      <c r="HN23" s="315">
        <f t="shared" si="543"/>
        <v>-438</v>
      </c>
      <c r="HO23" s="402">
        <f t="shared" si="544"/>
        <v>-0.14234644133896654</v>
      </c>
      <c r="HP23" s="315">
        <f t="shared" si="545"/>
        <v>-484</v>
      </c>
      <c r="HQ23" s="402">
        <f t="shared" si="546"/>
        <v>-0.18340280409245927</v>
      </c>
      <c r="HR23" s="315">
        <f t="shared" si="547"/>
        <v>110</v>
      </c>
      <c r="HS23" s="402">
        <f t="shared" si="548"/>
        <v>5.1044083526682132E-2</v>
      </c>
      <c r="HT23" s="315">
        <f t="shared" si="549"/>
        <v>-104</v>
      </c>
      <c r="HU23" s="402">
        <f t="shared" si="550"/>
        <v>-4.5916114790286976E-2</v>
      </c>
      <c r="HV23" s="315">
        <f t="shared" si="551"/>
        <v>-41</v>
      </c>
      <c r="HW23" s="402">
        <f t="shared" si="552"/>
        <v>-1.8972697825080979E-2</v>
      </c>
      <c r="HX23" s="315">
        <f t="shared" si="553"/>
        <v>164</v>
      </c>
      <c r="HY23" s="402">
        <f t="shared" si="554"/>
        <v>7.7358490566037733E-2</v>
      </c>
      <c r="HZ23" s="315">
        <f t="shared" si="555"/>
        <v>-461</v>
      </c>
      <c r="IA23" s="402">
        <f t="shared" si="556"/>
        <v>-0.25287986834887549</v>
      </c>
      <c r="IB23" s="315">
        <f t="shared" si="557"/>
        <v>326</v>
      </c>
      <c r="IC23" s="402">
        <f t="shared" si="558"/>
        <v>0.17882611080636313</v>
      </c>
      <c r="ID23" s="315">
        <f t="shared" si="559"/>
        <v>-298</v>
      </c>
      <c r="IE23" s="402">
        <f t="shared" si="560"/>
        <v>-0.13227982954545453</v>
      </c>
      <c r="IF23" s="315">
        <f t="shared" si="561"/>
        <v>2</v>
      </c>
      <c r="IG23" s="402">
        <f t="shared" si="562"/>
        <v>1.0804970286331713E-3</v>
      </c>
      <c r="IH23" s="315">
        <f t="shared" si="563"/>
        <v>1146</v>
      </c>
      <c r="II23" s="402">
        <f t="shared" si="564"/>
        <v>0.61845655693470047</v>
      </c>
      <c r="IJ23" s="315">
        <f t="shared" si="565"/>
        <v>-212</v>
      </c>
      <c r="IK23" s="402">
        <f t="shared" si="566"/>
        <v>-7.0690230076692229E-2</v>
      </c>
      <c r="IL23" s="315">
        <f t="shared" si="567"/>
        <v>-434</v>
      </c>
      <c r="IM23" s="402">
        <f t="shared" si="568"/>
        <v>-0.15572299964119124</v>
      </c>
      <c r="IN23" s="315">
        <f t="shared" si="569"/>
        <v>-44</v>
      </c>
      <c r="IO23" s="402">
        <f t="shared" si="570"/>
        <v>-1.8699532511687208E-2</v>
      </c>
      <c r="IP23" s="315">
        <f t="shared" si="571"/>
        <v>-2309</v>
      </c>
      <c r="IQ23" s="402">
        <f t="shared" si="572"/>
        <v>-10686.865900383142</v>
      </c>
      <c r="IR23" s="315">
        <f t="shared" si="573"/>
        <v>-5193.8211935557065</v>
      </c>
      <c r="IS23" s="402">
        <f t="shared" si="574"/>
        <v>-0.9997730882686634</v>
      </c>
      <c r="IT23" s="625">
        <f t="shared" si="575"/>
        <v>2155</v>
      </c>
      <c r="IU23" s="1062">
        <f t="shared" si="576"/>
        <v>2309</v>
      </c>
      <c r="IV23" s="662">
        <f t="shared" si="577"/>
        <v>154</v>
      </c>
      <c r="IW23" s="109">
        <f t="shared" si="578"/>
        <v>7.1461716937354994E-2</v>
      </c>
      <c r="IX23" s="698"/>
      <c r="IY23" s="698"/>
      <c r="IZ23" s="698"/>
      <c r="JA23" t="str">
        <f t="shared" si="579"/>
        <v>Reported Source - Telephone</v>
      </c>
      <c r="JB23" s="262" t="e">
        <f>#REF!</f>
        <v>#REF!</v>
      </c>
      <c r="JC23" s="262" t="e">
        <f>#REF!</f>
        <v>#REF!</v>
      </c>
      <c r="JD23" s="262" t="e">
        <f>#REF!</f>
        <v>#REF!</v>
      </c>
      <c r="JE23" s="262" t="e">
        <f>#REF!</f>
        <v>#REF!</v>
      </c>
      <c r="JF23" s="262" t="e">
        <f>#REF!</f>
        <v>#REF!</v>
      </c>
      <c r="JG23" s="262" t="e">
        <f>#REF!</f>
        <v>#REF!</v>
      </c>
      <c r="JH23" s="262" t="e">
        <f>#REF!</f>
        <v>#REF!</v>
      </c>
      <c r="JI23" s="262" t="e">
        <f>#REF!</f>
        <v>#REF!</v>
      </c>
      <c r="JJ23" s="262" t="e">
        <f>#REF!</f>
        <v>#REF!</v>
      </c>
      <c r="JK23" s="262" t="e">
        <f>#REF!</f>
        <v>#REF!</v>
      </c>
      <c r="JL23" s="262" t="e">
        <f>#REF!</f>
        <v>#REF!</v>
      </c>
      <c r="JM23" s="263">
        <f t="shared" si="580"/>
        <v>3180</v>
      </c>
      <c r="JN23" s="263">
        <f t="shared" si="581"/>
        <v>3306</v>
      </c>
      <c r="JO23" s="263">
        <f t="shared" si="582"/>
        <v>2691</v>
      </c>
      <c r="JP23" s="263">
        <f t="shared" si="583"/>
        <v>6924</v>
      </c>
      <c r="JQ23" s="263">
        <f t="shared" si="584"/>
        <v>3563</v>
      </c>
      <c r="JR23" s="263">
        <f t="shared" si="585"/>
        <v>2917</v>
      </c>
      <c r="JS23" s="263">
        <f t="shared" si="586"/>
        <v>3859</v>
      </c>
      <c r="JT23" s="263">
        <f t="shared" si="587"/>
        <v>3634</v>
      </c>
      <c r="JU23" s="263">
        <f t="shared" si="588"/>
        <v>3071</v>
      </c>
      <c r="JV23" s="263">
        <f t="shared" si="589"/>
        <v>3359</v>
      </c>
      <c r="JW23" s="263">
        <f t="shared" si="590"/>
        <v>5207</v>
      </c>
      <c r="JX23" s="263">
        <f t="shared" si="591"/>
        <v>3621</v>
      </c>
      <c r="JY23" s="263">
        <f t="shared" si="592"/>
        <v>3813</v>
      </c>
      <c r="JZ23" s="263">
        <f t="shared" si="593"/>
        <v>3624</v>
      </c>
      <c r="KA23" s="263">
        <f t="shared" si="594"/>
        <v>4407</v>
      </c>
      <c r="KB23" s="263">
        <f t="shared" si="595"/>
        <v>9602</v>
      </c>
      <c r="KC23" s="263">
        <f t="shared" si="596"/>
        <v>4942</v>
      </c>
      <c r="KD23" s="263">
        <f t="shared" si="597"/>
        <v>4326</v>
      </c>
      <c r="KE23" s="263">
        <f t="shared" si="598"/>
        <v>5169</v>
      </c>
      <c r="KF23" s="263">
        <f t="shared" si="599"/>
        <v>3640</v>
      </c>
      <c r="KG23" s="263">
        <f t="shared" si="600"/>
        <v>3557</v>
      </c>
      <c r="KH23" s="263">
        <f t="shared" si="601"/>
        <v>3419</v>
      </c>
      <c r="KI23" s="263">
        <f t="shared" si="602"/>
        <v>3275</v>
      </c>
      <c r="KJ23" s="263">
        <f t="shared" si="603"/>
        <v>3643</v>
      </c>
      <c r="KK23" s="788">
        <f t="shared" si="604"/>
        <v>3725</v>
      </c>
      <c r="KL23" s="788">
        <f t="shared" si="605"/>
        <v>3562</v>
      </c>
      <c r="KM23" s="788">
        <f t="shared" si="606"/>
        <v>3929</v>
      </c>
      <c r="KN23" s="788">
        <f t="shared" si="607"/>
        <v>10525</v>
      </c>
      <c r="KO23" s="788">
        <f t="shared" si="608"/>
        <v>3489</v>
      </c>
      <c r="KP23" s="788">
        <f t="shared" si="609"/>
        <v>3627</v>
      </c>
      <c r="KQ23" s="788">
        <f t="shared" si="610"/>
        <v>4536</v>
      </c>
      <c r="KR23" s="788">
        <f t="shared" si="611"/>
        <v>3422</v>
      </c>
      <c r="KS23" s="788">
        <f t="shared" si="612"/>
        <v>3883</v>
      </c>
      <c r="KT23" s="788">
        <f t="shared" si="613"/>
        <v>4341</v>
      </c>
      <c r="KU23" s="788">
        <f t="shared" si="614"/>
        <v>3143</v>
      </c>
      <c r="KV23" s="788">
        <f t="shared" si="615"/>
        <v>3061</v>
      </c>
      <c r="KW23" s="900">
        <f t="shared" si="616"/>
        <v>2991</v>
      </c>
      <c r="KX23" s="900">
        <f t="shared" si="617"/>
        <v>2923</v>
      </c>
      <c r="KY23" s="900">
        <f t="shared" si="618"/>
        <v>3233</v>
      </c>
      <c r="KZ23" s="900">
        <f t="shared" si="619"/>
        <v>3750</v>
      </c>
      <c r="LA23" s="900">
        <f t="shared" si="620"/>
        <v>3383</v>
      </c>
      <c r="LB23" s="900">
        <f t="shared" si="621"/>
        <v>3099</v>
      </c>
      <c r="LC23" s="900">
        <f t="shared" si="622"/>
        <v>3381</v>
      </c>
      <c r="LD23" s="900">
        <f t="shared" si="623"/>
        <v>3386</v>
      </c>
      <c r="LE23" s="900">
        <f t="shared" si="624"/>
        <v>3149</v>
      </c>
      <c r="LF23" s="900">
        <f t="shared" si="625"/>
        <v>2768</v>
      </c>
      <c r="LG23" s="900">
        <f t="shared" si="626"/>
        <v>2657</v>
      </c>
      <c r="LH23" s="900">
        <f t="shared" si="627"/>
        <v>2971</v>
      </c>
      <c r="LI23" s="959">
        <f t="shared" si="628"/>
        <v>2918</v>
      </c>
      <c r="LJ23" s="959">
        <f t="shared" si="629"/>
        <v>3377</v>
      </c>
      <c r="LK23" s="959">
        <f t="shared" si="630"/>
        <v>3122</v>
      </c>
      <c r="LL23" s="959">
        <f t="shared" si="631"/>
        <v>3544</v>
      </c>
      <c r="LM23" s="959">
        <f t="shared" si="632"/>
        <v>2846</v>
      </c>
      <c r="LN23" s="959">
        <f t="shared" si="633"/>
        <v>2766</v>
      </c>
      <c r="LO23" s="959">
        <f t="shared" si="634"/>
        <v>3064</v>
      </c>
      <c r="LP23" s="959">
        <f t="shared" si="635"/>
        <v>3077</v>
      </c>
      <c r="LQ23" s="959">
        <f t="shared" si="636"/>
        <v>2639</v>
      </c>
      <c r="LR23" s="959">
        <f t="shared" si="637"/>
        <v>2155</v>
      </c>
      <c r="LS23" s="959">
        <f t="shared" si="638"/>
        <v>2265</v>
      </c>
      <c r="LT23" s="959">
        <f t="shared" si="639"/>
        <v>2161</v>
      </c>
      <c r="LU23" s="1155">
        <f t="shared" si="640"/>
        <v>2120</v>
      </c>
      <c r="LV23" s="1155">
        <f t="shared" si="641"/>
        <v>2284</v>
      </c>
      <c r="LW23" s="1155">
        <f t="shared" si="642"/>
        <v>1823</v>
      </c>
      <c r="LX23" s="1155">
        <f t="shared" si="643"/>
        <v>2149</v>
      </c>
      <c r="LY23" s="1155">
        <f t="shared" si="644"/>
        <v>1851</v>
      </c>
      <c r="LZ23" s="1155">
        <f t="shared" si="645"/>
        <v>1853</v>
      </c>
      <c r="MA23" s="1155">
        <f t="shared" si="646"/>
        <v>2999</v>
      </c>
      <c r="MB23" s="1155">
        <f t="shared" si="647"/>
        <v>2787</v>
      </c>
      <c r="MC23" s="1155">
        <f t="shared" si="648"/>
        <v>2353</v>
      </c>
      <c r="MD23" s="1155">
        <f t="shared" si="649"/>
        <v>2309</v>
      </c>
      <c r="ME23" s="1155">
        <f t="shared" si="650"/>
        <v>0</v>
      </c>
      <c r="MF23" s="1155">
        <f t="shared" si="651"/>
        <v>0</v>
      </c>
      <c r="MG23" s="1177">
        <f t="shared" si="652"/>
        <v>0</v>
      </c>
      <c r="MH23" s="1177">
        <f t="shared" si="653"/>
        <v>0</v>
      </c>
      <c r="MI23" s="1177">
        <f t="shared" si="654"/>
        <v>0</v>
      </c>
      <c r="MJ23" s="1177">
        <f t="shared" si="655"/>
        <v>0</v>
      </c>
      <c r="MK23" s="1177">
        <f t="shared" si="656"/>
        <v>0</v>
      </c>
      <c r="ML23" s="1177">
        <f t="shared" si="657"/>
        <v>0</v>
      </c>
      <c r="MM23" s="1177">
        <f t="shared" si="658"/>
        <v>0</v>
      </c>
      <c r="MN23" s="1177">
        <f t="shared" si="659"/>
        <v>0</v>
      </c>
      <c r="MO23" s="1177">
        <f t="shared" si="660"/>
        <v>0</v>
      </c>
      <c r="MP23" s="1177">
        <f t="shared" si="661"/>
        <v>0</v>
      </c>
      <c r="MQ23" s="1177">
        <f t="shared" si="662"/>
        <v>0</v>
      </c>
      <c r="MR23" s="1177">
        <f t="shared" si="662"/>
        <v>0</v>
      </c>
    </row>
    <row r="24" spans="1:356" x14ac:dyDescent="0.25">
      <c r="A24" s="764"/>
      <c r="B24" s="56"/>
      <c r="C24" s="56" t="s">
        <v>34</v>
      </c>
      <c r="D24" s="119"/>
      <c r="E24" s="1217" t="s">
        <v>39</v>
      </c>
      <c r="F24" s="1217"/>
      <c r="G24" s="1218"/>
      <c r="H24" s="368">
        <v>1595</v>
      </c>
      <c r="I24" s="70">
        <v>1574</v>
      </c>
      <c r="J24" s="23">
        <v>1736</v>
      </c>
      <c r="K24" s="70">
        <v>1449</v>
      </c>
      <c r="L24" s="23">
        <v>1565</v>
      </c>
      <c r="M24" s="70">
        <v>1344</v>
      </c>
      <c r="N24" s="23">
        <v>1550</v>
      </c>
      <c r="O24" s="70">
        <v>1931</v>
      </c>
      <c r="P24" s="23">
        <v>2071</v>
      </c>
      <c r="Q24" s="70">
        <v>1501</v>
      </c>
      <c r="R24" s="23">
        <v>1493</v>
      </c>
      <c r="S24" s="70">
        <v>1688</v>
      </c>
      <c r="T24" s="130">
        <v>19497</v>
      </c>
      <c r="U24" s="163">
        <v>1624.75</v>
      </c>
      <c r="V24" s="368">
        <v>1693</v>
      </c>
      <c r="W24" s="70">
        <v>1690</v>
      </c>
      <c r="X24" s="23">
        <v>1473</v>
      </c>
      <c r="Y24" s="70">
        <v>1709</v>
      </c>
      <c r="Z24" s="23">
        <v>1590</v>
      </c>
      <c r="AA24" s="70">
        <v>1492</v>
      </c>
      <c r="AB24" s="23">
        <v>2023</v>
      </c>
      <c r="AC24" s="70">
        <v>1854</v>
      </c>
      <c r="AD24" s="23">
        <v>1858</v>
      </c>
      <c r="AE24" s="70">
        <v>1797</v>
      </c>
      <c r="AF24" s="23">
        <v>1765</v>
      </c>
      <c r="AG24" s="70">
        <v>1898</v>
      </c>
      <c r="AH24" s="130">
        <v>20842</v>
      </c>
      <c r="AI24" s="163">
        <v>1736.8333333333333</v>
      </c>
      <c r="AJ24" s="368">
        <v>2383</v>
      </c>
      <c r="AK24" s="70">
        <v>2223</v>
      </c>
      <c r="AL24" s="23">
        <v>1710</v>
      </c>
      <c r="AM24" s="70">
        <v>1264</v>
      </c>
      <c r="AN24" s="23">
        <v>1557</v>
      </c>
      <c r="AO24" s="70">
        <v>1529</v>
      </c>
      <c r="AP24" s="625">
        <v>2127</v>
      </c>
      <c r="AQ24" s="70">
        <v>2072</v>
      </c>
      <c r="AR24" s="625">
        <v>1740</v>
      </c>
      <c r="AS24" s="70">
        <v>1795</v>
      </c>
      <c r="AT24" s="625">
        <v>1738</v>
      </c>
      <c r="AU24" s="70">
        <v>1531</v>
      </c>
      <c r="AV24" s="130">
        <f t="shared" si="416"/>
        <v>21669</v>
      </c>
      <c r="AW24" s="163">
        <f t="shared" si="417"/>
        <v>1805.75</v>
      </c>
      <c r="AX24" s="368">
        <v>1908</v>
      </c>
      <c r="AY24" s="70">
        <v>2096</v>
      </c>
      <c r="AZ24" s="23">
        <v>1992</v>
      </c>
      <c r="BA24" s="70">
        <v>2861</v>
      </c>
      <c r="BB24" s="23">
        <v>2327</v>
      </c>
      <c r="BC24" s="70">
        <v>2180</v>
      </c>
      <c r="BD24" s="625">
        <v>2454</v>
      </c>
      <c r="BE24" s="70">
        <v>2317</v>
      </c>
      <c r="BF24" s="625">
        <v>2388</v>
      </c>
      <c r="BG24" s="70">
        <v>2132</v>
      </c>
      <c r="BH24" s="625">
        <v>2451</v>
      </c>
      <c r="BI24" s="70">
        <v>2759</v>
      </c>
      <c r="BJ24" s="130">
        <f t="shared" si="420"/>
        <v>27865</v>
      </c>
      <c r="BK24" s="163">
        <f t="shared" si="421"/>
        <v>2322.0833333333335</v>
      </c>
      <c r="BL24" s="368">
        <v>3023</v>
      </c>
      <c r="BM24" s="70">
        <v>2547</v>
      </c>
      <c r="BN24" s="23">
        <v>2672</v>
      </c>
      <c r="BO24" s="70">
        <v>2874</v>
      </c>
      <c r="BP24" s="23">
        <v>2545</v>
      </c>
      <c r="BQ24" s="70">
        <v>2640</v>
      </c>
      <c r="BR24" s="625">
        <v>3532</v>
      </c>
      <c r="BS24" s="70">
        <v>2974</v>
      </c>
      <c r="BT24" s="625">
        <v>3461</v>
      </c>
      <c r="BU24" s="625">
        <v>2940</v>
      </c>
      <c r="BV24" s="625">
        <v>2592</v>
      </c>
      <c r="BW24" s="625">
        <v>3365</v>
      </c>
      <c r="BX24" s="130">
        <f t="shared" si="428"/>
        <v>35165</v>
      </c>
      <c r="BY24" s="163">
        <f t="shared" si="429"/>
        <v>2930.4166666666665</v>
      </c>
      <c r="BZ24" s="625">
        <v>3694</v>
      </c>
      <c r="CA24" s="70">
        <v>3108</v>
      </c>
      <c r="CB24" s="23">
        <v>2787</v>
      </c>
      <c r="CC24" s="70">
        <v>2778</v>
      </c>
      <c r="CD24" s="23">
        <v>2599</v>
      </c>
      <c r="CE24" s="70">
        <v>2658</v>
      </c>
      <c r="CF24" s="625">
        <v>2890</v>
      </c>
      <c r="CG24" s="70">
        <v>3520</v>
      </c>
      <c r="CH24" s="625">
        <v>3208</v>
      </c>
      <c r="CI24" s="625">
        <v>2580</v>
      </c>
      <c r="CJ24" s="625">
        <v>2430</v>
      </c>
      <c r="CK24" s="625">
        <v>2848</v>
      </c>
      <c r="CL24" s="130">
        <f t="shared" si="436"/>
        <v>35100</v>
      </c>
      <c r="CM24" s="163">
        <f t="shared" si="437"/>
        <v>2925</v>
      </c>
      <c r="CN24" s="625">
        <v>3022</v>
      </c>
      <c r="CO24" s="70">
        <v>2927</v>
      </c>
      <c r="CP24" s="23">
        <v>2357</v>
      </c>
      <c r="CQ24" s="70">
        <v>2449</v>
      </c>
      <c r="CR24" s="23">
        <v>2472</v>
      </c>
      <c r="CS24" s="70">
        <v>2610</v>
      </c>
      <c r="CT24" s="207">
        <v>3166</v>
      </c>
      <c r="CU24" s="70">
        <v>2858</v>
      </c>
      <c r="CV24" s="625">
        <v>2692</v>
      </c>
      <c r="CW24" s="1062">
        <v>2091</v>
      </c>
      <c r="CX24" s="625">
        <v>2515</v>
      </c>
      <c r="CY24" s="70">
        <v>2544</v>
      </c>
      <c r="CZ24" s="130">
        <f t="shared" si="444"/>
        <v>31703</v>
      </c>
      <c r="DA24" s="163">
        <f t="shared" si="445"/>
        <v>2641.9166666666665</v>
      </c>
      <c r="DB24" s="625">
        <v>2420</v>
      </c>
      <c r="DC24" s="70">
        <v>2809</v>
      </c>
      <c r="DD24" s="23">
        <v>2372</v>
      </c>
      <c r="DE24" s="70">
        <v>2381</v>
      </c>
      <c r="DF24" s="23">
        <v>2265</v>
      </c>
      <c r="DG24" s="70">
        <v>2026</v>
      </c>
      <c r="DH24" s="207">
        <v>2960</v>
      </c>
      <c r="DI24" s="70">
        <v>2759</v>
      </c>
      <c r="DJ24" s="625">
        <v>2911</v>
      </c>
      <c r="DK24" s="70">
        <v>2708</v>
      </c>
      <c r="DL24" s="625"/>
      <c r="DM24" s="70"/>
      <c r="DN24" s="130">
        <f t="shared" si="451"/>
        <v>25611</v>
      </c>
      <c r="DO24" s="163">
        <f t="shared" si="452"/>
        <v>2561.1</v>
      </c>
      <c r="DP24" s="625"/>
      <c r="DQ24" s="70"/>
      <c r="DR24" s="23"/>
      <c r="DS24" s="70"/>
      <c r="DT24" s="23"/>
      <c r="DU24" s="70"/>
      <c r="DV24" s="207"/>
      <c r="DW24" s="70"/>
      <c r="DX24" s="625"/>
      <c r="DY24" s="70"/>
      <c r="DZ24" s="625"/>
      <c r="EA24" s="70"/>
      <c r="EB24" s="130">
        <f t="shared" si="453"/>
        <v>0</v>
      </c>
      <c r="EC24" s="163" t="e">
        <f t="shared" si="454"/>
        <v>#DIV/0!</v>
      </c>
      <c r="ED24" s="662">
        <f t="shared" si="455"/>
        <v>377</v>
      </c>
      <c r="EE24" s="663">
        <f t="shared" si="456"/>
        <v>0.24624428478118876</v>
      </c>
      <c r="EF24" s="662">
        <f t="shared" si="457"/>
        <v>188</v>
      </c>
      <c r="EG24" s="663">
        <f t="shared" si="458"/>
        <v>9.853249475890985E-2</v>
      </c>
      <c r="EH24" s="662">
        <f t="shared" si="459"/>
        <v>-104</v>
      </c>
      <c r="EI24" s="663">
        <f t="shared" si="460"/>
        <v>-4.9618320610687022E-2</v>
      </c>
      <c r="EJ24" s="662">
        <f t="shared" si="461"/>
        <v>869</v>
      </c>
      <c r="EK24" s="663">
        <f t="shared" si="462"/>
        <v>0.4362449799196787</v>
      </c>
      <c r="EL24" s="662">
        <f t="shared" si="463"/>
        <v>-534</v>
      </c>
      <c r="EM24" s="663">
        <f t="shared" si="464"/>
        <v>-0.18664802516602585</v>
      </c>
      <c r="EN24" s="662">
        <f t="shared" si="465"/>
        <v>-147</v>
      </c>
      <c r="EO24" s="663">
        <f t="shared" si="466"/>
        <v>-6.3171465406102273E-2</v>
      </c>
      <c r="EP24" s="662">
        <f t="shared" si="467"/>
        <v>274</v>
      </c>
      <c r="EQ24" s="663">
        <f t="shared" si="468"/>
        <v>0.12568807339449542</v>
      </c>
      <c r="ER24" s="662">
        <f t="shared" si="469"/>
        <v>-137</v>
      </c>
      <c r="ES24" s="663">
        <f t="shared" si="470"/>
        <v>-5.5827220863895681E-2</v>
      </c>
      <c r="ET24" s="662">
        <f t="shared" si="471"/>
        <v>71</v>
      </c>
      <c r="EU24" s="663">
        <f t="shared" si="472"/>
        <v>3.0643072939145446E-2</v>
      </c>
      <c r="EV24" s="662">
        <f t="shared" si="473"/>
        <v>-256</v>
      </c>
      <c r="EW24" s="109">
        <f t="shared" si="474"/>
        <v>-0.10720268006700168</v>
      </c>
      <c r="EX24" s="662">
        <f t="shared" si="475"/>
        <v>319</v>
      </c>
      <c r="EY24" s="663">
        <f t="shared" si="476"/>
        <v>0.14962476547842402</v>
      </c>
      <c r="EZ24" s="662">
        <f t="shared" si="477"/>
        <v>308</v>
      </c>
      <c r="FA24" s="663">
        <f t="shared" si="478"/>
        <v>0.12566299469604242</v>
      </c>
      <c r="FB24" s="662">
        <f t="shared" si="479"/>
        <v>264</v>
      </c>
      <c r="FC24" s="663">
        <f t="shared" si="480"/>
        <v>9.5686843059079374E-2</v>
      </c>
      <c r="FD24" s="315">
        <f t="shared" si="481"/>
        <v>-476</v>
      </c>
      <c r="FE24" s="402">
        <f t="shared" si="482"/>
        <v>-0.15745947734039034</v>
      </c>
      <c r="FF24" s="315">
        <f t="shared" si="483"/>
        <v>125</v>
      </c>
      <c r="FG24" s="402">
        <f t="shared" si="484"/>
        <v>4.9077345897133882E-2</v>
      </c>
      <c r="FH24" s="315">
        <f t="shared" si="485"/>
        <v>202</v>
      </c>
      <c r="FI24" s="402">
        <f t="shared" si="486"/>
        <v>7.559880239520958E-2</v>
      </c>
      <c r="FJ24" s="315">
        <f t="shared" si="487"/>
        <v>-329</v>
      </c>
      <c r="FK24" s="402">
        <f t="shared" si="488"/>
        <v>-0.11447459986082116</v>
      </c>
      <c r="FL24" s="315">
        <f t="shared" si="489"/>
        <v>95</v>
      </c>
      <c r="FM24" s="402">
        <f t="shared" si="490"/>
        <v>3.732809430255403E-2</v>
      </c>
      <c r="FN24" s="315">
        <f t="shared" si="491"/>
        <v>892</v>
      </c>
      <c r="FO24" s="402">
        <f t="shared" si="492"/>
        <v>0.33787878787878789</v>
      </c>
      <c r="FP24" s="315">
        <f t="shared" si="493"/>
        <v>-558</v>
      </c>
      <c r="FQ24" s="402">
        <f t="shared" si="494"/>
        <v>-0.15798414496036239</v>
      </c>
      <c r="FR24" s="315">
        <f t="shared" si="495"/>
        <v>487</v>
      </c>
      <c r="FS24" s="402">
        <f t="shared" si="496"/>
        <v>0.16375252185608608</v>
      </c>
      <c r="FT24" s="315">
        <f t="shared" si="497"/>
        <v>-521</v>
      </c>
      <c r="FU24" s="402">
        <f t="shared" si="498"/>
        <v>-0.15053452759318117</v>
      </c>
      <c r="FV24" s="315">
        <f t="shared" si="499"/>
        <v>-348</v>
      </c>
      <c r="FW24" s="402">
        <f t="shared" si="500"/>
        <v>-0.11836734693877551</v>
      </c>
      <c r="FX24" s="315">
        <f t="shared" si="501"/>
        <v>773</v>
      </c>
      <c r="FY24" s="402">
        <f t="shared" si="502"/>
        <v>0.29822530864197533</v>
      </c>
      <c r="FZ24" s="315">
        <f t="shared" si="503"/>
        <v>329</v>
      </c>
      <c r="GA24" s="402">
        <f t="shared" si="504"/>
        <v>9.7771173848439821E-2</v>
      </c>
      <c r="GB24" s="315">
        <f t="shared" si="505"/>
        <v>-586</v>
      </c>
      <c r="GC24" s="402">
        <f t="shared" si="506"/>
        <v>-0.15863562533838657</v>
      </c>
      <c r="GD24" s="315">
        <f t="shared" si="507"/>
        <v>-321</v>
      </c>
      <c r="GE24" s="402">
        <f t="shared" si="508"/>
        <v>-0.10328185328185328</v>
      </c>
      <c r="GF24" s="315">
        <f t="shared" si="509"/>
        <v>-9</v>
      </c>
      <c r="GG24" s="402">
        <f t="shared" si="510"/>
        <v>-3.2292787944025836E-3</v>
      </c>
      <c r="GH24" s="315">
        <f t="shared" si="511"/>
        <v>-179</v>
      </c>
      <c r="GI24" s="402">
        <f t="shared" si="512"/>
        <v>-6.4434845212383005E-2</v>
      </c>
      <c r="GJ24" s="315">
        <f t="shared" si="513"/>
        <v>59</v>
      </c>
      <c r="GK24" s="402">
        <f t="shared" si="514"/>
        <v>2.2701038861100423E-2</v>
      </c>
      <c r="GL24" s="315">
        <f t="shared" si="515"/>
        <v>232</v>
      </c>
      <c r="GM24" s="402">
        <f t="shared" si="516"/>
        <v>8.7283671933784807E-2</v>
      </c>
      <c r="GN24" s="315">
        <f t="shared" si="517"/>
        <v>630</v>
      </c>
      <c r="GO24" s="402">
        <f t="shared" si="518"/>
        <v>0.2179930795847751</v>
      </c>
      <c r="GP24" s="315">
        <f t="shared" si="519"/>
        <v>-312</v>
      </c>
      <c r="GQ24" s="402">
        <f t="shared" si="520"/>
        <v>-8.8636363636363638E-2</v>
      </c>
      <c r="GR24" s="315">
        <f t="shared" si="521"/>
        <v>-628</v>
      </c>
      <c r="GS24" s="402">
        <f t="shared" si="522"/>
        <v>-0.19576059850374064</v>
      </c>
      <c r="GT24" s="315">
        <f t="shared" si="523"/>
        <v>-150</v>
      </c>
      <c r="GU24" s="402">
        <f t="shared" si="524"/>
        <v>-5.8139534883720929E-2</v>
      </c>
      <c r="GV24" s="315">
        <f t="shared" si="525"/>
        <v>418</v>
      </c>
      <c r="GW24" s="402">
        <f t="shared" si="526"/>
        <v>0.17201646090534981</v>
      </c>
      <c r="GX24" s="315">
        <f t="shared" si="527"/>
        <v>174</v>
      </c>
      <c r="GY24" s="402">
        <f t="shared" si="528"/>
        <v>6.1095505617977525E-2</v>
      </c>
      <c r="GZ24" s="315">
        <f t="shared" si="529"/>
        <v>-95</v>
      </c>
      <c r="HA24" s="402">
        <f t="shared" si="530"/>
        <v>-3.1436135009927202E-2</v>
      </c>
      <c r="HB24" s="315">
        <f t="shared" si="531"/>
        <v>-570</v>
      </c>
      <c r="HC24" s="402">
        <f t="shared" si="532"/>
        <v>-0.19473864024598564</v>
      </c>
      <c r="HD24" s="315">
        <f t="shared" si="533"/>
        <v>92</v>
      </c>
      <c r="HE24" s="402">
        <f t="shared" si="534"/>
        <v>3.903266864658464E-2</v>
      </c>
      <c r="HF24" s="315">
        <f t="shared" si="535"/>
        <v>23</v>
      </c>
      <c r="HG24" s="402">
        <f t="shared" si="536"/>
        <v>9.391588403429971E-3</v>
      </c>
      <c r="HH24" s="315">
        <f t="shared" si="537"/>
        <v>138</v>
      </c>
      <c r="HI24" s="402">
        <f t="shared" si="538"/>
        <v>5.5825242718446605E-2</v>
      </c>
      <c r="HJ24" s="315">
        <f t="shared" si="539"/>
        <v>556</v>
      </c>
      <c r="HK24" s="402">
        <f t="shared" si="540"/>
        <v>0.21302681992337164</v>
      </c>
      <c r="HL24" s="315">
        <f t="shared" si="541"/>
        <v>-308</v>
      </c>
      <c r="HM24" s="402">
        <f t="shared" si="542"/>
        <v>-9.7283638660770694E-2</v>
      </c>
      <c r="HN24" s="315">
        <f t="shared" si="543"/>
        <v>-166</v>
      </c>
      <c r="HO24" s="402">
        <f t="shared" si="544"/>
        <v>-5.8082575227431772E-2</v>
      </c>
      <c r="HP24" s="315">
        <f t="shared" si="545"/>
        <v>-601</v>
      </c>
      <c r="HQ24" s="402">
        <f t="shared" si="546"/>
        <v>-0.22325408618127787</v>
      </c>
      <c r="HR24" s="315">
        <f t="shared" si="547"/>
        <v>424</v>
      </c>
      <c r="HS24" s="402">
        <f t="shared" si="548"/>
        <v>0.20277379244380678</v>
      </c>
      <c r="HT24" s="315">
        <f t="shared" si="549"/>
        <v>29</v>
      </c>
      <c r="HU24" s="402">
        <f t="shared" si="550"/>
        <v>1.1530815109343936E-2</v>
      </c>
      <c r="HV24" s="315">
        <f t="shared" si="551"/>
        <v>-124</v>
      </c>
      <c r="HW24" s="402">
        <f t="shared" si="552"/>
        <v>-4.8742138364779877E-2</v>
      </c>
      <c r="HX24" s="315">
        <f t="shared" si="553"/>
        <v>389</v>
      </c>
      <c r="HY24" s="402">
        <f t="shared" si="554"/>
        <v>0.16074380165289257</v>
      </c>
      <c r="HZ24" s="315">
        <f t="shared" si="555"/>
        <v>-437</v>
      </c>
      <c r="IA24" s="402">
        <f t="shared" si="556"/>
        <v>-0.18423271500843169</v>
      </c>
      <c r="IB24" s="315">
        <f t="shared" si="557"/>
        <v>9</v>
      </c>
      <c r="IC24" s="402">
        <f t="shared" si="558"/>
        <v>3.7942664418212477E-3</v>
      </c>
      <c r="ID24" s="315">
        <f t="shared" si="559"/>
        <v>-116</v>
      </c>
      <c r="IE24" s="402">
        <f t="shared" si="560"/>
        <v>-4.5293038147670925E-2</v>
      </c>
      <c r="IF24" s="315">
        <f t="shared" si="561"/>
        <v>-239</v>
      </c>
      <c r="IG24" s="402">
        <f t="shared" si="562"/>
        <v>-0.1055187637969095</v>
      </c>
      <c r="IH24" s="315">
        <f t="shared" si="563"/>
        <v>934</v>
      </c>
      <c r="II24" s="402">
        <f t="shared" si="564"/>
        <v>0.46100691016781836</v>
      </c>
      <c r="IJ24" s="315">
        <f t="shared" si="565"/>
        <v>-201</v>
      </c>
      <c r="IK24" s="402">
        <f t="shared" si="566"/>
        <v>-6.7905405405405406E-2</v>
      </c>
      <c r="IL24" s="315">
        <f t="shared" si="567"/>
        <v>152</v>
      </c>
      <c r="IM24" s="402">
        <f t="shared" si="568"/>
        <v>5.5092424791591155E-2</v>
      </c>
      <c r="IN24" s="315">
        <f t="shared" si="569"/>
        <v>-203</v>
      </c>
      <c r="IO24" s="402">
        <f t="shared" si="570"/>
        <v>-6.9735486087255244E-2</v>
      </c>
      <c r="IP24" s="315">
        <f t="shared" si="571"/>
        <v>-2708</v>
      </c>
      <c r="IQ24" s="402">
        <f t="shared" si="572"/>
        <v>54576.615384615383</v>
      </c>
      <c r="IR24" s="315">
        <f t="shared" si="573"/>
        <v>-868.56375502008029</v>
      </c>
      <c r="IS24" s="402">
        <f t="shared" si="574"/>
        <v>-0.99949799196787148</v>
      </c>
      <c r="IT24" s="625">
        <f t="shared" si="575"/>
        <v>2091</v>
      </c>
      <c r="IU24" s="1062">
        <f t="shared" si="576"/>
        <v>2708</v>
      </c>
      <c r="IV24" s="662">
        <f t="shared" si="577"/>
        <v>617</v>
      </c>
      <c r="IW24" s="109">
        <f t="shared" si="578"/>
        <v>0.29507412721186033</v>
      </c>
      <c r="IX24" s="698"/>
      <c r="IY24" s="698"/>
      <c r="IZ24" s="698"/>
      <c r="JA24" t="str">
        <f t="shared" si="579"/>
        <v>Reported Source - Email</v>
      </c>
      <c r="JB24" s="262" t="e">
        <f>#REF!</f>
        <v>#REF!</v>
      </c>
      <c r="JC24" s="262" t="e">
        <f>#REF!</f>
        <v>#REF!</v>
      </c>
      <c r="JD24" s="262" t="e">
        <f>#REF!</f>
        <v>#REF!</v>
      </c>
      <c r="JE24" s="262" t="e">
        <f>#REF!</f>
        <v>#REF!</v>
      </c>
      <c r="JF24" s="262" t="e">
        <f>#REF!</f>
        <v>#REF!</v>
      </c>
      <c r="JG24" s="262" t="e">
        <f>#REF!</f>
        <v>#REF!</v>
      </c>
      <c r="JH24" s="262" t="e">
        <f>#REF!</f>
        <v>#REF!</v>
      </c>
      <c r="JI24" s="262" t="e">
        <f>#REF!</f>
        <v>#REF!</v>
      </c>
      <c r="JJ24" s="262" t="e">
        <f>#REF!</f>
        <v>#REF!</v>
      </c>
      <c r="JK24" s="262" t="e">
        <f>#REF!</f>
        <v>#REF!</v>
      </c>
      <c r="JL24" s="262" t="e">
        <f>#REF!</f>
        <v>#REF!</v>
      </c>
      <c r="JM24" s="263">
        <f t="shared" si="580"/>
        <v>2383</v>
      </c>
      <c r="JN24" s="263">
        <f t="shared" si="581"/>
        <v>2223</v>
      </c>
      <c r="JO24" s="263">
        <f t="shared" si="582"/>
        <v>1710</v>
      </c>
      <c r="JP24" s="263">
        <f t="shared" si="583"/>
        <v>1264</v>
      </c>
      <c r="JQ24" s="263">
        <f t="shared" si="584"/>
        <v>1557</v>
      </c>
      <c r="JR24" s="263">
        <f t="shared" si="585"/>
        <v>1529</v>
      </c>
      <c r="JS24" s="263">
        <f t="shared" si="586"/>
        <v>2127</v>
      </c>
      <c r="JT24" s="263">
        <f t="shared" si="587"/>
        <v>2072</v>
      </c>
      <c r="JU24" s="263">
        <f t="shared" si="588"/>
        <v>1740</v>
      </c>
      <c r="JV24" s="263">
        <f t="shared" si="589"/>
        <v>1795</v>
      </c>
      <c r="JW24" s="263">
        <f t="shared" si="590"/>
        <v>1738</v>
      </c>
      <c r="JX24" s="263">
        <f t="shared" si="591"/>
        <v>1531</v>
      </c>
      <c r="JY24" s="263">
        <f t="shared" si="592"/>
        <v>1908</v>
      </c>
      <c r="JZ24" s="263">
        <f t="shared" si="593"/>
        <v>2096</v>
      </c>
      <c r="KA24" s="263">
        <f t="shared" si="594"/>
        <v>1992</v>
      </c>
      <c r="KB24" s="263">
        <f t="shared" si="595"/>
        <v>2861</v>
      </c>
      <c r="KC24" s="263">
        <f t="shared" si="596"/>
        <v>2327</v>
      </c>
      <c r="KD24" s="263">
        <f t="shared" si="597"/>
        <v>2180</v>
      </c>
      <c r="KE24" s="263">
        <f t="shared" si="598"/>
        <v>2454</v>
      </c>
      <c r="KF24" s="263">
        <f t="shared" si="599"/>
        <v>2317</v>
      </c>
      <c r="KG24" s="263">
        <f t="shared" si="600"/>
        <v>2388</v>
      </c>
      <c r="KH24" s="263">
        <f t="shared" si="601"/>
        <v>2132</v>
      </c>
      <c r="KI24" s="263">
        <f t="shared" si="602"/>
        <v>2451</v>
      </c>
      <c r="KJ24" s="263">
        <f t="shared" si="603"/>
        <v>2759</v>
      </c>
      <c r="KK24" s="788">
        <f t="shared" si="604"/>
        <v>3023</v>
      </c>
      <c r="KL24" s="788">
        <f t="shared" si="605"/>
        <v>2547</v>
      </c>
      <c r="KM24" s="788">
        <f t="shared" si="606"/>
        <v>2672</v>
      </c>
      <c r="KN24" s="788">
        <f t="shared" si="607"/>
        <v>2874</v>
      </c>
      <c r="KO24" s="788">
        <f t="shared" si="608"/>
        <v>2545</v>
      </c>
      <c r="KP24" s="788">
        <f t="shared" si="609"/>
        <v>2640</v>
      </c>
      <c r="KQ24" s="788">
        <f t="shared" si="610"/>
        <v>3532</v>
      </c>
      <c r="KR24" s="788">
        <f t="shared" si="611"/>
        <v>2974</v>
      </c>
      <c r="KS24" s="788">
        <f t="shared" si="612"/>
        <v>3461</v>
      </c>
      <c r="KT24" s="788">
        <f t="shared" si="613"/>
        <v>2940</v>
      </c>
      <c r="KU24" s="788">
        <f t="shared" si="614"/>
        <v>2592</v>
      </c>
      <c r="KV24" s="788">
        <f t="shared" si="615"/>
        <v>3365</v>
      </c>
      <c r="KW24" s="900">
        <f t="shared" si="616"/>
        <v>3694</v>
      </c>
      <c r="KX24" s="900">
        <f t="shared" si="617"/>
        <v>3108</v>
      </c>
      <c r="KY24" s="900">
        <f t="shared" si="618"/>
        <v>2787</v>
      </c>
      <c r="KZ24" s="900">
        <f t="shared" si="619"/>
        <v>2778</v>
      </c>
      <c r="LA24" s="900">
        <f t="shared" si="620"/>
        <v>2599</v>
      </c>
      <c r="LB24" s="900">
        <f t="shared" si="621"/>
        <v>2658</v>
      </c>
      <c r="LC24" s="900">
        <f t="shared" si="622"/>
        <v>2890</v>
      </c>
      <c r="LD24" s="900">
        <f t="shared" si="623"/>
        <v>3520</v>
      </c>
      <c r="LE24" s="900">
        <f t="shared" si="624"/>
        <v>3208</v>
      </c>
      <c r="LF24" s="900">
        <f t="shared" si="625"/>
        <v>2580</v>
      </c>
      <c r="LG24" s="900">
        <f t="shared" si="626"/>
        <v>2430</v>
      </c>
      <c r="LH24" s="900">
        <f t="shared" si="627"/>
        <v>2848</v>
      </c>
      <c r="LI24" s="959">
        <f t="shared" si="628"/>
        <v>3022</v>
      </c>
      <c r="LJ24" s="959">
        <f t="shared" si="629"/>
        <v>2927</v>
      </c>
      <c r="LK24" s="959">
        <f t="shared" si="630"/>
        <v>2357</v>
      </c>
      <c r="LL24" s="959">
        <f t="shared" si="631"/>
        <v>2449</v>
      </c>
      <c r="LM24" s="959">
        <f t="shared" si="632"/>
        <v>2472</v>
      </c>
      <c r="LN24" s="959">
        <f t="shared" si="633"/>
        <v>2610</v>
      </c>
      <c r="LO24" s="959">
        <f t="shared" si="634"/>
        <v>3166</v>
      </c>
      <c r="LP24" s="959">
        <f t="shared" si="635"/>
        <v>2858</v>
      </c>
      <c r="LQ24" s="959">
        <f t="shared" si="636"/>
        <v>2692</v>
      </c>
      <c r="LR24" s="959">
        <f t="shared" si="637"/>
        <v>2091</v>
      </c>
      <c r="LS24" s="959">
        <f t="shared" si="638"/>
        <v>2515</v>
      </c>
      <c r="LT24" s="959">
        <f t="shared" si="639"/>
        <v>2544</v>
      </c>
      <c r="LU24" s="1155">
        <f t="shared" si="640"/>
        <v>2420</v>
      </c>
      <c r="LV24" s="1155">
        <f t="shared" si="641"/>
        <v>2809</v>
      </c>
      <c r="LW24" s="1155">
        <f t="shared" si="642"/>
        <v>2372</v>
      </c>
      <c r="LX24" s="1155">
        <f t="shared" si="643"/>
        <v>2381</v>
      </c>
      <c r="LY24" s="1155">
        <f t="shared" si="644"/>
        <v>2265</v>
      </c>
      <c r="LZ24" s="1155">
        <f t="shared" si="645"/>
        <v>2026</v>
      </c>
      <c r="MA24" s="1155">
        <f t="shared" si="646"/>
        <v>2960</v>
      </c>
      <c r="MB24" s="1155">
        <f t="shared" si="647"/>
        <v>2759</v>
      </c>
      <c r="MC24" s="1155">
        <f t="shared" si="648"/>
        <v>2911</v>
      </c>
      <c r="MD24" s="1155">
        <f t="shared" si="649"/>
        <v>2708</v>
      </c>
      <c r="ME24" s="1155">
        <f t="shared" si="650"/>
        <v>0</v>
      </c>
      <c r="MF24" s="1155">
        <f t="shared" si="651"/>
        <v>0</v>
      </c>
      <c r="MG24" s="1177">
        <f t="shared" si="652"/>
        <v>0</v>
      </c>
      <c r="MH24" s="1177">
        <f t="shared" si="653"/>
        <v>0</v>
      </c>
      <c r="MI24" s="1177">
        <f t="shared" si="654"/>
        <v>0</v>
      </c>
      <c r="MJ24" s="1177">
        <f t="shared" si="655"/>
        <v>0</v>
      </c>
      <c r="MK24" s="1177">
        <f t="shared" si="656"/>
        <v>0</v>
      </c>
      <c r="ML24" s="1177">
        <f t="shared" si="657"/>
        <v>0</v>
      </c>
      <c r="MM24" s="1177">
        <f t="shared" si="658"/>
        <v>0</v>
      </c>
      <c r="MN24" s="1177">
        <f t="shared" si="659"/>
        <v>0</v>
      </c>
      <c r="MO24" s="1177">
        <f t="shared" si="660"/>
        <v>0</v>
      </c>
      <c r="MP24" s="1177">
        <f t="shared" si="661"/>
        <v>0</v>
      </c>
      <c r="MQ24" s="1177">
        <f t="shared" si="662"/>
        <v>0</v>
      </c>
      <c r="MR24" s="1177">
        <f t="shared" si="662"/>
        <v>0</v>
      </c>
    </row>
    <row r="25" spans="1:356" x14ac:dyDescent="0.25">
      <c r="A25" s="764"/>
      <c r="B25" s="56"/>
      <c r="C25" s="56" t="s">
        <v>35</v>
      </c>
      <c r="D25" s="119"/>
      <c r="E25" s="1217" t="s">
        <v>40</v>
      </c>
      <c r="F25" s="1217"/>
      <c r="G25" s="1218"/>
      <c r="H25" s="368">
        <v>1183</v>
      </c>
      <c r="I25" s="70">
        <v>1071</v>
      </c>
      <c r="J25" s="23">
        <v>1200</v>
      </c>
      <c r="K25" s="70">
        <v>3933</v>
      </c>
      <c r="L25" s="23">
        <v>1414</v>
      </c>
      <c r="M25" s="70">
        <v>771</v>
      </c>
      <c r="N25" s="23">
        <v>840</v>
      </c>
      <c r="O25" s="70">
        <v>828</v>
      </c>
      <c r="P25" s="23">
        <v>831</v>
      </c>
      <c r="Q25" s="70">
        <v>540</v>
      </c>
      <c r="R25" s="23">
        <v>1065</v>
      </c>
      <c r="S25" s="70">
        <v>1281</v>
      </c>
      <c r="T25" s="130">
        <v>14957</v>
      </c>
      <c r="U25" s="163">
        <v>1246.4166666666667</v>
      </c>
      <c r="V25" s="368">
        <v>958</v>
      </c>
      <c r="W25" s="70">
        <v>506</v>
      </c>
      <c r="X25" s="23">
        <v>463</v>
      </c>
      <c r="Y25" s="70">
        <v>784</v>
      </c>
      <c r="Z25" s="23">
        <v>581</v>
      </c>
      <c r="AA25" s="70">
        <v>466</v>
      </c>
      <c r="AB25" s="23">
        <v>505</v>
      </c>
      <c r="AC25" s="70">
        <v>521</v>
      </c>
      <c r="AD25" s="23">
        <v>545</v>
      </c>
      <c r="AE25" s="70">
        <v>411</v>
      </c>
      <c r="AF25" s="23">
        <v>511</v>
      </c>
      <c r="AG25" s="70">
        <v>508</v>
      </c>
      <c r="AH25" s="130">
        <v>6759</v>
      </c>
      <c r="AI25" s="163">
        <v>563.25</v>
      </c>
      <c r="AJ25" s="368">
        <v>538</v>
      </c>
      <c r="AK25" s="70">
        <v>516</v>
      </c>
      <c r="AL25" s="23">
        <v>450</v>
      </c>
      <c r="AM25" s="70">
        <v>461</v>
      </c>
      <c r="AN25" s="23">
        <v>502</v>
      </c>
      <c r="AO25" s="70">
        <v>540</v>
      </c>
      <c r="AP25" s="625">
        <v>893</v>
      </c>
      <c r="AQ25" s="70">
        <v>646</v>
      </c>
      <c r="AR25" s="625">
        <v>658</v>
      </c>
      <c r="AS25" s="70">
        <v>704</v>
      </c>
      <c r="AT25" s="625">
        <v>609</v>
      </c>
      <c r="AU25" s="70">
        <v>626</v>
      </c>
      <c r="AV25" s="130">
        <f t="shared" si="416"/>
        <v>7143</v>
      </c>
      <c r="AW25" s="163">
        <f t="shared" si="417"/>
        <v>595.25</v>
      </c>
      <c r="AX25" s="368">
        <v>539</v>
      </c>
      <c r="AY25" s="70">
        <v>548</v>
      </c>
      <c r="AZ25" s="23">
        <v>520</v>
      </c>
      <c r="BA25" s="70">
        <v>486</v>
      </c>
      <c r="BB25" s="23">
        <v>564</v>
      </c>
      <c r="BC25" s="70">
        <v>483</v>
      </c>
      <c r="BD25" s="625">
        <v>338</v>
      </c>
      <c r="BE25" s="70">
        <v>296</v>
      </c>
      <c r="BF25" s="625">
        <v>335</v>
      </c>
      <c r="BG25" s="70">
        <v>340</v>
      </c>
      <c r="BH25" s="625">
        <v>430</v>
      </c>
      <c r="BI25" s="70">
        <v>255</v>
      </c>
      <c r="BJ25" s="130">
        <f t="shared" si="420"/>
        <v>5134</v>
      </c>
      <c r="BK25" s="163">
        <f t="shared" si="421"/>
        <v>427.83333333333331</v>
      </c>
      <c r="BL25" s="368">
        <v>275</v>
      </c>
      <c r="BM25" s="70">
        <v>366</v>
      </c>
      <c r="BN25" s="23">
        <v>340</v>
      </c>
      <c r="BO25" s="70">
        <v>388</v>
      </c>
      <c r="BP25" s="23">
        <v>205</v>
      </c>
      <c r="BQ25" s="70">
        <v>246</v>
      </c>
      <c r="BR25" s="625">
        <v>356</v>
      </c>
      <c r="BS25" s="70">
        <v>312</v>
      </c>
      <c r="BT25" s="625">
        <v>276</v>
      </c>
      <c r="BU25" s="625">
        <v>369</v>
      </c>
      <c r="BV25" s="625">
        <v>355</v>
      </c>
      <c r="BW25" s="625">
        <v>443</v>
      </c>
      <c r="BX25" s="130">
        <f t="shared" si="428"/>
        <v>3931</v>
      </c>
      <c r="BY25" s="163">
        <f t="shared" si="429"/>
        <v>327.58333333333331</v>
      </c>
      <c r="BZ25" s="625">
        <v>390</v>
      </c>
      <c r="CA25" s="70">
        <v>504</v>
      </c>
      <c r="CB25" s="23">
        <v>391</v>
      </c>
      <c r="CC25" s="70">
        <v>350</v>
      </c>
      <c r="CD25" s="23">
        <v>570</v>
      </c>
      <c r="CE25" s="70">
        <v>1052</v>
      </c>
      <c r="CF25" s="625">
        <v>307</v>
      </c>
      <c r="CG25" s="70">
        <v>287</v>
      </c>
      <c r="CH25" s="625">
        <v>292</v>
      </c>
      <c r="CI25" s="625">
        <v>371</v>
      </c>
      <c r="CJ25" s="625">
        <v>396</v>
      </c>
      <c r="CK25" s="625">
        <v>372</v>
      </c>
      <c r="CL25" s="130">
        <f t="shared" si="436"/>
        <v>5282</v>
      </c>
      <c r="CM25" s="163">
        <f t="shared" si="437"/>
        <v>440.16666666666669</v>
      </c>
      <c r="CN25" s="625">
        <v>346</v>
      </c>
      <c r="CO25" s="70">
        <v>388</v>
      </c>
      <c r="CP25" s="23">
        <v>336</v>
      </c>
      <c r="CQ25" s="70">
        <v>609</v>
      </c>
      <c r="CR25" s="23">
        <v>345</v>
      </c>
      <c r="CS25" s="70">
        <v>320</v>
      </c>
      <c r="CT25" s="207">
        <v>382</v>
      </c>
      <c r="CU25" s="70">
        <v>362</v>
      </c>
      <c r="CV25" s="625">
        <v>397</v>
      </c>
      <c r="CW25" s="1062">
        <v>388</v>
      </c>
      <c r="CX25" s="625">
        <v>398</v>
      </c>
      <c r="CY25" s="70">
        <v>364</v>
      </c>
      <c r="CZ25" s="130">
        <f t="shared" si="444"/>
        <v>4635</v>
      </c>
      <c r="DA25" s="163">
        <f t="shared" si="445"/>
        <v>386.25</v>
      </c>
      <c r="DB25" s="625">
        <v>362</v>
      </c>
      <c r="DC25" s="70">
        <v>453</v>
      </c>
      <c r="DD25" s="23">
        <v>353</v>
      </c>
      <c r="DE25" s="70">
        <v>401</v>
      </c>
      <c r="DF25" s="23">
        <v>378</v>
      </c>
      <c r="DG25" s="70">
        <v>354</v>
      </c>
      <c r="DH25" s="207">
        <v>380</v>
      </c>
      <c r="DI25" s="70">
        <v>382</v>
      </c>
      <c r="DJ25" s="625">
        <v>365</v>
      </c>
      <c r="DK25" s="70">
        <v>396</v>
      </c>
      <c r="DL25" s="625"/>
      <c r="DM25" s="70"/>
      <c r="DN25" s="130">
        <f t="shared" si="451"/>
        <v>3824</v>
      </c>
      <c r="DO25" s="163">
        <f t="shared" si="452"/>
        <v>382.4</v>
      </c>
      <c r="DP25" s="625"/>
      <c r="DQ25" s="70"/>
      <c r="DR25" s="23"/>
      <c r="DS25" s="70"/>
      <c r="DT25" s="23"/>
      <c r="DU25" s="70"/>
      <c r="DV25" s="207"/>
      <c r="DW25" s="70"/>
      <c r="DX25" s="625"/>
      <c r="DY25" s="70"/>
      <c r="DZ25" s="625"/>
      <c r="EA25" s="70"/>
      <c r="EB25" s="130">
        <f t="shared" si="453"/>
        <v>0</v>
      </c>
      <c r="EC25" s="163" t="e">
        <f t="shared" si="454"/>
        <v>#DIV/0!</v>
      </c>
      <c r="ED25" s="662">
        <f t="shared" si="455"/>
        <v>-87</v>
      </c>
      <c r="EE25" s="663">
        <f t="shared" si="456"/>
        <v>-0.1389776357827476</v>
      </c>
      <c r="EF25" s="662">
        <f t="shared" si="457"/>
        <v>9</v>
      </c>
      <c r="EG25" s="663">
        <f t="shared" si="458"/>
        <v>1.6697588126159554E-2</v>
      </c>
      <c r="EH25" s="662">
        <f t="shared" si="459"/>
        <v>-28</v>
      </c>
      <c r="EI25" s="663">
        <f t="shared" si="460"/>
        <v>-5.1094890510948905E-2</v>
      </c>
      <c r="EJ25" s="662">
        <f t="shared" si="461"/>
        <v>-34</v>
      </c>
      <c r="EK25" s="663">
        <f t="shared" si="462"/>
        <v>-6.5384615384615388E-2</v>
      </c>
      <c r="EL25" s="662">
        <f t="shared" si="463"/>
        <v>78</v>
      </c>
      <c r="EM25" s="663">
        <f t="shared" si="464"/>
        <v>0.16049382716049382</v>
      </c>
      <c r="EN25" s="662">
        <f t="shared" si="465"/>
        <v>-81</v>
      </c>
      <c r="EO25" s="663">
        <f t="shared" si="466"/>
        <v>-0.14361702127659576</v>
      </c>
      <c r="EP25" s="662">
        <f t="shared" si="467"/>
        <v>-145</v>
      </c>
      <c r="EQ25" s="663">
        <f t="shared" si="468"/>
        <v>-0.30020703933747411</v>
      </c>
      <c r="ER25" s="662">
        <f t="shared" si="469"/>
        <v>-42</v>
      </c>
      <c r="ES25" s="663">
        <f t="shared" si="470"/>
        <v>-0.1242603550295858</v>
      </c>
      <c r="ET25" s="662">
        <f t="shared" si="471"/>
        <v>39</v>
      </c>
      <c r="EU25" s="663">
        <f t="shared" si="472"/>
        <v>0.13175675675675674</v>
      </c>
      <c r="EV25" s="662">
        <f t="shared" si="473"/>
        <v>5</v>
      </c>
      <c r="EW25" s="109">
        <f t="shared" si="474"/>
        <v>1.4925373134328358E-2</v>
      </c>
      <c r="EX25" s="662">
        <f t="shared" si="475"/>
        <v>90</v>
      </c>
      <c r="EY25" s="663">
        <f t="shared" si="476"/>
        <v>0.26470588235294118</v>
      </c>
      <c r="EZ25" s="662">
        <f t="shared" si="477"/>
        <v>-175</v>
      </c>
      <c r="FA25" s="663">
        <f t="shared" si="478"/>
        <v>-0.40697674418604651</v>
      </c>
      <c r="FB25" s="662">
        <f t="shared" si="479"/>
        <v>20</v>
      </c>
      <c r="FC25" s="663">
        <f t="shared" si="480"/>
        <v>7.8431372549019607E-2</v>
      </c>
      <c r="FD25" s="315">
        <f t="shared" si="481"/>
        <v>91</v>
      </c>
      <c r="FE25" s="402">
        <f t="shared" si="482"/>
        <v>0.33090909090909093</v>
      </c>
      <c r="FF25" s="315">
        <f t="shared" si="483"/>
        <v>-26</v>
      </c>
      <c r="FG25" s="402">
        <f t="shared" si="484"/>
        <v>-7.1038251366120214E-2</v>
      </c>
      <c r="FH25" s="315">
        <f t="shared" si="485"/>
        <v>48</v>
      </c>
      <c r="FI25" s="402">
        <f t="shared" si="486"/>
        <v>0.14117647058823529</v>
      </c>
      <c r="FJ25" s="315">
        <f t="shared" si="487"/>
        <v>-183</v>
      </c>
      <c r="FK25" s="402">
        <f t="shared" si="488"/>
        <v>-0.47164948453608246</v>
      </c>
      <c r="FL25" s="315">
        <f t="shared" si="489"/>
        <v>41</v>
      </c>
      <c r="FM25" s="402">
        <f t="shared" si="490"/>
        <v>0.2</v>
      </c>
      <c r="FN25" s="315">
        <f t="shared" si="491"/>
        <v>110</v>
      </c>
      <c r="FO25" s="402">
        <f t="shared" si="492"/>
        <v>0.44715447154471544</v>
      </c>
      <c r="FP25" s="315">
        <f t="shared" si="493"/>
        <v>-44</v>
      </c>
      <c r="FQ25" s="402">
        <f t="shared" si="494"/>
        <v>-0.12359550561797752</v>
      </c>
      <c r="FR25" s="315">
        <f t="shared" si="495"/>
        <v>-36</v>
      </c>
      <c r="FS25" s="402">
        <f t="shared" si="496"/>
        <v>-0.11538461538461539</v>
      </c>
      <c r="FT25" s="315">
        <f t="shared" si="497"/>
        <v>93</v>
      </c>
      <c r="FU25" s="402">
        <f t="shared" si="498"/>
        <v>0.33695652173913043</v>
      </c>
      <c r="FV25" s="315">
        <f t="shared" si="499"/>
        <v>-14</v>
      </c>
      <c r="FW25" s="402">
        <f t="shared" si="500"/>
        <v>-3.7940379403794036E-2</v>
      </c>
      <c r="FX25" s="315">
        <f t="shared" si="501"/>
        <v>88</v>
      </c>
      <c r="FY25" s="402">
        <f t="shared" si="502"/>
        <v>0.24788732394366197</v>
      </c>
      <c r="FZ25" s="315">
        <f t="shared" si="503"/>
        <v>-53</v>
      </c>
      <c r="GA25" s="402">
        <f t="shared" si="504"/>
        <v>-0.11963882618510158</v>
      </c>
      <c r="GB25" s="315">
        <f t="shared" si="505"/>
        <v>114</v>
      </c>
      <c r="GC25" s="402">
        <f t="shared" si="506"/>
        <v>0.29230769230769232</v>
      </c>
      <c r="GD25" s="315">
        <f t="shared" si="507"/>
        <v>-113</v>
      </c>
      <c r="GE25" s="402">
        <f t="shared" si="508"/>
        <v>-0.22420634920634921</v>
      </c>
      <c r="GF25" s="315">
        <f t="shared" si="509"/>
        <v>-41</v>
      </c>
      <c r="GG25" s="402">
        <f t="shared" si="510"/>
        <v>-0.10485933503836317</v>
      </c>
      <c r="GH25" s="315">
        <f t="shared" si="511"/>
        <v>220</v>
      </c>
      <c r="GI25" s="402">
        <f t="shared" si="512"/>
        <v>0.62857142857142856</v>
      </c>
      <c r="GJ25" s="315">
        <f t="shared" si="513"/>
        <v>482</v>
      </c>
      <c r="GK25" s="402">
        <f t="shared" si="514"/>
        <v>0.84561403508771926</v>
      </c>
      <c r="GL25" s="315">
        <f t="shared" si="515"/>
        <v>-745</v>
      </c>
      <c r="GM25" s="402">
        <f t="shared" si="516"/>
        <v>-0.70817490494296575</v>
      </c>
      <c r="GN25" s="315">
        <f t="shared" si="517"/>
        <v>-20</v>
      </c>
      <c r="GO25" s="402">
        <f t="shared" si="518"/>
        <v>-6.5146579804560262E-2</v>
      </c>
      <c r="GP25" s="315">
        <f t="shared" si="519"/>
        <v>5</v>
      </c>
      <c r="GQ25" s="402">
        <f t="shared" si="520"/>
        <v>1.7421602787456445E-2</v>
      </c>
      <c r="GR25" s="315">
        <f t="shared" si="521"/>
        <v>79</v>
      </c>
      <c r="GS25" s="402">
        <f t="shared" si="522"/>
        <v>0.27054794520547948</v>
      </c>
      <c r="GT25" s="315">
        <f t="shared" si="523"/>
        <v>25</v>
      </c>
      <c r="GU25" s="402">
        <f t="shared" si="524"/>
        <v>6.7385444743935305E-2</v>
      </c>
      <c r="GV25" s="315">
        <f t="shared" si="525"/>
        <v>-24</v>
      </c>
      <c r="GW25" s="402">
        <f t="shared" si="526"/>
        <v>-6.0606060606060608E-2</v>
      </c>
      <c r="GX25" s="315">
        <f t="shared" si="527"/>
        <v>-26</v>
      </c>
      <c r="GY25" s="402">
        <f t="shared" si="528"/>
        <v>-6.9892473118279563E-2</v>
      </c>
      <c r="GZ25" s="315">
        <f t="shared" si="529"/>
        <v>42</v>
      </c>
      <c r="HA25" s="402">
        <f t="shared" si="530"/>
        <v>0.12138728323699421</v>
      </c>
      <c r="HB25" s="315">
        <f t="shared" si="531"/>
        <v>-52</v>
      </c>
      <c r="HC25" s="402">
        <f t="shared" si="532"/>
        <v>-0.13402061855670103</v>
      </c>
      <c r="HD25" s="315">
        <f t="shared" si="533"/>
        <v>273</v>
      </c>
      <c r="HE25" s="402">
        <f t="shared" si="534"/>
        <v>0.8125</v>
      </c>
      <c r="HF25" s="315">
        <f t="shared" si="535"/>
        <v>-264</v>
      </c>
      <c r="HG25" s="402">
        <f t="shared" si="536"/>
        <v>-0.43349753694581283</v>
      </c>
      <c r="HH25" s="315">
        <f t="shared" si="537"/>
        <v>-25</v>
      </c>
      <c r="HI25" s="402">
        <f t="shared" si="538"/>
        <v>-7.2463768115942032E-2</v>
      </c>
      <c r="HJ25" s="315">
        <f t="shared" si="539"/>
        <v>62</v>
      </c>
      <c r="HK25" s="402">
        <f t="shared" si="540"/>
        <v>0.19375000000000001</v>
      </c>
      <c r="HL25" s="315">
        <f t="shared" si="541"/>
        <v>-20</v>
      </c>
      <c r="HM25" s="402">
        <f t="shared" si="542"/>
        <v>-5.2356020942408377E-2</v>
      </c>
      <c r="HN25" s="315">
        <f t="shared" si="543"/>
        <v>35</v>
      </c>
      <c r="HO25" s="402">
        <f t="shared" si="544"/>
        <v>9.668508287292818E-2</v>
      </c>
      <c r="HP25" s="315">
        <f t="shared" si="545"/>
        <v>-9</v>
      </c>
      <c r="HQ25" s="402">
        <f t="shared" si="546"/>
        <v>-2.2670025188916875E-2</v>
      </c>
      <c r="HR25" s="315">
        <f t="shared" si="547"/>
        <v>10</v>
      </c>
      <c r="HS25" s="402">
        <f t="shared" si="548"/>
        <v>2.5773195876288658E-2</v>
      </c>
      <c r="HT25" s="315">
        <f t="shared" si="549"/>
        <v>-34</v>
      </c>
      <c r="HU25" s="402">
        <f t="shared" si="550"/>
        <v>-8.5427135678391955E-2</v>
      </c>
      <c r="HV25" s="315">
        <f t="shared" si="551"/>
        <v>-2</v>
      </c>
      <c r="HW25" s="402">
        <f t="shared" si="552"/>
        <v>-5.4945054945054949E-3</v>
      </c>
      <c r="HX25" s="315">
        <f t="shared" si="553"/>
        <v>91</v>
      </c>
      <c r="HY25" s="402">
        <f t="shared" si="554"/>
        <v>0.25138121546961328</v>
      </c>
      <c r="HZ25" s="315">
        <f t="shared" si="555"/>
        <v>-100</v>
      </c>
      <c r="IA25" s="402">
        <f t="shared" si="556"/>
        <v>-0.28328611898016998</v>
      </c>
      <c r="IB25" s="315">
        <f t="shared" si="557"/>
        <v>48</v>
      </c>
      <c r="IC25" s="402">
        <f t="shared" si="558"/>
        <v>0.1359773371104816</v>
      </c>
      <c r="ID25" s="315">
        <f t="shared" si="559"/>
        <v>-23</v>
      </c>
      <c r="IE25" s="402">
        <f t="shared" si="560"/>
        <v>-6.0146443514644356E-2</v>
      </c>
      <c r="IF25" s="315">
        <f t="shared" si="561"/>
        <v>-24</v>
      </c>
      <c r="IG25" s="402">
        <f t="shared" si="562"/>
        <v>-6.3492063492063489E-2</v>
      </c>
      <c r="IH25" s="315">
        <f t="shared" si="563"/>
        <v>26</v>
      </c>
      <c r="II25" s="402">
        <f t="shared" si="564"/>
        <v>7.3446327683615822E-2</v>
      </c>
      <c r="IJ25" s="315">
        <f t="shared" si="565"/>
        <v>2</v>
      </c>
      <c r="IK25" s="402">
        <f t="shared" si="566"/>
        <v>5.263157894736842E-3</v>
      </c>
      <c r="IL25" s="315">
        <f t="shared" si="567"/>
        <v>-17</v>
      </c>
      <c r="IM25" s="402">
        <f t="shared" si="568"/>
        <v>-4.4502617801047119E-2</v>
      </c>
      <c r="IN25" s="315">
        <f t="shared" si="569"/>
        <v>31</v>
      </c>
      <c r="IO25" s="402">
        <f t="shared" si="570"/>
        <v>8.4931506849315067E-2</v>
      </c>
      <c r="IP25" s="315">
        <f t="shared" si="571"/>
        <v>-396</v>
      </c>
      <c r="IQ25" s="402">
        <f t="shared" si="572"/>
        <v>7750.2857142857147</v>
      </c>
      <c r="IR25" s="315">
        <f t="shared" si="573"/>
        <v>33.934615384615384</v>
      </c>
      <c r="IS25" s="402">
        <f t="shared" si="574"/>
        <v>-0.99807692307692308</v>
      </c>
      <c r="IT25" s="625">
        <f t="shared" si="575"/>
        <v>388</v>
      </c>
      <c r="IU25" s="1062">
        <f t="shared" si="576"/>
        <v>396</v>
      </c>
      <c r="IV25" s="662">
        <f t="shared" si="577"/>
        <v>8</v>
      </c>
      <c r="IW25" s="109">
        <f t="shared" si="578"/>
        <v>2.0618556701030927E-2</v>
      </c>
      <c r="IX25" s="698"/>
      <c r="IY25" s="698"/>
      <c r="IZ25" s="698"/>
      <c r="JA25" t="str">
        <f t="shared" si="579"/>
        <v>Reported Source - Fax</v>
      </c>
      <c r="JB25" s="262" t="e">
        <f>#REF!</f>
        <v>#REF!</v>
      </c>
      <c r="JC25" s="262" t="e">
        <f>#REF!</f>
        <v>#REF!</v>
      </c>
      <c r="JD25" s="262" t="e">
        <f>#REF!</f>
        <v>#REF!</v>
      </c>
      <c r="JE25" s="262" t="e">
        <f>#REF!</f>
        <v>#REF!</v>
      </c>
      <c r="JF25" s="262" t="e">
        <f>#REF!</f>
        <v>#REF!</v>
      </c>
      <c r="JG25" s="262" t="e">
        <f>#REF!</f>
        <v>#REF!</v>
      </c>
      <c r="JH25" s="262" t="e">
        <f>#REF!</f>
        <v>#REF!</v>
      </c>
      <c r="JI25" s="262" t="e">
        <f>#REF!</f>
        <v>#REF!</v>
      </c>
      <c r="JJ25" s="262" t="e">
        <f>#REF!</f>
        <v>#REF!</v>
      </c>
      <c r="JK25" s="262" t="e">
        <f>#REF!</f>
        <v>#REF!</v>
      </c>
      <c r="JL25" s="262" t="e">
        <f>#REF!</f>
        <v>#REF!</v>
      </c>
      <c r="JM25" s="263">
        <f t="shared" si="580"/>
        <v>538</v>
      </c>
      <c r="JN25" s="263">
        <f t="shared" si="581"/>
        <v>516</v>
      </c>
      <c r="JO25" s="263">
        <f t="shared" si="582"/>
        <v>450</v>
      </c>
      <c r="JP25" s="263">
        <f t="shared" si="583"/>
        <v>461</v>
      </c>
      <c r="JQ25" s="263">
        <f t="shared" si="584"/>
        <v>502</v>
      </c>
      <c r="JR25" s="263">
        <f t="shared" si="585"/>
        <v>540</v>
      </c>
      <c r="JS25" s="263">
        <f t="shared" si="586"/>
        <v>893</v>
      </c>
      <c r="JT25" s="263">
        <f t="shared" si="587"/>
        <v>646</v>
      </c>
      <c r="JU25" s="263">
        <f t="shared" si="588"/>
        <v>658</v>
      </c>
      <c r="JV25" s="263">
        <f t="shared" si="589"/>
        <v>704</v>
      </c>
      <c r="JW25" s="263">
        <f t="shared" si="590"/>
        <v>609</v>
      </c>
      <c r="JX25" s="263">
        <f t="shared" si="591"/>
        <v>626</v>
      </c>
      <c r="JY25" s="263">
        <f t="shared" si="592"/>
        <v>539</v>
      </c>
      <c r="JZ25" s="263">
        <f t="shared" si="593"/>
        <v>548</v>
      </c>
      <c r="KA25" s="263">
        <f t="shared" si="594"/>
        <v>520</v>
      </c>
      <c r="KB25" s="263">
        <f t="shared" si="595"/>
        <v>486</v>
      </c>
      <c r="KC25" s="263">
        <f t="shared" si="596"/>
        <v>564</v>
      </c>
      <c r="KD25" s="263">
        <f t="shared" si="597"/>
        <v>483</v>
      </c>
      <c r="KE25" s="263">
        <f t="shared" si="598"/>
        <v>338</v>
      </c>
      <c r="KF25" s="263">
        <f t="shared" si="599"/>
        <v>296</v>
      </c>
      <c r="KG25" s="263">
        <f t="shared" si="600"/>
        <v>335</v>
      </c>
      <c r="KH25" s="263">
        <f t="shared" si="601"/>
        <v>340</v>
      </c>
      <c r="KI25" s="263">
        <f t="shared" si="602"/>
        <v>430</v>
      </c>
      <c r="KJ25" s="263">
        <f t="shared" si="603"/>
        <v>255</v>
      </c>
      <c r="KK25" s="788">
        <f t="shared" si="604"/>
        <v>275</v>
      </c>
      <c r="KL25" s="788">
        <f t="shared" si="605"/>
        <v>366</v>
      </c>
      <c r="KM25" s="788">
        <f t="shared" si="606"/>
        <v>340</v>
      </c>
      <c r="KN25" s="788">
        <f t="shared" si="607"/>
        <v>388</v>
      </c>
      <c r="KO25" s="788">
        <f t="shared" si="608"/>
        <v>205</v>
      </c>
      <c r="KP25" s="788">
        <f t="shared" si="609"/>
        <v>246</v>
      </c>
      <c r="KQ25" s="788">
        <f t="shared" si="610"/>
        <v>356</v>
      </c>
      <c r="KR25" s="788">
        <f t="shared" si="611"/>
        <v>312</v>
      </c>
      <c r="KS25" s="788">
        <f t="shared" si="612"/>
        <v>276</v>
      </c>
      <c r="KT25" s="788">
        <f t="shared" si="613"/>
        <v>369</v>
      </c>
      <c r="KU25" s="788">
        <f t="shared" si="614"/>
        <v>355</v>
      </c>
      <c r="KV25" s="788">
        <f t="shared" si="615"/>
        <v>443</v>
      </c>
      <c r="KW25" s="900">
        <f t="shared" si="616"/>
        <v>390</v>
      </c>
      <c r="KX25" s="900">
        <f t="shared" si="617"/>
        <v>504</v>
      </c>
      <c r="KY25" s="900">
        <f t="shared" si="618"/>
        <v>391</v>
      </c>
      <c r="KZ25" s="900">
        <f t="shared" si="619"/>
        <v>350</v>
      </c>
      <c r="LA25" s="900">
        <f t="shared" si="620"/>
        <v>570</v>
      </c>
      <c r="LB25" s="900">
        <f t="shared" si="621"/>
        <v>1052</v>
      </c>
      <c r="LC25" s="900">
        <f t="shared" si="622"/>
        <v>307</v>
      </c>
      <c r="LD25" s="900">
        <f t="shared" si="623"/>
        <v>287</v>
      </c>
      <c r="LE25" s="900">
        <f t="shared" si="624"/>
        <v>292</v>
      </c>
      <c r="LF25" s="900">
        <f t="shared" si="625"/>
        <v>371</v>
      </c>
      <c r="LG25" s="900">
        <f t="shared" si="626"/>
        <v>396</v>
      </c>
      <c r="LH25" s="900">
        <f t="shared" si="627"/>
        <v>372</v>
      </c>
      <c r="LI25" s="959">
        <f t="shared" si="628"/>
        <v>346</v>
      </c>
      <c r="LJ25" s="959">
        <f t="shared" si="629"/>
        <v>388</v>
      </c>
      <c r="LK25" s="959">
        <f t="shared" si="630"/>
        <v>336</v>
      </c>
      <c r="LL25" s="959">
        <f t="shared" si="631"/>
        <v>609</v>
      </c>
      <c r="LM25" s="959">
        <f t="shared" si="632"/>
        <v>345</v>
      </c>
      <c r="LN25" s="959">
        <f t="shared" si="633"/>
        <v>320</v>
      </c>
      <c r="LO25" s="959">
        <f t="shared" si="634"/>
        <v>382</v>
      </c>
      <c r="LP25" s="959">
        <f t="shared" si="635"/>
        <v>362</v>
      </c>
      <c r="LQ25" s="959">
        <f t="shared" si="636"/>
        <v>397</v>
      </c>
      <c r="LR25" s="959">
        <f t="shared" si="637"/>
        <v>388</v>
      </c>
      <c r="LS25" s="959">
        <f t="shared" si="638"/>
        <v>398</v>
      </c>
      <c r="LT25" s="959">
        <f t="shared" si="639"/>
        <v>364</v>
      </c>
      <c r="LU25" s="1155">
        <f t="shared" si="640"/>
        <v>362</v>
      </c>
      <c r="LV25" s="1155">
        <f t="shared" si="641"/>
        <v>453</v>
      </c>
      <c r="LW25" s="1155">
        <f t="shared" si="642"/>
        <v>353</v>
      </c>
      <c r="LX25" s="1155">
        <f t="shared" si="643"/>
        <v>401</v>
      </c>
      <c r="LY25" s="1155">
        <f t="shared" si="644"/>
        <v>378</v>
      </c>
      <c r="LZ25" s="1155">
        <f t="shared" si="645"/>
        <v>354</v>
      </c>
      <c r="MA25" s="1155">
        <f t="shared" si="646"/>
        <v>380</v>
      </c>
      <c r="MB25" s="1155">
        <f t="shared" si="647"/>
        <v>382</v>
      </c>
      <c r="MC25" s="1155">
        <f t="shared" si="648"/>
        <v>365</v>
      </c>
      <c r="MD25" s="1155">
        <f t="shared" si="649"/>
        <v>396</v>
      </c>
      <c r="ME25" s="1155">
        <f t="shared" si="650"/>
        <v>0</v>
      </c>
      <c r="MF25" s="1155">
        <f t="shared" si="651"/>
        <v>0</v>
      </c>
      <c r="MG25" s="1177">
        <f t="shared" si="652"/>
        <v>0</v>
      </c>
      <c r="MH25" s="1177">
        <f t="shared" si="653"/>
        <v>0</v>
      </c>
      <c r="MI25" s="1177">
        <f t="shared" si="654"/>
        <v>0</v>
      </c>
      <c r="MJ25" s="1177">
        <f t="shared" si="655"/>
        <v>0</v>
      </c>
      <c r="MK25" s="1177">
        <f t="shared" si="656"/>
        <v>0</v>
      </c>
      <c r="ML25" s="1177">
        <f t="shared" si="657"/>
        <v>0</v>
      </c>
      <c r="MM25" s="1177">
        <f t="shared" si="658"/>
        <v>0</v>
      </c>
      <c r="MN25" s="1177">
        <f t="shared" si="659"/>
        <v>0</v>
      </c>
      <c r="MO25" s="1177">
        <f t="shared" si="660"/>
        <v>0</v>
      </c>
      <c r="MP25" s="1177">
        <f t="shared" si="661"/>
        <v>0</v>
      </c>
      <c r="MQ25" s="1177">
        <f t="shared" si="662"/>
        <v>0</v>
      </c>
      <c r="MR25" s="1177">
        <f t="shared" si="662"/>
        <v>0</v>
      </c>
    </row>
    <row r="26" spans="1:356" x14ac:dyDescent="0.25">
      <c r="A26" s="764"/>
      <c r="B26" s="56"/>
      <c r="C26" s="56" t="s">
        <v>36</v>
      </c>
      <c r="D26" s="119"/>
      <c r="E26" s="1217" t="s">
        <v>41</v>
      </c>
      <c r="F26" s="1217"/>
      <c r="G26" s="1218"/>
      <c r="H26" s="368">
        <v>628</v>
      </c>
      <c r="I26" s="70">
        <v>882</v>
      </c>
      <c r="J26" s="23">
        <v>566</v>
      </c>
      <c r="K26" s="70">
        <v>1328</v>
      </c>
      <c r="L26" s="23">
        <v>794</v>
      </c>
      <c r="M26" s="70">
        <v>542</v>
      </c>
      <c r="N26" s="23">
        <v>501</v>
      </c>
      <c r="O26" s="70">
        <v>778</v>
      </c>
      <c r="P26" s="23">
        <v>588</v>
      </c>
      <c r="Q26" s="70">
        <v>796</v>
      </c>
      <c r="R26" s="23">
        <v>1120</v>
      </c>
      <c r="S26" s="70">
        <v>1804</v>
      </c>
      <c r="T26" s="130">
        <v>10327</v>
      </c>
      <c r="U26" s="163">
        <v>860.58333333333337</v>
      </c>
      <c r="V26" s="368">
        <v>762</v>
      </c>
      <c r="W26" s="70">
        <v>1116</v>
      </c>
      <c r="X26" s="23">
        <v>774</v>
      </c>
      <c r="Y26" s="70">
        <v>905</v>
      </c>
      <c r="Z26" s="23">
        <v>827</v>
      </c>
      <c r="AA26" s="70">
        <v>624</v>
      </c>
      <c r="AB26" s="23">
        <v>557</v>
      </c>
      <c r="AC26" s="70">
        <v>892</v>
      </c>
      <c r="AD26" s="23">
        <v>679</v>
      </c>
      <c r="AE26" s="70">
        <v>885</v>
      </c>
      <c r="AF26" s="23">
        <v>899</v>
      </c>
      <c r="AG26" s="70">
        <v>741</v>
      </c>
      <c r="AH26" s="130">
        <v>9661</v>
      </c>
      <c r="AI26" s="163">
        <v>805.08333333333337</v>
      </c>
      <c r="AJ26" s="368">
        <v>628</v>
      </c>
      <c r="AK26" s="70">
        <v>862</v>
      </c>
      <c r="AL26" s="23">
        <v>468</v>
      </c>
      <c r="AM26" s="70">
        <v>437</v>
      </c>
      <c r="AN26" s="23">
        <v>593</v>
      </c>
      <c r="AO26" s="70">
        <v>529</v>
      </c>
      <c r="AP26" s="625">
        <v>493</v>
      </c>
      <c r="AQ26" s="70">
        <v>599</v>
      </c>
      <c r="AR26" s="625">
        <v>605</v>
      </c>
      <c r="AS26" s="70">
        <v>753</v>
      </c>
      <c r="AT26" s="625">
        <v>757</v>
      </c>
      <c r="AU26" s="70">
        <v>526</v>
      </c>
      <c r="AV26" s="130">
        <f t="shared" si="416"/>
        <v>7250</v>
      </c>
      <c r="AW26" s="163">
        <f t="shared" si="417"/>
        <v>604.16666666666663</v>
      </c>
      <c r="AX26" s="368">
        <v>953</v>
      </c>
      <c r="AY26" s="70">
        <v>679</v>
      </c>
      <c r="AZ26" s="23">
        <v>568</v>
      </c>
      <c r="BA26" s="70">
        <v>844</v>
      </c>
      <c r="BB26" s="23">
        <v>866</v>
      </c>
      <c r="BC26" s="70">
        <v>513</v>
      </c>
      <c r="BD26" s="625">
        <v>344</v>
      </c>
      <c r="BE26" s="70">
        <v>439</v>
      </c>
      <c r="BF26" s="625">
        <v>446</v>
      </c>
      <c r="BG26" s="70">
        <v>793</v>
      </c>
      <c r="BH26" s="625">
        <v>504</v>
      </c>
      <c r="BI26" s="70">
        <v>450</v>
      </c>
      <c r="BJ26" s="130">
        <f t="shared" si="420"/>
        <v>7399</v>
      </c>
      <c r="BK26" s="163">
        <f t="shared" si="421"/>
        <v>616.58333333333337</v>
      </c>
      <c r="BL26" s="368">
        <v>505</v>
      </c>
      <c r="BM26" s="70">
        <v>458</v>
      </c>
      <c r="BN26" s="23">
        <v>397</v>
      </c>
      <c r="BO26" s="70">
        <v>380</v>
      </c>
      <c r="BP26" s="23">
        <v>830</v>
      </c>
      <c r="BQ26" s="70">
        <v>452</v>
      </c>
      <c r="BR26" s="625">
        <v>388</v>
      </c>
      <c r="BS26" s="70">
        <v>353</v>
      </c>
      <c r="BT26" s="625">
        <v>402</v>
      </c>
      <c r="BU26" s="625">
        <v>764</v>
      </c>
      <c r="BV26" s="625">
        <v>489</v>
      </c>
      <c r="BW26" s="625">
        <v>450</v>
      </c>
      <c r="BX26" s="130">
        <f t="shared" si="428"/>
        <v>5868</v>
      </c>
      <c r="BY26" s="163">
        <f t="shared" si="429"/>
        <v>489</v>
      </c>
      <c r="BZ26" s="625">
        <v>446</v>
      </c>
      <c r="CA26" s="70">
        <v>480</v>
      </c>
      <c r="CB26" s="23">
        <v>365</v>
      </c>
      <c r="CC26" s="70">
        <v>376</v>
      </c>
      <c r="CD26" s="23">
        <v>459</v>
      </c>
      <c r="CE26" s="70">
        <v>401</v>
      </c>
      <c r="CF26" s="625">
        <v>266</v>
      </c>
      <c r="CG26" s="70">
        <v>349</v>
      </c>
      <c r="CH26" s="625">
        <v>320</v>
      </c>
      <c r="CI26" s="625">
        <v>610</v>
      </c>
      <c r="CJ26" s="625">
        <v>437</v>
      </c>
      <c r="CK26" s="625">
        <v>295</v>
      </c>
      <c r="CL26" s="130">
        <f t="shared" si="436"/>
        <v>4804</v>
      </c>
      <c r="CM26" s="163">
        <f t="shared" si="437"/>
        <v>400.33333333333331</v>
      </c>
      <c r="CN26" s="625">
        <v>335</v>
      </c>
      <c r="CO26" s="70">
        <v>405</v>
      </c>
      <c r="CP26" s="23">
        <v>353</v>
      </c>
      <c r="CQ26" s="70">
        <v>723</v>
      </c>
      <c r="CR26" s="23">
        <v>368</v>
      </c>
      <c r="CS26" s="70">
        <v>342</v>
      </c>
      <c r="CT26" s="207">
        <v>317</v>
      </c>
      <c r="CU26" s="70">
        <v>269</v>
      </c>
      <c r="CV26" s="625">
        <v>418</v>
      </c>
      <c r="CW26" s="1062">
        <v>552</v>
      </c>
      <c r="CX26" s="625">
        <v>468</v>
      </c>
      <c r="CY26" s="70">
        <v>373</v>
      </c>
      <c r="CZ26" s="130">
        <f t="shared" si="444"/>
        <v>4923</v>
      </c>
      <c r="DA26" s="163">
        <f t="shared" si="445"/>
        <v>410.25</v>
      </c>
      <c r="DB26" s="625">
        <v>407</v>
      </c>
      <c r="DC26" s="70">
        <v>451</v>
      </c>
      <c r="DD26" s="23">
        <v>331</v>
      </c>
      <c r="DE26" s="70">
        <v>658</v>
      </c>
      <c r="DF26" s="23">
        <v>401</v>
      </c>
      <c r="DG26" s="70">
        <v>322</v>
      </c>
      <c r="DH26" s="207">
        <v>358</v>
      </c>
      <c r="DI26" s="70">
        <v>350</v>
      </c>
      <c r="DJ26" s="625">
        <v>373</v>
      </c>
      <c r="DK26" s="70">
        <v>594</v>
      </c>
      <c r="DL26" s="625"/>
      <c r="DM26" s="70"/>
      <c r="DN26" s="130">
        <f t="shared" si="451"/>
        <v>4245</v>
      </c>
      <c r="DO26" s="163">
        <f t="shared" si="452"/>
        <v>424.5</v>
      </c>
      <c r="DP26" s="625"/>
      <c r="DQ26" s="70"/>
      <c r="DR26" s="23"/>
      <c r="DS26" s="70"/>
      <c r="DT26" s="23"/>
      <c r="DU26" s="70"/>
      <c r="DV26" s="207"/>
      <c r="DW26" s="70"/>
      <c r="DX26" s="625"/>
      <c r="DY26" s="70"/>
      <c r="DZ26" s="625"/>
      <c r="EA26" s="70"/>
      <c r="EB26" s="130">
        <f t="shared" si="453"/>
        <v>0</v>
      </c>
      <c r="EC26" s="163" t="e">
        <f t="shared" si="454"/>
        <v>#DIV/0!</v>
      </c>
      <c r="ED26" s="662">
        <f t="shared" si="455"/>
        <v>427</v>
      </c>
      <c r="EE26" s="663">
        <f t="shared" si="456"/>
        <v>0.81178707224334601</v>
      </c>
      <c r="EF26" s="662">
        <f t="shared" si="457"/>
        <v>-274</v>
      </c>
      <c r="EG26" s="663">
        <f t="shared" si="458"/>
        <v>-0.28751311647429173</v>
      </c>
      <c r="EH26" s="662">
        <f t="shared" si="459"/>
        <v>-111</v>
      </c>
      <c r="EI26" s="663">
        <f t="shared" si="460"/>
        <v>-0.16347569955817379</v>
      </c>
      <c r="EJ26" s="662">
        <f t="shared" si="461"/>
        <v>276</v>
      </c>
      <c r="EK26" s="663">
        <f t="shared" si="462"/>
        <v>0.4859154929577465</v>
      </c>
      <c r="EL26" s="662">
        <f t="shared" si="463"/>
        <v>22</v>
      </c>
      <c r="EM26" s="663">
        <f t="shared" si="464"/>
        <v>2.6066350710900472E-2</v>
      </c>
      <c r="EN26" s="662">
        <f t="shared" si="465"/>
        <v>-353</v>
      </c>
      <c r="EO26" s="663">
        <f t="shared" si="466"/>
        <v>-0.407621247113164</v>
      </c>
      <c r="EP26" s="662">
        <f t="shared" si="467"/>
        <v>-169</v>
      </c>
      <c r="EQ26" s="663">
        <f t="shared" si="468"/>
        <v>-0.32943469785575047</v>
      </c>
      <c r="ER26" s="662">
        <f t="shared" si="469"/>
        <v>95</v>
      </c>
      <c r="ES26" s="663">
        <f t="shared" si="470"/>
        <v>0.27616279069767441</v>
      </c>
      <c r="ET26" s="662">
        <f t="shared" si="471"/>
        <v>7</v>
      </c>
      <c r="EU26" s="663">
        <f t="shared" si="472"/>
        <v>1.5945330296127564E-2</v>
      </c>
      <c r="EV26" s="662">
        <f t="shared" si="473"/>
        <v>347</v>
      </c>
      <c r="EW26" s="109">
        <f t="shared" si="474"/>
        <v>0.77802690582959644</v>
      </c>
      <c r="EX26" s="662">
        <f t="shared" si="475"/>
        <v>-289</v>
      </c>
      <c r="EY26" s="663">
        <f t="shared" si="476"/>
        <v>-0.36443883984867592</v>
      </c>
      <c r="EZ26" s="662">
        <f t="shared" si="477"/>
        <v>-54</v>
      </c>
      <c r="FA26" s="663">
        <f t="shared" si="478"/>
        <v>-0.10714285714285714</v>
      </c>
      <c r="FB26" s="662">
        <f t="shared" si="479"/>
        <v>55</v>
      </c>
      <c r="FC26" s="663">
        <f t="shared" si="480"/>
        <v>0.12222222222222222</v>
      </c>
      <c r="FD26" s="315">
        <f t="shared" si="481"/>
        <v>-47</v>
      </c>
      <c r="FE26" s="402">
        <f t="shared" si="482"/>
        <v>-9.3069306930693069E-2</v>
      </c>
      <c r="FF26" s="315">
        <f t="shared" si="483"/>
        <v>-61</v>
      </c>
      <c r="FG26" s="402">
        <f t="shared" si="484"/>
        <v>-0.1331877729257642</v>
      </c>
      <c r="FH26" s="315">
        <f t="shared" si="485"/>
        <v>-17</v>
      </c>
      <c r="FI26" s="402">
        <f t="shared" si="486"/>
        <v>-4.2821158690176324E-2</v>
      </c>
      <c r="FJ26" s="315">
        <f t="shared" si="487"/>
        <v>450</v>
      </c>
      <c r="FK26" s="402">
        <f t="shared" si="488"/>
        <v>1.1842105263157894</v>
      </c>
      <c r="FL26" s="315">
        <f t="shared" si="489"/>
        <v>-378</v>
      </c>
      <c r="FM26" s="402">
        <f t="shared" si="490"/>
        <v>-0.45542168674698796</v>
      </c>
      <c r="FN26" s="315">
        <f t="shared" si="491"/>
        <v>-64</v>
      </c>
      <c r="FO26" s="402">
        <f t="shared" si="492"/>
        <v>-0.1415929203539823</v>
      </c>
      <c r="FP26" s="315">
        <f t="shared" si="493"/>
        <v>-35</v>
      </c>
      <c r="FQ26" s="402">
        <f t="shared" si="494"/>
        <v>-9.0206185567010308E-2</v>
      </c>
      <c r="FR26" s="315">
        <f t="shared" si="495"/>
        <v>49</v>
      </c>
      <c r="FS26" s="402">
        <f t="shared" si="496"/>
        <v>0.13881019830028329</v>
      </c>
      <c r="FT26" s="315">
        <f t="shared" si="497"/>
        <v>362</v>
      </c>
      <c r="FU26" s="402">
        <f t="shared" si="498"/>
        <v>0.90049751243781095</v>
      </c>
      <c r="FV26" s="315">
        <f t="shared" si="499"/>
        <v>-275</v>
      </c>
      <c r="FW26" s="402">
        <f t="shared" si="500"/>
        <v>-0.3599476439790576</v>
      </c>
      <c r="FX26" s="315">
        <f t="shared" si="501"/>
        <v>-39</v>
      </c>
      <c r="FY26" s="402">
        <f t="shared" si="502"/>
        <v>-7.9754601226993863E-2</v>
      </c>
      <c r="FZ26" s="315">
        <f t="shared" si="503"/>
        <v>-4</v>
      </c>
      <c r="GA26" s="402">
        <f t="shared" si="504"/>
        <v>-8.8888888888888889E-3</v>
      </c>
      <c r="GB26" s="315">
        <f t="shared" si="505"/>
        <v>34</v>
      </c>
      <c r="GC26" s="402">
        <f t="shared" si="506"/>
        <v>7.623318385650224E-2</v>
      </c>
      <c r="GD26" s="315">
        <f t="shared" si="507"/>
        <v>-115</v>
      </c>
      <c r="GE26" s="402">
        <f t="shared" si="508"/>
        <v>-0.23958333333333334</v>
      </c>
      <c r="GF26" s="315">
        <f t="shared" si="509"/>
        <v>11</v>
      </c>
      <c r="GG26" s="402">
        <f t="shared" si="510"/>
        <v>3.0136986301369864E-2</v>
      </c>
      <c r="GH26" s="315">
        <f t="shared" si="511"/>
        <v>83</v>
      </c>
      <c r="GI26" s="402">
        <f t="shared" si="512"/>
        <v>0.22074468085106383</v>
      </c>
      <c r="GJ26" s="315">
        <f t="shared" si="513"/>
        <v>-58</v>
      </c>
      <c r="GK26" s="402">
        <f t="shared" si="514"/>
        <v>-0.12636165577342048</v>
      </c>
      <c r="GL26" s="315">
        <f t="shared" si="515"/>
        <v>-135</v>
      </c>
      <c r="GM26" s="402">
        <f t="shared" si="516"/>
        <v>-0.33665835411471323</v>
      </c>
      <c r="GN26" s="315">
        <f t="shared" si="517"/>
        <v>83</v>
      </c>
      <c r="GO26" s="402">
        <f t="shared" si="518"/>
        <v>0.31203007518796994</v>
      </c>
      <c r="GP26" s="315">
        <f t="shared" si="519"/>
        <v>-29</v>
      </c>
      <c r="GQ26" s="402">
        <f t="shared" si="520"/>
        <v>-8.3094555873925502E-2</v>
      </c>
      <c r="GR26" s="315">
        <f t="shared" si="521"/>
        <v>290</v>
      </c>
      <c r="GS26" s="402">
        <f t="shared" si="522"/>
        <v>0.90625</v>
      </c>
      <c r="GT26" s="315">
        <f t="shared" si="523"/>
        <v>-173</v>
      </c>
      <c r="GU26" s="402">
        <f t="shared" si="524"/>
        <v>-0.28360655737704921</v>
      </c>
      <c r="GV26" s="315">
        <f t="shared" si="525"/>
        <v>-142</v>
      </c>
      <c r="GW26" s="402">
        <f t="shared" si="526"/>
        <v>-0.32494279176201374</v>
      </c>
      <c r="GX26" s="315">
        <f t="shared" si="527"/>
        <v>40</v>
      </c>
      <c r="GY26" s="402">
        <f t="shared" si="528"/>
        <v>0.13559322033898305</v>
      </c>
      <c r="GZ26" s="315">
        <f t="shared" si="529"/>
        <v>70</v>
      </c>
      <c r="HA26" s="402">
        <f t="shared" si="530"/>
        <v>0.20895522388059701</v>
      </c>
      <c r="HB26" s="315">
        <f t="shared" si="531"/>
        <v>-52</v>
      </c>
      <c r="HC26" s="402">
        <f t="shared" si="532"/>
        <v>-0.12839506172839507</v>
      </c>
      <c r="HD26" s="315">
        <f t="shared" si="533"/>
        <v>370</v>
      </c>
      <c r="HE26" s="402">
        <f t="shared" si="534"/>
        <v>1.048158640226629</v>
      </c>
      <c r="HF26" s="315">
        <f t="shared" si="535"/>
        <v>-355</v>
      </c>
      <c r="HG26" s="402">
        <f t="shared" si="536"/>
        <v>-0.49100968188105115</v>
      </c>
      <c r="HH26" s="315">
        <f t="shared" si="537"/>
        <v>-26</v>
      </c>
      <c r="HI26" s="402">
        <f t="shared" si="538"/>
        <v>-7.0652173913043473E-2</v>
      </c>
      <c r="HJ26" s="315">
        <f t="shared" si="539"/>
        <v>-25</v>
      </c>
      <c r="HK26" s="402">
        <f t="shared" si="540"/>
        <v>-7.3099415204678359E-2</v>
      </c>
      <c r="HL26" s="315">
        <f t="shared" si="541"/>
        <v>-48</v>
      </c>
      <c r="HM26" s="402">
        <f t="shared" si="542"/>
        <v>-0.15141955835962145</v>
      </c>
      <c r="HN26" s="315">
        <f t="shared" si="543"/>
        <v>149</v>
      </c>
      <c r="HO26" s="402">
        <f t="shared" si="544"/>
        <v>0.55390334572490707</v>
      </c>
      <c r="HP26" s="315">
        <f t="shared" si="545"/>
        <v>134</v>
      </c>
      <c r="HQ26" s="402">
        <f t="shared" si="546"/>
        <v>0.32057416267942584</v>
      </c>
      <c r="HR26" s="315">
        <f t="shared" si="547"/>
        <v>-84</v>
      </c>
      <c r="HS26" s="402">
        <f t="shared" si="548"/>
        <v>-0.15217391304347827</v>
      </c>
      <c r="HT26" s="315">
        <f t="shared" si="549"/>
        <v>-95</v>
      </c>
      <c r="HU26" s="402">
        <f t="shared" si="550"/>
        <v>-0.20299145299145299</v>
      </c>
      <c r="HV26" s="315">
        <f t="shared" si="551"/>
        <v>34</v>
      </c>
      <c r="HW26" s="402">
        <f t="shared" si="552"/>
        <v>9.1152815013404831E-2</v>
      </c>
      <c r="HX26" s="315">
        <f t="shared" si="553"/>
        <v>44</v>
      </c>
      <c r="HY26" s="402">
        <f t="shared" si="554"/>
        <v>0.10810810810810811</v>
      </c>
      <c r="HZ26" s="315">
        <f t="shared" si="555"/>
        <v>-120</v>
      </c>
      <c r="IA26" s="402">
        <f t="shared" si="556"/>
        <v>-0.36253776435045315</v>
      </c>
      <c r="IB26" s="315">
        <f t="shared" si="557"/>
        <v>327</v>
      </c>
      <c r="IC26" s="402">
        <f t="shared" si="558"/>
        <v>0.98791540785498488</v>
      </c>
      <c r="ID26" s="315">
        <f t="shared" si="559"/>
        <v>-257</v>
      </c>
      <c r="IE26" s="402">
        <f t="shared" si="560"/>
        <v>-0.60541813898704355</v>
      </c>
      <c r="IF26" s="315">
        <f t="shared" si="561"/>
        <v>-79</v>
      </c>
      <c r="IG26" s="402">
        <f t="shared" si="562"/>
        <v>-0.1970074812967581</v>
      </c>
      <c r="IH26" s="315">
        <f t="shared" si="563"/>
        <v>36</v>
      </c>
      <c r="II26" s="402">
        <f t="shared" si="564"/>
        <v>0.11180124223602485</v>
      </c>
      <c r="IJ26" s="315">
        <f t="shared" si="565"/>
        <v>-8</v>
      </c>
      <c r="IK26" s="402">
        <f t="shared" si="566"/>
        <v>-2.23463687150838E-2</v>
      </c>
      <c r="IL26" s="315">
        <f t="shared" si="567"/>
        <v>23</v>
      </c>
      <c r="IM26" s="402">
        <f t="shared" si="568"/>
        <v>6.5714285714285711E-2</v>
      </c>
      <c r="IN26" s="315">
        <f t="shared" si="569"/>
        <v>221</v>
      </c>
      <c r="IO26" s="402">
        <f t="shared" si="570"/>
        <v>0.59249329758713132</v>
      </c>
      <c r="IP26" s="315">
        <f t="shared" si="571"/>
        <v>-594</v>
      </c>
      <c r="IQ26" s="402">
        <f t="shared" si="572"/>
        <v>3633.5675675675675</v>
      </c>
      <c r="IR26" s="315">
        <f t="shared" si="573"/>
        <v>-275.51408450704224</v>
      </c>
      <c r="IS26" s="402">
        <f t="shared" si="574"/>
        <v>-0.99823943661971826</v>
      </c>
      <c r="IT26" s="625">
        <f t="shared" si="575"/>
        <v>552</v>
      </c>
      <c r="IU26" s="1062">
        <f t="shared" si="576"/>
        <v>594</v>
      </c>
      <c r="IV26" s="662">
        <f t="shared" si="577"/>
        <v>42</v>
      </c>
      <c r="IW26" s="109">
        <f t="shared" si="578"/>
        <v>7.6086956521739135E-2</v>
      </c>
      <c r="IX26" s="698"/>
      <c r="IY26" s="698"/>
      <c r="IZ26" s="698"/>
      <c r="JA26" t="str">
        <f t="shared" si="579"/>
        <v>Reported Source - US Mail</v>
      </c>
      <c r="JB26" s="262" t="e">
        <f>#REF!</f>
        <v>#REF!</v>
      </c>
      <c r="JC26" s="262" t="e">
        <f>#REF!</f>
        <v>#REF!</v>
      </c>
      <c r="JD26" s="262" t="e">
        <f>#REF!</f>
        <v>#REF!</v>
      </c>
      <c r="JE26" s="262" t="e">
        <f>#REF!</f>
        <v>#REF!</v>
      </c>
      <c r="JF26" s="262" t="e">
        <f>#REF!</f>
        <v>#REF!</v>
      </c>
      <c r="JG26" s="262" t="e">
        <f>#REF!</f>
        <v>#REF!</v>
      </c>
      <c r="JH26" s="262" t="e">
        <f>#REF!</f>
        <v>#REF!</v>
      </c>
      <c r="JI26" s="262" t="e">
        <f>#REF!</f>
        <v>#REF!</v>
      </c>
      <c r="JJ26" s="262" t="e">
        <f>#REF!</f>
        <v>#REF!</v>
      </c>
      <c r="JK26" s="262" t="e">
        <f>#REF!</f>
        <v>#REF!</v>
      </c>
      <c r="JL26" s="262" t="e">
        <f>#REF!</f>
        <v>#REF!</v>
      </c>
      <c r="JM26" s="263">
        <f t="shared" si="580"/>
        <v>628</v>
      </c>
      <c r="JN26" s="263">
        <f t="shared" si="581"/>
        <v>862</v>
      </c>
      <c r="JO26" s="263">
        <f t="shared" si="582"/>
        <v>468</v>
      </c>
      <c r="JP26" s="263">
        <f t="shared" si="583"/>
        <v>437</v>
      </c>
      <c r="JQ26" s="263">
        <f t="shared" si="584"/>
        <v>593</v>
      </c>
      <c r="JR26" s="263">
        <f t="shared" si="585"/>
        <v>529</v>
      </c>
      <c r="JS26" s="263">
        <f t="shared" si="586"/>
        <v>493</v>
      </c>
      <c r="JT26" s="263">
        <f t="shared" si="587"/>
        <v>599</v>
      </c>
      <c r="JU26" s="263">
        <f t="shared" si="588"/>
        <v>605</v>
      </c>
      <c r="JV26" s="263">
        <f t="shared" si="589"/>
        <v>753</v>
      </c>
      <c r="JW26" s="263">
        <f t="shared" si="590"/>
        <v>757</v>
      </c>
      <c r="JX26" s="263">
        <f t="shared" si="591"/>
        <v>526</v>
      </c>
      <c r="JY26" s="263">
        <f t="shared" si="592"/>
        <v>953</v>
      </c>
      <c r="JZ26" s="263">
        <f t="shared" si="593"/>
        <v>679</v>
      </c>
      <c r="KA26" s="263">
        <f t="shared" si="594"/>
        <v>568</v>
      </c>
      <c r="KB26" s="263">
        <f t="shared" si="595"/>
        <v>844</v>
      </c>
      <c r="KC26" s="263">
        <f t="shared" si="596"/>
        <v>866</v>
      </c>
      <c r="KD26" s="263">
        <f t="shared" si="597"/>
        <v>513</v>
      </c>
      <c r="KE26" s="263">
        <f t="shared" si="598"/>
        <v>344</v>
      </c>
      <c r="KF26" s="263">
        <f t="shared" si="599"/>
        <v>439</v>
      </c>
      <c r="KG26" s="263">
        <f t="shared" si="600"/>
        <v>446</v>
      </c>
      <c r="KH26" s="263">
        <f t="shared" si="601"/>
        <v>793</v>
      </c>
      <c r="KI26" s="263">
        <f t="shared" si="602"/>
        <v>504</v>
      </c>
      <c r="KJ26" s="263">
        <f t="shared" si="603"/>
        <v>450</v>
      </c>
      <c r="KK26" s="788">
        <f t="shared" si="604"/>
        <v>505</v>
      </c>
      <c r="KL26" s="788">
        <f t="shared" si="605"/>
        <v>458</v>
      </c>
      <c r="KM26" s="788">
        <f t="shared" si="606"/>
        <v>397</v>
      </c>
      <c r="KN26" s="788">
        <f t="shared" si="607"/>
        <v>380</v>
      </c>
      <c r="KO26" s="788">
        <f t="shared" si="608"/>
        <v>830</v>
      </c>
      <c r="KP26" s="788">
        <f t="shared" si="609"/>
        <v>452</v>
      </c>
      <c r="KQ26" s="788">
        <f t="shared" si="610"/>
        <v>388</v>
      </c>
      <c r="KR26" s="788">
        <f t="shared" si="611"/>
        <v>353</v>
      </c>
      <c r="KS26" s="788">
        <f t="shared" si="612"/>
        <v>402</v>
      </c>
      <c r="KT26" s="788">
        <f t="shared" si="613"/>
        <v>764</v>
      </c>
      <c r="KU26" s="788">
        <f t="shared" si="614"/>
        <v>489</v>
      </c>
      <c r="KV26" s="788">
        <f t="shared" si="615"/>
        <v>450</v>
      </c>
      <c r="KW26" s="900">
        <f t="shared" si="616"/>
        <v>446</v>
      </c>
      <c r="KX26" s="900">
        <f t="shared" si="617"/>
        <v>480</v>
      </c>
      <c r="KY26" s="900">
        <f t="shared" si="618"/>
        <v>365</v>
      </c>
      <c r="KZ26" s="900">
        <f t="shared" si="619"/>
        <v>376</v>
      </c>
      <c r="LA26" s="900">
        <f t="shared" si="620"/>
        <v>459</v>
      </c>
      <c r="LB26" s="900">
        <f t="shared" si="621"/>
        <v>401</v>
      </c>
      <c r="LC26" s="900">
        <f t="shared" si="622"/>
        <v>266</v>
      </c>
      <c r="LD26" s="900">
        <f t="shared" si="623"/>
        <v>349</v>
      </c>
      <c r="LE26" s="900">
        <f t="shared" si="624"/>
        <v>320</v>
      </c>
      <c r="LF26" s="900">
        <f t="shared" si="625"/>
        <v>610</v>
      </c>
      <c r="LG26" s="900">
        <f t="shared" si="626"/>
        <v>437</v>
      </c>
      <c r="LH26" s="900">
        <f t="shared" si="627"/>
        <v>295</v>
      </c>
      <c r="LI26" s="959">
        <f t="shared" si="628"/>
        <v>335</v>
      </c>
      <c r="LJ26" s="959">
        <f t="shared" si="629"/>
        <v>405</v>
      </c>
      <c r="LK26" s="959">
        <f t="shared" si="630"/>
        <v>353</v>
      </c>
      <c r="LL26" s="959">
        <f t="shared" si="631"/>
        <v>723</v>
      </c>
      <c r="LM26" s="959">
        <f t="shared" si="632"/>
        <v>368</v>
      </c>
      <c r="LN26" s="959">
        <f t="shared" si="633"/>
        <v>342</v>
      </c>
      <c r="LO26" s="959">
        <f t="shared" si="634"/>
        <v>317</v>
      </c>
      <c r="LP26" s="959">
        <f t="shared" si="635"/>
        <v>269</v>
      </c>
      <c r="LQ26" s="959">
        <f t="shared" si="636"/>
        <v>418</v>
      </c>
      <c r="LR26" s="959">
        <f t="shared" si="637"/>
        <v>552</v>
      </c>
      <c r="LS26" s="959">
        <f t="shared" si="638"/>
        <v>468</v>
      </c>
      <c r="LT26" s="959">
        <f t="shared" si="639"/>
        <v>373</v>
      </c>
      <c r="LU26" s="1155">
        <f t="shared" si="640"/>
        <v>407</v>
      </c>
      <c r="LV26" s="1155">
        <f t="shared" si="641"/>
        <v>451</v>
      </c>
      <c r="LW26" s="1155">
        <f t="shared" si="642"/>
        <v>331</v>
      </c>
      <c r="LX26" s="1155">
        <f t="shared" si="643"/>
        <v>658</v>
      </c>
      <c r="LY26" s="1155">
        <f t="shared" si="644"/>
        <v>401</v>
      </c>
      <c r="LZ26" s="1155">
        <f t="shared" si="645"/>
        <v>322</v>
      </c>
      <c r="MA26" s="1155">
        <f t="shared" si="646"/>
        <v>358</v>
      </c>
      <c r="MB26" s="1155">
        <f t="shared" si="647"/>
        <v>350</v>
      </c>
      <c r="MC26" s="1155">
        <f t="shared" si="648"/>
        <v>373</v>
      </c>
      <c r="MD26" s="1155">
        <f t="shared" si="649"/>
        <v>594</v>
      </c>
      <c r="ME26" s="1155">
        <f t="shared" si="650"/>
        <v>0</v>
      </c>
      <c r="MF26" s="1155">
        <f t="shared" si="651"/>
        <v>0</v>
      </c>
      <c r="MG26" s="1177">
        <f t="shared" si="652"/>
        <v>0</v>
      </c>
      <c r="MH26" s="1177">
        <f t="shared" si="653"/>
        <v>0</v>
      </c>
      <c r="MI26" s="1177">
        <f t="shared" si="654"/>
        <v>0</v>
      </c>
      <c r="MJ26" s="1177">
        <f t="shared" si="655"/>
        <v>0</v>
      </c>
      <c r="MK26" s="1177">
        <f t="shared" si="656"/>
        <v>0</v>
      </c>
      <c r="ML26" s="1177">
        <f t="shared" si="657"/>
        <v>0</v>
      </c>
      <c r="MM26" s="1177">
        <f t="shared" si="658"/>
        <v>0</v>
      </c>
      <c r="MN26" s="1177">
        <f t="shared" si="659"/>
        <v>0</v>
      </c>
      <c r="MO26" s="1177">
        <f t="shared" si="660"/>
        <v>0</v>
      </c>
      <c r="MP26" s="1177">
        <f t="shared" si="661"/>
        <v>0</v>
      </c>
      <c r="MQ26" s="1177">
        <f t="shared" si="662"/>
        <v>0</v>
      </c>
      <c r="MR26" s="1177">
        <f t="shared" si="662"/>
        <v>0</v>
      </c>
    </row>
    <row r="27" spans="1:356" x14ac:dyDescent="0.25">
      <c r="A27" s="764"/>
      <c r="B27" s="76"/>
      <c r="C27" s="76" t="s">
        <v>37</v>
      </c>
      <c r="D27" s="447"/>
      <c r="E27" s="1225" t="s">
        <v>42</v>
      </c>
      <c r="F27" s="1225"/>
      <c r="G27" s="1226"/>
      <c r="H27" s="376">
        <v>59</v>
      </c>
      <c r="I27" s="78">
        <v>68</v>
      </c>
      <c r="J27" s="31">
        <v>64</v>
      </c>
      <c r="K27" s="78">
        <v>73</v>
      </c>
      <c r="L27" s="31">
        <v>60</v>
      </c>
      <c r="M27" s="78">
        <v>40</v>
      </c>
      <c r="N27" s="31">
        <v>49</v>
      </c>
      <c r="O27" s="78">
        <v>89</v>
      </c>
      <c r="P27" s="31">
        <v>78</v>
      </c>
      <c r="Q27" s="78">
        <v>59</v>
      </c>
      <c r="R27" s="31">
        <v>39</v>
      </c>
      <c r="S27" s="78">
        <v>47</v>
      </c>
      <c r="T27" s="145">
        <v>725</v>
      </c>
      <c r="U27" s="164">
        <v>60.416666666666664</v>
      </c>
      <c r="V27" s="376">
        <v>60</v>
      </c>
      <c r="W27" s="78">
        <v>75</v>
      </c>
      <c r="X27" s="31">
        <v>42</v>
      </c>
      <c r="Y27" s="78">
        <v>52</v>
      </c>
      <c r="Z27" s="31">
        <v>34</v>
      </c>
      <c r="AA27" s="78">
        <v>9</v>
      </c>
      <c r="AB27" s="31">
        <v>17</v>
      </c>
      <c r="AC27" s="78">
        <v>14</v>
      </c>
      <c r="AD27" s="31">
        <v>9</v>
      </c>
      <c r="AE27" s="78">
        <v>20</v>
      </c>
      <c r="AF27" s="31">
        <v>47</v>
      </c>
      <c r="AG27" s="78">
        <v>54</v>
      </c>
      <c r="AH27" s="145">
        <v>433</v>
      </c>
      <c r="AI27" s="164">
        <v>36.083333333333336</v>
      </c>
      <c r="AJ27" s="376">
        <v>39</v>
      </c>
      <c r="AK27" s="78">
        <v>42</v>
      </c>
      <c r="AL27" s="31">
        <v>26</v>
      </c>
      <c r="AM27" s="78">
        <v>2</v>
      </c>
      <c r="AN27" s="31">
        <v>4</v>
      </c>
      <c r="AO27" s="78">
        <v>3</v>
      </c>
      <c r="AP27" s="626">
        <v>8</v>
      </c>
      <c r="AQ27" s="78">
        <v>9</v>
      </c>
      <c r="AR27" s="626">
        <v>5</v>
      </c>
      <c r="AS27" s="78">
        <v>2</v>
      </c>
      <c r="AT27" s="626">
        <v>2</v>
      </c>
      <c r="AU27" s="78">
        <v>6</v>
      </c>
      <c r="AV27" s="145">
        <f t="shared" si="416"/>
        <v>148</v>
      </c>
      <c r="AW27" s="164">
        <f t="shared" si="417"/>
        <v>12.333333333333334</v>
      </c>
      <c r="AX27" s="376">
        <v>8</v>
      </c>
      <c r="AY27" s="78">
        <v>7</v>
      </c>
      <c r="AZ27" s="31">
        <v>5</v>
      </c>
      <c r="BA27" s="78">
        <v>13</v>
      </c>
      <c r="BB27" s="31">
        <v>19</v>
      </c>
      <c r="BC27" s="78">
        <v>82</v>
      </c>
      <c r="BD27" s="626">
        <v>95</v>
      </c>
      <c r="BE27" s="78">
        <v>18</v>
      </c>
      <c r="BF27" s="626">
        <v>6</v>
      </c>
      <c r="BG27" s="78">
        <v>16</v>
      </c>
      <c r="BH27" s="626">
        <v>3</v>
      </c>
      <c r="BI27" s="78">
        <v>3</v>
      </c>
      <c r="BJ27" s="145">
        <f t="shared" si="420"/>
        <v>275</v>
      </c>
      <c r="BK27" s="164">
        <f t="shared" si="421"/>
        <v>22.916666666666668</v>
      </c>
      <c r="BL27" s="376">
        <v>6</v>
      </c>
      <c r="BM27" s="78">
        <v>2</v>
      </c>
      <c r="BN27" s="31">
        <v>3</v>
      </c>
      <c r="BO27" s="78">
        <v>15</v>
      </c>
      <c r="BP27" s="31">
        <v>6</v>
      </c>
      <c r="BQ27" s="78">
        <v>10</v>
      </c>
      <c r="BR27" s="626">
        <v>27</v>
      </c>
      <c r="BS27" s="78">
        <v>16</v>
      </c>
      <c r="BT27" s="626">
        <v>12</v>
      </c>
      <c r="BU27" s="626">
        <v>31</v>
      </c>
      <c r="BV27" s="626">
        <v>28</v>
      </c>
      <c r="BW27" s="626">
        <v>33</v>
      </c>
      <c r="BX27" s="145">
        <f t="shared" si="428"/>
        <v>189</v>
      </c>
      <c r="BY27" s="164">
        <f t="shared" si="429"/>
        <v>15.75</v>
      </c>
      <c r="BZ27" s="626">
        <v>20</v>
      </c>
      <c r="CA27" s="78">
        <v>33</v>
      </c>
      <c r="CB27" s="31">
        <v>6</v>
      </c>
      <c r="CC27" s="78">
        <v>35</v>
      </c>
      <c r="CD27" s="31">
        <v>17</v>
      </c>
      <c r="CE27" s="78">
        <v>37</v>
      </c>
      <c r="CF27" s="626">
        <v>39</v>
      </c>
      <c r="CG27" s="78">
        <v>27</v>
      </c>
      <c r="CH27" s="626">
        <v>37</v>
      </c>
      <c r="CI27" s="626">
        <v>29</v>
      </c>
      <c r="CJ27" s="626">
        <v>28</v>
      </c>
      <c r="CK27" s="626">
        <v>38</v>
      </c>
      <c r="CL27" s="145">
        <f t="shared" si="436"/>
        <v>346</v>
      </c>
      <c r="CM27" s="164">
        <f t="shared" si="437"/>
        <v>28.833333333333332</v>
      </c>
      <c r="CN27" s="626">
        <v>58</v>
      </c>
      <c r="CO27" s="78">
        <v>34</v>
      </c>
      <c r="CP27" s="31">
        <v>15</v>
      </c>
      <c r="CQ27" s="78">
        <v>18</v>
      </c>
      <c r="CR27" s="31">
        <v>30</v>
      </c>
      <c r="CS27" s="78">
        <v>15</v>
      </c>
      <c r="CT27" s="212">
        <v>22</v>
      </c>
      <c r="CU27" s="78">
        <v>18</v>
      </c>
      <c r="CV27" s="626">
        <v>35</v>
      </c>
      <c r="CW27" s="1063">
        <v>19</v>
      </c>
      <c r="CX27" s="626">
        <v>34</v>
      </c>
      <c r="CY27" s="78">
        <v>42</v>
      </c>
      <c r="CZ27" s="145">
        <f t="shared" si="444"/>
        <v>340</v>
      </c>
      <c r="DA27" s="164">
        <f t="shared" si="445"/>
        <v>28.333333333333332</v>
      </c>
      <c r="DB27" s="626">
        <v>41</v>
      </c>
      <c r="DC27" s="78">
        <v>26</v>
      </c>
      <c r="DD27" s="31">
        <v>9</v>
      </c>
      <c r="DE27" s="78">
        <v>17</v>
      </c>
      <c r="DF27" s="31">
        <v>18</v>
      </c>
      <c r="DG27" s="78">
        <v>23</v>
      </c>
      <c r="DH27" s="212">
        <v>21</v>
      </c>
      <c r="DI27" s="78">
        <v>31</v>
      </c>
      <c r="DJ27" s="626">
        <v>7</v>
      </c>
      <c r="DK27" s="78">
        <v>35</v>
      </c>
      <c r="DL27" s="626"/>
      <c r="DM27" s="78"/>
      <c r="DN27" s="145">
        <f t="shared" si="451"/>
        <v>228</v>
      </c>
      <c r="DO27" s="164">
        <f t="shared" si="452"/>
        <v>22.8</v>
      </c>
      <c r="DP27" s="626"/>
      <c r="DQ27" s="78"/>
      <c r="DR27" s="31"/>
      <c r="DS27" s="78"/>
      <c r="DT27" s="31"/>
      <c r="DU27" s="78"/>
      <c r="DV27" s="212"/>
      <c r="DW27" s="78"/>
      <c r="DX27" s="626"/>
      <c r="DY27" s="78"/>
      <c r="DZ27" s="626"/>
      <c r="EA27" s="78"/>
      <c r="EB27" s="145">
        <f t="shared" si="453"/>
        <v>0</v>
      </c>
      <c r="EC27" s="164" t="e">
        <f t="shared" si="454"/>
        <v>#DIV/0!</v>
      </c>
      <c r="ED27" s="668">
        <f t="shared" si="455"/>
        <v>2</v>
      </c>
      <c r="EE27" s="669">
        <f t="shared" si="456"/>
        <v>0.33333333333333331</v>
      </c>
      <c r="EF27" s="668">
        <f t="shared" si="457"/>
        <v>-1</v>
      </c>
      <c r="EG27" s="669">
        <f t="shared" si="458"/>
        <v>-0.125</v>
      </c>
      <c r="EH27" s="668">
        <f t="shared" si="459"/>
        <v>-2</v>
      </c>
      <c r="EI27" s="669">
        <f t="shared" si="460"/>
        <v>-0.2857142857142857</v>
      </c>
      <c r="EJ27" s="668">
        <f t="shared" si="461"/>
        <v>8</v>
      </c>
      <c r="EK27" s="669">
        <f t="shared" si="462"/>
        <v>1.6</v>
      </c>
      <c r="EL27" s="668">
        <f t="shared" si="463"/>
        <v>6</v>
      </c>
      <c r="EM27" s="669">
        <f t="shared" si="464"/>
        <v>0.46153846153846156</v>
      </c>
      <c r="EN27" s="668">
        <f t="shared" si="465"/>
        <v>63</v>
      </c>
      <c r="EO27" s="669">
        <f t="shared" si="466"/>
        <v>3.3157894736842106</v>
      </c>
      <c r="EP27" s="668">
        <f t="shared" si="467"/>
        <v>13</v>
      </c>
      <c r="EQ27" s="669">
        <f t="shared" si="468"/>
        <v>0.15853658536585366</v>
      </c>
      <c r="ER27" s="668">
        <f t="shared" si="469"/>
        <v>-77</v>
      </c>
      <c r="ES27" s="669">
        <f t="shared" si="470"/>
        <v>-0.81052631578947365</v>
      </c>
      <c r="ET27" s="668">
        <f t="shared" si="471"/>
        <v>-12</v>
      </c>
      <c r="EU27" s="669">
        <f t="shared" si="472"/>
        <v>-0.66666666666666663</v>
      </c>
      <c r="EV27" s="668">
        <f t="shared" si="473"/>
        <v>10</v>
      </c>
      <c r="EW27" s="117">
        <f t="shared" si="474"/>
        <v>1.6666666666666667</v>
      </c>
      <c r="EX27" s="668">
        <f t="shared" si="475"/>
        <v>-13</v>
      </c>
      <c r="EY27" s="669">
        <f t="shared" si="476"/>
        <v>-0.8125</v>
      </c>
      <c r="EZ27" s="668">
        <f t="shared" si="477"/>
        <v>0</v>
      </c>
      <c r="FA27" s="669">
        <f t="shared" si="478"/>
        <v>0</v>
      </c>
      <c r="FB27" s="668">
        <f t="shared" si="479"/>
        <v>3</v>
      </c>
      <c r="FC27" s="669">
        <f t="shared" si="480"/>
        <v>1</v>
      </c>
      <c r="FD27" s="320">
        <f t="shared" si="481"/>
        <v>-4</v>
      </c>
      <c r="FE27" s="404">
        <f t="shared" si="482"/>
        <v>-0.66666666666666663</v>
      </c>
      <c r="FF27" s="320">
        <f t="shared" si="483"/>
        <v>1</v>
      </c>
      <c r="FG27" s="404">
        <f t="shared" si="484"/>
        <v>0.5</v>
      </c>
      <c r="FH27" s="320">
        <f t="shared" si="485"/>
        <v>12</v>
      </c>
      <c r="FI27" s="404">
        <f t="shared" si="486"/>
        <v>4</v>
      </c>
      <c r="FJ27" s="320">
        <f t="shared" si="487"/>
        <v>-9</v>
      </c>
      <c r="FK27" s="404">
        <f t="shared" si="488"/>
        <v>-0.6</v>
      </c>
      <c r="FL27" s="320">
        <f t="shared" si="489"/>
        <v>4</v>
      </c>
      <c r="FM27" s="404">
        <f t="shared" si="490"/>
        <v>0.66666666666666663</v>
      </c>
      <c r="FN27" s="320">
        <f t="shared" si="491"/>
        <v>17</v>
      </c>
      <c r="FO27" s="404">
        <f t="shared" si="492"/>
        <v>1.7</v>
      </c>
      <c r="FP27" s="320">
        <f t="shared" si="493"/>
        <v>-11</v>
      </c>
      <c r="FQ27" s="404">
        <f t="shared" si="494"/>
        <v>-0.40740740740740738</v>
      </c>
      <c r="FR27" s="320">
        <f t="shared" si="495"/>
        <v>-4</v>
      </c>
      <c r="FS27" s="404">
        <f t="shared" si="496"/>
        <v>-0.25</v>
      </c>
      <c r="FT27" s="320">
        <f t="shared" si="497"/>
        <v>19</v>
      </c>
      <c r="FU27" s="404">
        <f t="shared" si="498"/>
        <v>1.5833333333333333</v>
      </c>
      <c r="FV27" s="320">
        <f t="shared" si="499"/>
        <v>-3</v>
      </c>
      <c r="FW27" s="404">
        <f t="shared" si="500"/>
        <v>-9.6774193548387094E-2</v>
      </c>
      <c r="FX27" s="320">
        <f t="shared" si="501"/>
        <v>5</v>
      </c>
      <c r="FY27" s="404">
        <f t="shared" si="502"/>
        <v>0.17857142857142858</v>
      </c>
      <c r="FZ27" s="320">
        <f t="shared" si="503"/>
        <v>-13</v>
      </c>
      <c r="GA27" s="404">
        <f t="shared" si="504"/>
        <v>-0.39393939393939392</v>
      </c>
      <c r="GB27" s="320">
        <f t="shared" si="505"/>
        <v>13</v>
      </c>
      <c r="GC27" s="404">
        <f t="shared" si="506"/>
        <v>0.65</v>
      </c>
      <c r="GD27" s="320">
        <f t="shared" si="507"/>
        <v>-27</v>
      </c>
      <c r="GE27" s="404">
        <f t="shared" si="508"/>
        <v>-0.81818181818181823</v>
      </c>
      <c r="GF27" s="320">
        <f t="shared" si="509"/>
        <v>29</v>
      </c>
      <c r="GG27" s="404">
        <f t="shared" si="510"/>
        <v>4.833333333333333</v>
      </c>
      <c r="GH27" s="320">
        <f t="shared" si="511"/>
        <v>-18</v>
      </c>
      <c r="GI27" s="404">
        <f t="shared" si="512"/>
        <v>-0.51428571428571423</v>
      </c>
      <c r="GJ27" s="320">
        <f t="shared" si="513"/>
        <v>20</v>
      </c>
      <c r="GK27" s="404">
        <f t="shared" si="514"/>
        <v>1.1764705882352942</v>
      </c>
      <c r="GL27" s="320">
        <f t="shared" si="515"/>
        <v>2</v>
      </c>
      <c r="GM27" s="404">
        <f t="shared" si="516"/>
        <v>5.4054054054054057E-2</v>
      </c>
      <c r="GN27" s="320">
        <f t="shared" si="517"/>
        <v>-12</v>
      </c>
      <c r="GO27" s="404">
        <f t="shared" si="518"/>
        <v>-0.30769230769230771</v>
      </c>
      <c r="GP27" s="320">
        <f t="shared" si="519"/>
        <v>10</v>
      </c>
      <c r="GQ27" s="404">
        <f t="shared" si="520"/>
        <v>0.37037037037037035</v>
      </c>
      <c r="GR27" s="320">
        <f t="shared" si="521"/>
        <v>-8</v>
      </c>
      <c r="GS27" s="404">
        <f t="shared" si="522"/>
        <v>-0.21621621621621623</v>
      </c>
      <c r="GT27" s="320">
        <f t="shared" si="523"/>
        <v>-1</v>
      </c>
      <c r="GU27" s="404">
        <f t="shared" si="524"/>
        <v>-3.4482758620689655E-2</v>
      </c>
      <c r="GV27" s="320">
        <f t="shared" si="525"/>
        <v>10</v>
      </c>
      <c r="GW27" s="404">
        <f t="shared" si="526"/>
        <v>0.35714285714285715</v>
      </c>
      <c r="GX27" s="320">
        <f t="shared" si="527"/>
        <v>20</v>
      </c>
      <c r="GY27" s="404">
        <f t="shared" si="528"/>
        <v>0.52631578947368418</v>
      </c>
      <c r="GZ27" s="320">
        <f t="shared" si="529"/>
        <v>-24</v>
      </c>
      <c r="HA27" s="404">
        <f t="shared" si="530"/>
        <v>-0.41379310344827586</v>
      </c>
      <c r="HB27" s="320">
        <f t="shared" si="531"/>
        <v>-19</v>
      </c>
      <c r="HC27" s="404">
        <f t="shared" si="532"/>
        <v>-0.55882352941176472</v>
      </c>
      <c r="HD27" s="320">
        <f t="shared" si="533"/>
        <v>3</v>
      </c>
      <c r="HE27" s="404">
        <f t="shared" si="534"/>
        <v>0.2</v>
      </c>
      <c r="HF27" s="320">
        <f t="shared" si="535"/>
        <v>12</v>
      </c>
      <c r="HG27" s="404">
        <f t="shared" si="536"/>
        <v>0.66666666666666663</v>
      </c>
      <c r="HH27" s="320">
        <f t="shared" si="537"/>
        <v>-15</v>
      </c>
      <c r="HI27" s="404">
        <f t="shared" si="538"/>
        <v>-0.5</v>
      </c>
      <c r="HJ27" s="320">
        <f t="shared" si="539"/>
        <v>7</v>
      </c>
      <c r="HK27" s="404">
        <f t="shared" si="540"/>
        <v>0.46666666666666667</v>
      </c>
      <c r="HL27" s="320">
        <f t="shared" si="541"/>
        <v>-4</v>
      </c>
      <c r="HM27" s="404">
        <f t="shared" si="542"/>
        <v>-0.18181818181818182</v>
      </c>
      <c r="HN27" s="320">
        <f t="shared" si="543"/>
        <v>17</v>
      </c>
      <c r="HO27" s="404">
        <f t="shared" si="544"/>
        <v>0.94444444444444442</v>
      </c>
      <c r="HP27" s="320">
        <f t="shared" si="545"/>
        <v>-16</v>
      </c>
      <c r="HQ27" s="404">
        <f t="shared" si="546"/>
        <v>-0.45714285714285713</v>
      </c>
      <c r="HR27" s="320">
        <f t="shared" si="547"/>
        <v>15</v>
      </c>
      <c r="HS27" s="404">
        <f t="shared" si="548"/>
        <v>0.78947368421052633</v>
      </c>
      <c r="HT27" s="320">
        <f t="shared" si="549"/>
        <v>8</v>
      </c>
      <c r="HU27" s="404">
        <f t="shared" si="550"/>
        <v>0.23529411764705882</v>
      </c>
      <c r="HV27" s="320">
        <f t="shared" si="551"/>
        <v>-1</v>
      </c>
      <c r="HW27" s="404">
        <f t="shared" si="552"/>
        <v>-2.3809523809523808E-2</v>
      </c>
      <c r="HX27" s="320">
        <f t="shared" si="553"/>
        <v>-15</v>
      </c>
      <c r="HY27" s="404">
        <f t="shared" si="554"/>
        <v>-0.36585365853658536</v>
      </c>
      <c r="HZ27" s="320">
        <f t="shared" si="555"/>
        <v>-17</v>
      </c>
      <c r="IA27" s="404">
        <f t="shared" si="556"/>
        <v>-1.8888888888888888</v>
      </c>
      <c r="IB27" s="320">
        <f t="shared" si="557"/>
        <v>8</v>
      </c>
      <c r="IC27" s="404">
        <f t="shared" si="558"/>
        <v>0.88888888888888884</v>
      </c>
      <c r="ID27" s="320">
        <f t="shared" si="559"/>
        <v>1</v>
      </c>
      <c r="IE27" s="404">
        <f t="shared" si="560"/>
        <v>4.3859649122807015E-2</v>
      </c>
      <c r="IF27" s="320">
        <f t="shared" si="561"/>
        <v>5</v>
      </c>
      <c r="IG27" s="404">
        <f t="shared" si="562"/>
        <v>0.27777777777777779</v>
      </c>
      <c r="IH27" s="320">
        <f t="shared" si="563"/>
        <v>-2</v>
      </c>
      <c r="II27" s="404">
        <f t="shared" si="564"/>
        <v>-8.6956521739130432E-2</v>
      </c>
      <c r="IJ27" s="320">
        <f t="shared" si="565"/>
        <v>10</v>
      </c>
      <c r="IK27" s="404">
        <f t="shared" si="566"/>
        <v>0.47619047619047616</v>
      </c>
      <c r="IL27" s="320">
        <f t="shared" si="567"/>
        <v>-24</v>
      </c>
      <c r="IM27" s="404">
        <f t="shared" si="568"/>
        <v>-0.77419354838709675</v>
      </c>
      <c r="IN27" s="320">
        <f t="shared" si="569"/>
        <v>28</v>
      </c>
      <c r="IO27" s="404">
        <f t="shared" si="570"/>
        <v>4</v>
      </c>
      <c r="IP27" s="320">
        <f t="shared" si="571"/>
        <v>-35</v>
      </c>
      <c r="IQ27" s="404">
        <f t="shared" si="572"/>
        <v>122.5</v>
      </c>
      <c r="IR27" s="320">
        <f t="shared" si="573"/>
        <v>-6.4</v>
      </c>
      <c r="IS27" s="404">
        <f t="shared" si="574"/>
        <v>-0.8</v>
      </c>
      <c r="IT27" s="626">
        <f t="shared" si="575"/>
        <v>19</v>
      </c>
      <c r="IU27" s="1063">
        <f t="shared" si="576"/>
        <v>35</v>
      </c>
      <c r="IV27" s="668">
        <f t="shared" si="577"/>
        <v>16</v>
      </c>
      <c r="IW27" s="117">
        <f t="shared" si="578"/>
        <v>0.84210526315789469</v>
      </c>
      <c r="IX27" s="698"/>
      <c r="IY27" s="698"/>
      <c r="IZ27" s="698"/>
      <c r="JA27" t="str">
        <f t="shared" si="579"/>
        <v>Reported Source - Other</v>
      </c>
      <c r="JB27" s="270" t="e">
        <f>#REF!</f>
        <v>#REF!</v>
      </c>
      <c r="JC27" s="270" t="e">
        <f>#REF!</f>
        <v>#REF!</v>
      </c>
      <c r="JD27" s="270" t="e">
        <f>#REF!</f>
        <v>#REF!</v>
      </c>
      <c r="JE27" s="270" t="e">
        <f>#REF!</f>
        <v>#REF!</v>
      </c>
      <c r="JF27" s="270" t="e">
        <f>#REF!</f>
        <v>#REF!</v>
      </c>
      <c r="JG27" s="270" t="e">
        <f>#REF!</f>
        <v>#REF!</v>
      </c>
      <c r="JH27" s="270" t="e">
        <f>#REF!</f>
        <v>#REF!</v>
      </c>
      <c r="JI27" s="270" t="e">
        <f>#REF!</f>
        <v>#REF!</v>
      </c>
      <c r="JJ27" s="270" t="e">
        <f>#REF!</f>
        <v>#REF!</v>
      </c>
      <c r="JK27" s="270" t="e">
        <f>#REF!</f>
        <v>#REF!</v>
      </c>
      <c r="JL27" s="270" t="e">
        <f>#REF!</f>
        <v>#REF!</v>
      </c>
      <c r="JM27" s="271">
        <f t="shared" si="580"/>
        <v>39</v>
      </c>
      <c r="JN27" s="271">
        <f t="shared" si="581"/>
        <v>42</v>
      </c>
      <c r="JO27" s="271">
        <f t="shared" si="582"/>
        <v>26</v>
      </c>
      <c r="JP27" s="271">
        <f t="shared" si="583"/>
        <v>2</v>
      </c>
      <c r="JQ27" s="271">
        <f t="shared" si="584"/>
        <v>4</v>
      </c>
      <c r="JR27" s="271">
        <f t="shared" si="585"/>
        <v>3</v>
      </c>
      <c r="JS27" s="271">
        <f t="shared" si="586"/>
        <v>8</v>
      </c>
      <c r="JT27" s="271">
        <f t="shared" si="587"/>
        <v>9</v>
      </c>
      <c r="JU27" s="271">
        <f t="shared" si="588"/>
        <v>5</v>
      </c>
      <c r="JV27" s="271">
        <f t="shared" si="589"/>
        <v>2</v>
      </c>
      <c r="JW27" s="271">
        <f t="shared" si="590"/>
        <v>2</v>
      </c>
      <c r="JX27" s="271">
        <f t="shared" si="591"/>
        <v>6</v>
      </c>
      <c r="JY27" s="271">
        <f t="shared" si="592"/>
        <v>8</v>
      </c>
      <c r="JZ27" s="271">
        <f t="shared" si="593"/>
        <v>7</v>
      </c>
      <c r="KA27" s="271">
        <f t="shared" si="594"/>
        <v>5</v>
      </c>
      <c r="KB27" s="271">
        <f t="shared" si="595"/>
        <v>13</v>
      </c>
      <c r="KC27" s="271">
        <f t="shared" si="596"/>
        <v>19</v>
      </c>
      <c r="KD27" s="271">
        <f t="shared" si="597"/>
        <v>82</v>
      </c>
      <c r="KE27" s="271">
        <f t="shared" si="598"/>
        <v>95</v>
      </c>
      <c r="KF27" s="271">
        <f t="shared" si="599"/>
        <v>18</v>
      </c>
      <c r="KG27" s="271">
        <f t="shared" si="600"/>
        <v>6</v>
      </c>
      <c r="KH27" s="271">
        <f t="shared" si="601"/>
        <v>16</v>
      </c>
      <c r="KI27" s="271">
        <f t="shared" si="602"/>
        <v>3</v>
      </c>
      <c r="KJ27" s="271">
        <f t="shared" si="603"/>
        <v>3</v>
      </c>
      <c r="KK27" s="792">
        <f t="shared" si="604"/>
        <v>6</v>
      </c>
      <c r="KL27" s="792">
        <f t="shared" si="605"/>
        <v>2</v>
      </c>
      <c r="KM27" s="792">
        <f t="shared" si="606"/>
        <v>3</v>
      </c>
      <c r="KN27" s="792">
        <f t="shared" si="607"/>
        <v>15</v>
      </c>
      <c r="KO27" s="792">
        <f t="shared" si="608"/>
        <v>6</v>
      </c>
      <c r="KP27" s="792">
        <f t="shared" si="609"/>
        <v>10</v>
      </c>
      <c r="KQ27" s="792">
        <f t="shared" si="610"/>
        <v>27</v>
      </c>
      <c r="KR27" s="792">
        <f t="shared" si="611"/>
        <v>16</v>
      </c>
      <c r="KS27" s="792">
        <f t="shared" si="612"/>
        <v>12</v>
      </c>
      <c r="KT27" s="792">
        <f t="shared" si="613"/>
        <v>31</v>
      </c>
      <c r="KU27" s="792">
        <f t="shared" si="614"/>
        <v>28</v>
      </c>
      <c r="KV27" s="792">
        <f t="shared" si="615"/>
        <v>33</v>
      </c>
      <c r="KW27" s="904">
        <f t="shared" si="616"/>
        <v>20</v>
      </c>
      <c r="KX27" s="904">
        <f t="shared" si="617"/>
        <v>33</v>
      </c>
      <c r="KY27" s="904">
        <f t="shared" si="618"/>
        <v>6</v>
      </c>
      <c r="KZ27" s="904">
        <f t="shared" si="619"/>
        <v>35</v>
      </c>
      <c r="LA27" s="904">
        <f t="shared" si="620"/>
        <v>17</v>
      </c>
      <c r="LB27" s="904">
        <f t="shared" si="621"/>
        <v>37</v>
      </c>
      <c r="LC27" s="904">
        <f t="shared" si="622"/>
        <v>39</v>
      </c>
      <c r="LD27" s="904">
        <f t="shared" si="623"/>
        <v>27</v>
      </c>
      <c r="LE27" s="904">
        <f t="shared" si="624"/>
        <v>37</v>
      </c>
      <c r="LF27" s="904">
        <f t="shared" si="625"/>
        <v>29</v>
      </c>
      <c r="LG27" s="904">
        <f t="shared" si="626"/>
        <v>28</v>
      </c>
      <c r="LH27" s="904">
        <f t="shared" si="627"/>
        <v>38</v>
      </c>
      <c r="LI27" s="963">
        <f t="shared" si="628"/>
        <v>58</v>
      </c>
      <c r="LJ27" s="963">
        <f t="shared" si="629"/>
        <v>34</v>
      </c>
      <c r="LK27" s="963">
        <f t="shared" si="630"/>
        <v>15</v>
      </c>
      <c r="LL27" s="963">
        <f t="shared" si="631"/>
        <v>18</v>
      </c>
      <c r="LM27" s="963">
        <f t="shared" si="632"/>
        <v>30</v>
      </c>
      <c r="LN27" s="963">
        <f t="shared" si="633"/>
        <v>15</v>
      </c>
      <c r="LO27" s="963">
        <f t="shared" si="634"/>
        <v>22</v>
      </c>
      <c r="LP27" s="963">
        <f t="shared" si="635"/>
        <v>18</v>
      </c>
      <c r="LQ27" s="963">
        <f t="shared" si="636"/>
        <v>35</v>
      </c>
      <c r="LR27" s="963">
        <f t="shared" si="637"/>
        <v>19</v>
      </c>
      <c r="LS27" s="963">
        <f t="shared" si="638"/>
        <v>34</v>
      </c>
      <c r="LT27" s="963">
        <f t="shared" si="639"/>
        <v>42</v>
      </c>
      <c r="LU27" s="1159">
        <f t="shared" si="640"/>
        <v>41</v>
      </c>
      <c r="LV27" s="1159">
        <f t="shared" si="641"/>
        <v>26</v>
      </c>
      <c r="LW27" s="1159">
        <f t="shared" si="642"/>
        <v>9</v>
      </c>
      <c r="LX27" s="1159">
        <f t="shared" si="643"/>
        <v>17</v>
      </c>
      <c r="LY27" s="1159">
        <f t="shared" si="644"/>
        <v>18</v>
      </c>
      <c r="LZ27" s="1159">
        <f t="shared" si="645"/>
        <v>23</v>
      </c>
      <c r="MA27" s="1159">
        <f t="shared" si="646"/>
        <v>21</v>
      </c>
      <c r="MB27" s="1159">
        <f t="shared" si="647"/>
        <v>31</v>
      </c>
      <c r="MC27" s="1159">
        <f t="shared" si="648"/>
        <v>7</v>
      </c>
      <c r="MD27" s="1159">
        <f t="shared" si="649"/>
        <v>35</v>
      </c>
      <c r="ME27" s="1159">
        <f t="shared" si="650"/>
        <v>0</v>
      </c>
      <c r="MF27" s="1159">
        <f t="shared" si="651"/>
        <v>0</v>
      </c>
      <c r="MG27" s="1181">
        <f t="shared" si="652"/>
        <v>0</v>
      </c>
      <c r="MH27" s="1181">
        <f t="shared" si="653"/>
        <v>0</v>
      </c>
      <c r="MI27" s="1181">
        <f t="shared" si="654"/>
        <v>0</v>
      </c>
      <c r="MJ27" s="1181">
        <f t="shared" si="655"/>
        <v>0</v>
      </c>
      <c r="MK27" s="1181">
        <f t="shared" si="656"/>
        <v>0</v>
      </c>
      <c r="ML27" s="1181">
        <f t="shared" si="657"/>
        <v>0</v>
      </c>
      <c r="MM27" s="1181">
        <f t="shared" si="658"/>
        <v>0</v>
      </c>
      <c r="MN27" s="1181">
        <f t="shared" si="659"/>
        <v>0</v>
      </c>
      <c r="MO27" s="1181">
        <f t="shared" si="660"/>
        <v>0</v>
      </c>
      <c r="MP27" s="1181">
        <f t="shared" si="661"/>
        <v>0</v>
      </c>
      <c r="MQ27" s="1181">
        <f t="shared" si="662"/>
        <v>0</v>
      </c>
      <c r="MR27" s="1181">
        <f t="shared" si="662"/>
        <v>0</v>
      </c>
    </row>
    <row r="28" spans="1:356" x14ac:dyDescent="0.25">
      <c r="A28" s="764"/>
      <c r="B28" s="56">
        <v>3.2</v>
      </c>
      <c r="C28" s="7"/>
      <c r="D28" s="119"/>
      <c r="E28" s="1229" t="s">
        <v>43</v>
      </c>
      <c r="F28" s="1229"/>
      <c r="G28" s="1230"/>
      <c r="H28" s="368">
        <v>7427</v>
      </c>
      <c r="I28" s="70">
        <v>7288</v>
      </c>
      <c r="J28" s="23">
        <v>7260</v>
      </c>
      <c r="K28" s="70">
        <v>11069</v>
      </c>
      <c r="L28" s="23">
        <v>7716</v>
      </c>
      <c r="M28" s="70">
        <v>6635</v>
      </c>
      <c r="N28" s="23">
        <v>7199</v>
      </c>
      <c r="O28" s="70">
        <v>7628</v>
      </c>
      <c r="P28" s="23">
        <v>7230</v>
      </c>
      <c r="Q28" s="70">
        <v>6108</v>
      </c>
      <c r="R28" s="23">
        <v>7579</v>
      </c>
      <c r="S28" s="70">
        <v>8818</v>
      </c>
      <c r="T28" s="130">
        <v>91957</v>
      </c>
      <c r="U28" s="163">
        <v>7663.083333333333</v>
      </c>
      <c r="V28" s="368">
        <v>6846</v>
      </c>
      <c r="W28" s="70">
        <v>6829</v>
      </c>
      <c r="X28" s="23">
        <v>5885</v>
      </c>
      <c r="Y28" s="70">
        <v>7242</v>
      </c>
      <c r="Z28" s="23">
        <v>6077</v>
      </c>
      <c r="AA28" s="70">
        <v>5863</v>
      </c>
      <c r="AB28" s="23">
        <v>6772</v>
      </c>
      <c r="AC28" s="70">
        <v>6977</v>
      </c>
      <c r="AD28" s="23">
        <v>6920</v>
      </c>
      <c r="AE28" s="70">
        <v>6325</v>
      </c>
      <c r="AF28" s="23">
        <v>5223</v>
      </c>
      <c r="AG28" s="70">
        <v>6025</v>
      </c>
      <c r="AH28" s="130">
        <v>76984</v>
      </c>
      <c r="AI28" s="163">
        <v>6415.333333333333</v>
      </c>
      <c r="AJ28" s="368">
        <v>6665</v>
      </c>
      <c r="AK28" s="70">
        <v>7045</v>
      </c>
      <c r="AL28" s="23">
        <v>5368</v>
      </c>
      <c r="AM28" s="70">
        <v>8782</v>
      </c>
      <c r="AN28" s="23">
        <v>6403</v>
      </c>
      <c r="AO28" s="70">
        <v>5780</v>
      </c>
      <c r="AP28" s="625">
        <v>7404</v>
      </c>
      <c r="AQ28" s="70">
        <v>7046</v>
      </c>
      <c r="AR28" s="625">
        <v>6225</v>
      </c>
      <c r="AS28" s="70">
        <v>6705</v>
      </c>
      <c r="AT28" s="625">
        <v>8219</v>
      </c>
      <c r="AU28" s="70">
        <v>6580</v>
      </c>
      <c r="AV28" s="130">
        <f t="shared" si="416"/>
        <v>82222</v>
      </c>
      <c r="AW28" s="163">
        <f t="shared" si="417"/>
        <v>6851.833333333333</v>
      </c>
      <c r="AX28" s="368">
        <v>7272</v>
      </c>
      <c r="AY28" s="70">
        <v>7055</v>
      </c>
      <c r="AZ28" s="23">
        <v>7510</v>
      </c>
      <c r="BA28" s="70">
        <v>13671</v>
      </c>
      <c r="BB28" s="23">
        <v>9009</v>
      </c>
      <c r="BC28" s="70">
        <v>7670</v>
      </c>
      <c r="BD28" s="625">
        <v>8415</v>
      </c>
      <c r="BE28" s="70">
        <v>6900</v>
      </c>
      <c r="BF28" s="625">
        <v>6739</v>
      </c>
      <c r="BG28" s="70">
        <v>6854</v>
      </c>
      <c r="BH28" s="625">
        <v>6674</v>
      </c>
      <c r="BI28" s="70">
        <v>7122</v>
      </c>
      <c r="BJ28" s="130">
        <f t="shared" si="420"/>
        <v>94891</v>
      </c>
      <c r="BK28" s="163">
        <f t="shared" si="421"/>
        <v>7907.583333333333</v>
      </c>
      <c r="BL28" s="368">
        <v>7455</v>
      </c>
      <c r="BM28" s="70">
        <v>6985</v>
      </c>
      <c r="BN28" s="23">
        <v>7516</v>
      </c>
      <c r="BO28" s="70">
        <v>13016</v>
      </c>
      <c r="BP28" s="23">
        <v>7642</v>
      </c>
      <c r="BQ28" s="70">
        <v>7649</v>
      </c>
      <c r="BR28" s="625">
        <v>8808</v>
      </c>
      <c r="BS28" s="70">
        <v>7277</v>
      </c>
      <c r="BT28" s="625">
        <v>8213</v>
      </c>
      <c r="BU28" s="625">
        <v>8465</v>
      </c>
      <c r="BV28" s="625">
        <v>6775</v>
      </c>
      <c r="BW28" s="625">
        <v>7303</v>
      </c>
      <c r="BX28" s="130">
        <f t="shared" si="428"/>
        <v>97104</v>
      </c>
      <c r="BY28" s="163">
        <f t="shared" si="429"/>
        <v>8092</v>
      </c>
      <c r="BZ28" s="625">
        <v>7717</v>
      </c>
      <c r="CA28" s="70">
        <v>6918</v>
      </c>
      <c r="CB28" s="23">
        <v>6785</v>
      </c>
      <c r="CC28" s="70">
        <v>7262</v>
      </c>
      <c r="CD28" s="23">
        <v>6709</v>
      </c>
      <c r="CE28" s="70">
        <v>7615</v>
      </c>
      <c r="CF28" s="625">
        <v>6893</v>
      </c>
      <c r="CG28" s="70">
        <v>7391</v>
      </c>
      <c r="CH28" s="625">
        <v>7458</v>
      </c>
      <c r="CI28" s="625">
        <v>6601</v>
      </c>
      <c r="CJ28" s="625">
        <v>6025</v>
      </c>
      <c r="CK28" s="625">
        <v>6576</v>
      </c>
      <c r="CL28" s="130">
        <f t="shared" si="436"/>
        <v>83950</v>
      </c>
      <c r="CM28" s="163">
        <f t="shared" si="437"/>
        <v>6995.833333333333</v>
      </c>
      <c r="CN28" s="625">
        <v>6722</v>
      </c>
      <c r="CO28" s="70">
        <v>6969</v>
      </c>
      <c r="CP28" s="23">
        <v>6475</v>
      </c>
      <c r="CQ28" s="70">
        <v>7223</v>
      </c>
      <c r="CR28" s="23">
        <v>6070</v>
      </c>
      <c r="CS28" s="70">
        <v>6096</v>
      </c>
      <c r="CT28" s="207">
        <v>6916</v>
      </c>
      <c r="CU28" s="70">
        <v>6676</v>
      </c>
      <c r="CV28" s="625">
        <v>6367</v>
      </c>
      <c r="CW28" s="1062">
        <v>5325</v>
      </c>
      <c r="CX28" s="625">
        <v>5874</v>
      </c>
      <c r="CY28" s="70">
        <v>5592</v>
      </c>
      <c r="CZ28" s="130">
        <f t="shared" si="444"/>
        <v>76305</v>
      </c>
      <c r="DA28" s="163">
        <f t="shared" si="445"/>
        <v>6358.75</v>
      </c>
      <c r="DB28" s="625">
        <v>5310</v>
      </c>
      <c r="DC28" s="70">
        <v>6078</v>
      </c>
      <c r="DD28" s="23">
        <v>4986</v>
      </c>
      <c r="DE28" s="70">
        <v>5662</v>
      </c>
      <c r="DF28" s="23">
        <v>4980</v>
      </c>
      <c r="DG28" s="70">
        <v>4919</v>
      </c>
      <c r="DH28" s="207">
        <v>6747</v>
      </c>
      <c r="DI28" s="70">
        <v>6436</v>
      </c>
      <c r="DJ28" s="625">
        <v>6049</v>
      </c>
      <c r="DK28" s="70">
        <v>6088</v>
      </c>
      <c r="DL28" s="625"/>
      <c r="DM28" s="70"/>
      <c r="DN28" s="130">
        <f t="shared" si="451"/>
        <v>57255</v>
      </c>
      <c r="DO28" s="163">
        <f t="shared" si="452"/>
        <v>5725.5</v>
      </c>
      <c r="DP28" s="625"/>
      <c r="DQ28" s="70"/>
      <c r="DR28" s="23"/>
      <c r="DS28" s="70"/>
      <c r="DT28" s="23"/>
      <c r="DU28" s="70"/>
      <c r="DV28" s="207"/>
      <c r="DW28" s="70"/>
      <c r="DX28" s="625"/>
      <c r="DY28" s="70"/>
      <c r="DZ28" s="625"/>
      <c r="EA28" s="70"/>
      <c r="EB28" s="130">
        <f t="shared" si="453"/>
        <v>0</v>
      </c>
      <c r="EC28" s="163" t="e">
        <f t="shared" si="454"/>
        <v>#DIV/0!</v>
      </c>
      <c r="ED28" s="662">
        <f t="shared" si="455"/>
        <v>692</v>
      </c>
      <c r="EE28" s="663">
        <f t="shared" si="456"/>
        <v>0.10516717325227963</v>
      </c>
      <c r="EF28" s="662">
        <f t="shared" si="457"/>
        <v>-217</v>
      </c>
      <c r="EG28" s="663">
        <f t="shared" si="458"/>
        <v>-2.984048404840484E-2</v>
      </c>
      <c r="EH28" s="662">
        <f t="shared" si="459"/>
        <v>455</v>
      </c>
      <c r="EI28" s="663">
        <f t="shared" si="460"/>
        <v>6.449326718639263E-2</v>
      </c>
      <c r="EJ28" s="662">
        <f t="shared" si="461"/>
        <v>6161</v>
      </c>
      <c r="EK28" s="663">
        <f t="shared" si="462"/>
        <v>0.82037283621837553</v>
      </c>
      <c r="EL28" s="662">
        <f t="shared" si="463"/>
        <v>-4662</v>
      </c>
      <c r="EM28" s="663">
        <f t="shared" si="464"/>
        <v>-0.34101382488479265</v>
      </c>
      <c r="EN28" s="662">
        <f t="shared" si="465"/>
        <v>-1339</v>
      </c>
      <c r="EO28" s="663">
        <f t="shared" si="466"/>
        <v>-0.14862914862914864</v>
      </c>
      <c r="EP28" s="662">
        <f t="shared" si="467"/>
        <v>745</v>
      </c>
      <c r="EQ28" s="663">
        <f t="shared" si="468"/>
        <v>9.7131681877444587E-2</v>
      </c>
      <c r="ER28" s="662">
        <f t="shared" si="469"/>
        <v>-1515</v>
      </c>
      <c r="ES28" s="663">
        <f t="shared" si="470"/>
        <v>-0.18003565062388591</v>
      </c>
      <c r="ET28" s="662">
        <f t="shared" si="471"/>
        <v>-161</v>
      </c>
      <c r="EU28" s="663">
        <f t="shared" si="472"/>
        <v>-2.3333333333333334E-2</v>
      </c>
      <c r="EV28" s="662">
        <f t="shared" si="473"/>
        <v>115</v>
      </c>
      <c r="EW28" s="109">
        <f t="shared" si="474"/>
        <v>1.7064846416382253E-2</v>
      </c>
      <c r="EX28" s="662">
        <f t="shared" si="475"/>
        <v>-180</v>
      </c>
      <c r="EY28" s="663">
        <f t="shared" si="476"/>
        <v>-2.6262036766851474E-2</v>
      </c>
      <c r="EZ28" s="662">
        <f t="shared" si="477"/>
        <v>448</v>
      </c>
      <c r="FA28" s="663">
        <f t="shared" si="478"/>
        <v>6.7126161222655079E-2</v>
      </c>
      <c r="FB28" s="662">
        <f t="shared" si="479"/>
        <v>333</v>
      </c>
      <c r="FC28" s="663">
        <f t="shared" si="480"/>
        <v>4.675652906486942E-2</v>
      </c>
      <c r="FD28" s="315">
        <f t="shared" si="481"/>
        <v>-470</v>
      </c>
      <c r="FE28" s="402">
        <f t="shared" si="482"/>
        <v>-6.304493628437291E-2</v>
      </c>
      <c r="FF28" s="315">
        <f t="shared" si="483"/>
        <v>531</v>
      </c>
      <c r="FG28" s="402">
        <f t="shared" si="484"/>
        <v>7.6020042949176803E-2</v>
      </c>
      <c r="FH28" s="315">
        <f t="shared" si="485"/>
        <v>5500</v>
      </c>
      <c r="FI28" s="402">
        <f t="shared" si="486"/>
        <v>0.73177221926556679</v>
      </c>
      <c r="FJ28" s="315">
        <f t="shared" si="487"/>
        <v>-5374</v>
      </c>
      <c r="FK28" s="402">
        <f t="shared" si="488"/>
        <v>-0.41287645974185616</v>
      </c>
      <c r="FL28" s="315">
        <f t="shared" si="489"/>
        <v>7</v>
      </c>
      <c r="FM28" s="402">
        <f t="shared" si="490"/>
        <v>9.1599057838262238E-4</v>
      </c>
      <c r="FN28" s="315">
        <f t="shared" si="491"/>
        <v>1159</v>
      </c>
      <c r="FO28" s="402">
        <f t="shared" si="492"/>
        <v>0.15152307491175318</v>
      </c>
      <c r="FP28" s="315">
        <f t="shared" si="493"/>
        <v>-1531</v>
      </c>
      <c r="FQ28" s="402">
        <f t="shared" si="494"/>
        <v>-0.17381925522252498</v>
      </c>
      <c r="FR28" s="315">
        <f t="shared" si="495"/>
        <v>936</v>
      </c>
      <c r="FS28" s="402">
        <f t="shared" si="496"/>
        <v>0.12862443314552699</v>
      </c>
      <c r="FT28" s="315">
        <f t="shared" si="497"/>
        <v>252</v>
      </c>
      <c r="FU28" s="402">
        <f t="shared" si="498"/>
        <v>3.068306343601607E-2</v>
      </c>
      <c r="FV28" s="315">
        <f t="shared" si="499"/>
        <v>-1690</v>
      </c>
      <c r="FW28" s="402">
        <f t="shared" si="500"/>
        <v>-0.19964559952746605</v>
      </c>
      <c r="FX28" s="315">
        <f t="shared" si="501"/>
        <v>528</v>
      </c>
      <c r="FY28" s="402">
        <f t="shared" si="502"/>
        <v>7.7933579335793354E-2</v>
      </c>
      <c r="FZ28" s="315">
        <f t="shared" si="503"/>
        <v>414</v>
      </c>
      <c r="GA28" s="402">
        <f t="shared" si="504"/>
        <v>5.66890319046967E-2</v>
      </c>
      <c r="GB28" s="315">
        <f t="shared" si="505"/>
        <v>-799</v>
      </c>
      <c r="GC28" s="402">
        <f t="shared" si="506"/>
        <v>-0.10353764416223921</v>
      </c>
      <c r="GD28" s="315">
        <f t="shared" si="507"/>
        <v>-133</v>
      </c>
      <c r="GE28" s="402">
        <f t="shared" si="508"/>
        <v>-1.9225209598149755E-2</v>
      </c>
      <c r="GF28" s="315">
        <f t="shared" si="509"/>
        <v>477</v>
      </c>
      <c r="GG28" s="402">
        <f t="shared" si="510"/>
        <v>7.0302137067059692E-2</v>
      </c>
      <c r="GH28" s="315">
        <f t="shared" si="511"/>
        <v>-553</v>
      </c>
      <c r="GI28" s="402">
        <f t="shared" si="512"/>
        <v>-7.6149820985954284E-2</v>
      </c>
      <c r="GJ28" s="315">
        <f t="shared" si="513"/>
        <v>906</v>
      </c>
      <c r="GK28" s="402">
        <f t="shared" si="514"/>
        <v>0.13504248025040991</v>
      </c>
      <c r="GL28" s="315">
        <f t="shared" si="515"/>
        <v>-722</v>
      </c>
      <c r="GM28" s="402">
        <f t="shared" si="516"/>
        <v>-9.4812869336835193E-2</v>
      </c>
      <c r="GN28" s="315">
        <f t="shared" si="517"/>
        <v>498</v>
      </c>
      <c r="GO28" s="402">
        <f t="shared" si="518"/>
        <v>7.2247207311765566E-2</v>
      </c>
      <c r="GP28" s="315">
        <f t="shared" si="519"/>
        <v>67</v>
      </c>
      <c r="GQ28" s="402">
        <f t="shared" si="520"/>
        <v>9.0650791503179545E-3</v>
      </c>
      <c r="GR28" s="315">
        <f t="shared" si="521"/>
        <v>-857</v>
      </c>
      <c r="GS28" s="402">
        <f t="shared" si="522"/>
        <v>-0.11491016358272996</v>
      </c>
      <c r="GT28" s="315">
        <f t="shared" si="523"/>
        <v>-576</v>
      </c>
      <c r="GU28" s="402">
        <f t="shared" si="524"/>
        <v>-8.7259506135434026E-2</v>
      </c>
      <c r="GV28" s="315">
        <f t="shared" si="525"/>
        <v>551</v>
      </c>
      <c r="GW28" s="402">
        <f t="shared" si="526"/>
        <v>9.1452282157676354E-2</v>
      </c>
      <c r="GX28" s="315">
        <f t="shared" si="527"/>
        <v>146</v>
      </c>
      <c r="GY28" s="402">
        <f t="shared" si="528"/>
        <v>2.2201946472019465E-2</v>
      </c>
      <c r="GZ28" s="315">
        <f t="shared" si="529"/>
        <v>247</v>
      </c>
      <c r="HA28" s="402">
        <f t="shared" si="530"/>
        <v>3.6745016364177326E-2</v>
      </c>
      <c r="HB28" s="315">
        <f t="shared" si="531"/>
        <v>-494</v>
      </c>
      <c r="HC28" s="402">
        <f t="shared" si="532"/>
        <v>-7.0885349404505665E-2</v>
      </c>
      <c r="HD28" s="315">
        <f t="shared" si="533"/>
        <v>748</v>
      </c>
      <c r="HE28" s="402">
        <f t="shared" si="534"/>
        <v>0.11552123552123553</v>
      </c>
      <c r="HF28" s="315">
        <f t="shared" si="535"/>
        <v>-1153</v>
      </c>
      <c r="HG28" s="402">
        <f t="shared" si="536"/>
        <v>-0.1596289630347501</v>
      </c>
      <c r="HH28" s="315">
        <f t="shared" si="537"/>
        <v>26</v>
      </c>
      <c r="HI28" s="402">
        <f t="shared" si="538"/>
        <v>4.2833607907743002E-3</v>
      </c>
      <c r="HJ28" s="315">
        <f t="shared" si="539"/>
        <v>820</v>
      </c>
      <c r="HK28" s="402">
        <f t="shared" si="540"/>
        <v>0.13451443569553806</v>
      </c>
      <c r="HL28" s="315">
        <f t="shared" si="541"/>
        <v>-240</v>
      </c>
      <c r="HM28" s="402">
        <f t="shared" si="542"/>
        <v>-3.4702139965297862E-2</v>
      </c>
      <c r="HN28" s="315">
        <f t="shared" si="543"/>
        <v>-309</v>
      </c>
      <c r="HO28" s="402">
        <f t="shared" si="544"/>
        <v>-4.6285200718993412E-2</v>
      </c>
      <c r="HP28" s="315">
        <f t="shared" si="545"/>
        <v>-1042</v>
      </c>
      <c r="HQ28" s="402">
        <f t="shared" si="546"/>
        <v>-0.16365635307051987</v>
      </c>
      <c r="HR28" s="315">
        <f t="shared" si="547"/>
        <v>549</v>
      </c>
      <c r="HS28" s="402">
        <f t="shared" si="548"/>
        <v>0.10309859154929578</v>
      </c>
      <c r="HT28" s="315">
        <f t="shared" si="549"/>
        <v>-282</v>
      </c>
      <c r="HU28" s="402">
        <f t="shared" si="550"/>
        <v>-4.8008171603677222E-2</v>
      </c>
      <c r="HV28" s="315">
        <f t="shared" si="551"/>
        <v>-282</v>
      </c>
      <c r="HW28" s="402">
        <f t="shared" si="552"/>
        <v>-5.0429184549356222E-2</v>
      </c>
      <c r="HX28" s="315">
        <f t="shared" si="553"/>
        <v>768</v>
      </c>
      <c r="HY28" s="402">
        <f t="shared" si="554"/>
        <v>0.14463276836158193</v>
      </c>
      <c r="HZ28" s="315">
        <f t="shared" si="555"/>
        <v>-1092</v>
      </c>
      <c r="IA28" s="402">
        <f t="shared" si="556"/>
        <v>-0.21901323706377859</v>
      </c>
      <c r="IB28" s="315">
        <f t="shared" si="557"/>
        <v>676</v>
      </c>
      <c r="IC28" s="402">
        <f t="shared" si="558"/>
        <v>0.13557962294424389</v>
      </c>
      <c r="ID28" s="315">
        <f t="shared" si="559"/>
        <v>-682</v>
      </c>
      <c r="IE28" s="402">
        <f t="shared" si="560"/>
        <v>-0.11911623439000961</v>
      </c>
      <c r="IF28" s="315">
        <f t="shared" si="561"/>
        <v>-61</v>
      </c>
      <c r="IG28" s="402">
        <f t="shared" si="562"/>
        <v>-1.2248995983935742E-2</v>
      </c>
      <c r="IH28" s="315">
        <f t="shared" si="563"/>
        <v>1828</v>
      </c>
      <c r="II28" s="402">
        <f t="shared" si="564"/>
        <v>0.37162024801788984</v>
      </c>
      <c r="IJ28" s="315">
        <f t="shared" si="565"/>
        <v>-311</v>
      </c>
      <c r="IK28" s="402">
        <f t="shared" si="566"/>
        <v>-4.6094560545427599E-2</v>
      </c>
      <c r="IL28" s="315">
        <f t="shared" si="567"/>
        <v>-387</v>
      </c>
      <c r="IM28" s="402">
        <f t="shared" si="568"/>
        <v>-6.0130515848353015E-2</v>
      </c>
      <c r="IN28" s="315">
        <f t="shared" si="569"/>
        <v>39</v>
      </c>
      <c r="IO28" s="402">
        <f t="shared" si="570"/>
        <v>6.447346668870888E-3</v>
      </c>
      <c r="IP28" s="315">
        <f t="shared" si="571"/>
        <v>-6088</v>
      </c>
      <c r="IQ28" s="402">
        <f t="shared" si="572"/>
        <v>-94397.450549450543</v>
      </c>
      <c r="IR28" s="315">
        <f t="shared" si="573"/>
        <v>-6160.1796271637813</v>
      </c>
      <c r="IS28" s="402">
        <f t="shared" si="574"/>
        <v>-0.99986684420772298</v>
      </c>
      <c r="IT28" s="625">
        <f t="shared" si="575"/>
        <v>5325</v>
      </c>
      <c r="IU28" s="1062">
        <f t="shared" si="576"/>
        <v>6088</v>
      </c>
      <c r="IV28" s="662">
        <f t="shared" si="577"/>
        <v>763</v>
      </c>
      <c r="IW28" s="109">
        <f t="shared" si="578"/>
        <v>0.14328638497652582</v>
      </c>
      <c r="IX28" s="698"/>
      <c r="IY28" s="698"/>
      <c r="IZ28" s="698"/>
      <c r="JA28" t="str">
        <f t="shared" si="579"/>
        <v>Resolved Tickets</v>
      </c>
      <c r="JB28" s="262" t="e">
        <f>#REF!</f>
        <v>#REF!</v>
      </c>
      <c r="JC28" s="262" t="e">
        <f>#REF!</f>
        <v>#REF!</v>
      </c>
      <c r="JD28" s="262" t="e">
        <f>#REF!</f>
        <v>#REF!</v>
      </c>
      <c r="JE28" s="262" t="e">
        <f>#REF!</f>
        <v>#REF!</v>
      </c>
      <c r="JF28" s="262" t="e">
        <f>#REF!</f>
        <v>#REF!</v>
      </c>
      <c r="JG28" s="262" t="e">
        <f>#REF!</f>
        <v>#REF!</v>
      </c>
      <c r="JH28" s="262" t="e">
        <f>#REF!</f>
        <v>#REF!</v>
      </c>
      <c r="JI28" s="262" t="e">
        <f>#REF!</f>
        <v>#REF!</v>
      </c>
      <c r="JJ28" s="262" t="e">
        <f>#REF!</f>
        <v>#REF!</v>
      </c>
      <c r="JK28" s="262" t="e">
        <f>#REF!</f>
        <v>#REF!</v>
      </c>
      <c r="JL28" s="262" t="e">
        <f>#REF!</f>
        <v>#REF!</v>
      </c>
      <c r="JM28" s="263">
        <f t="shared" si="580"/>
        <v>6665</v>
      </c>
      <c r="JN28" s="263">
        <f t="shared" si="581"/>
        <v>7045</v>
      </c>
      <c r="JO28" s="263">
        <f t="shared" si="582"/>
        <v>5368</v>
      </c>
      <c r="JP28" s="263">
        <f t="shared" si="583"/>
        <v>8782</v>
      </c>
      <c r="JQ28" s="263">
        <f t="shared" si="584"/>
        <v>6403</v>
      </c>
      <c r="JR28" s="263">
        <f t="shared" si="585"/>
        <v>5780</v>
      </c>
      <c r="JS28" s="263">
        <f t="shared" si="586"/>
        <v>7404</v>
      </c>
      <c r="JT28" s="263">
        <f t="shared" si="587"/>
        <v>7046</v>
      </c>
      <c r="JU28" s="263">
        <f t="shared" si="588"/>
        <v>6225</v>
      </c>
      <c r="JV28" s="263">
        <f t="shared" si="589"/>
        <v>6705</v>
      </c>
      <c r="JW28" s="263">
        <f t="shared" si="590"/>
        <v>8219</v>
      </c>
      <c r="JX28" s="263">
        <f t="shared" si="591"/>
        <v>6580</v>
      </c>
      <c r="JY28" s="263">
        <f t="shared" si="592"/>
        <v>7272</v>
      </c>
      <c r="JZ28" s="263">
        <f t="shared" si="593"/>
        <v>7055</v>
      </c>
      <c r="KA28" s="263">
        <f t="shared" si="594"/>
        <v>7510</v>
      </c>
      <c r="KB28" s="263">
        <f t="shared" si="595"/>
        <v>13671</v>
      </c>
      <c r="KC28" s="263">
        <f t="shared" si="596"/>
        <v>9009</v>
      </c>
      <c r="KD28" s="263">
        <f t="shared" si="597"/>
        <v>7670</v>
      </c>
      <c r="KE28" s="263">
        <f t="shared" si="598"/>
        <v>8415</v>
      </c>
      <c r="KF28" s="263">
        <f t="shared" si="599"/>
        <v>6900</v>
      </c>
      <c r="KG28" s="263">
        <f t="shared" si="600"/>
        <v>6739</v>
      </c>
      <c r="KH28" s="263">
        <f t="shared" si="601"/>
        <v>6854</v>
      </c>
      <c r="KI28" s="263">
        <f t="shared" si="602"/>
        <v>6674</v>
      </c>
      <c r="KJ28" s="263">
        <f t="shared" si="603"/>
        <v>7122</v>
      </c>
      <c r="KK28" s="788">
        <f t="shared" si="604"/>
        <v>7455</v>
      </c>
      <c r="KL28" s="788">
        <f t="shared" si="605"/>
        <v>6985</v>
      </c>
      <c r="KM28" s="788">
        <f t="shared" si="606"/>
        <v>7516</v>
      </c>
      <c r="KN28" s="788">
        <f t="shared" si="607"/>
        <v>13016</v>
      </c>
      <c r="KO28" s="788">
        <f t="shared" si="608"/>
        <v>7642</v>
      </c>
      <c r="KP28" s="788">
        <f t="shared" si="609"/>
        <v>7649</v>
      </c>
      <c r="KQ28" s="788">
        <f t="shared" si="610"/>
        <v>8808</v>
      </c>
      <c r="KR28" s="788">
        <f t="shared" si="611"/>
        <v>7277</v>
      </c>
      <c r="KS28" s="788">
        <f t="shared" si="612"/>
        <v>8213</v>
      </c>
      <c r="KT28" s="788">
        <f t="shared" si="613"/>
        <v>8465</v>
      </c>
      <c r="KU28" s="788">
        <f t="shared" si="614"/>
        <v>6775</v>
      </c>
      <c r="KV28" s="788">
        <f t="shared" si="615"/>
        <v>7303</v>
      </c>
      <c r="KW28" s="900">
        <f t="shared" si="616"/>
        <v>7717</v>
      </c>
      <c r="KX28" s="900">
        <f t="shared" si="617"/>
        <v>6918</v>
      </c>
      <c r="KY28" s="900">
        <f t="shared" si="618"/>
        <v>6785</v>
      </c>
      <c r="KZ28" s="900">
        <f t="shared" si="619"/>
        <v>7262</v>
      </c>
      <c r="LA28" s="900">
        <f t="shared" si="620"/>
        <v>6709</v>
      </c>
      <c r="LB28" s="900">
        <f t="shared" si="621"/>
        <v>7615</v>
      </c>
      <c r="LC28" s="900">
        <f t="shared" si="622"/>
        <v>6893</v>
      </c>
      <c r="LD28" s="900">
        <f t="shared" si="623"/>
        <v>7391</v>
      </c>
      <c r="LE28" s="900">
        <f t="shared" si="624"/>
        <v>7458</v>
      </c>
      <c r="LF28" s="900">
        <f t="shared" si="625"/>
        <v>6601</v>
      </c>
      <c r="LG28" s="900">
        <f t="shared" si="626"/>
        <v>6025</v>
      </c>
      <c r="LH28" s="900">
        <f t="shared" si="627"/>
        <v>6576</v>
      </c>
      <c r="LI28" s="959">
        <f t="shared" si="628"/>
        <v>6722</v>
      </c>
      <c r="LJ28" s="959">
        <f t="shared" si="629"/>
        <v>6969</v>
      </c>
      <c r="LK28" s="959">
        <f t="shared" si="630"/>
        <v>6475</v>
      </c>
      <c r="LL28" s="959">
        <f t="shared" si="631"/>
        <v>7223</v>
      </c>
      <c r="LM28" s="959">
        <f t="shared" si="632"/>
        <v>6070</v>
      </c>
      <c r="LN28" s="959">
        <f t="shared" si="633"/>
        <v>6096</v>
      </c>
      <c r="LO28" s="959">
        <f t="shared" si="634"/>
        <v>6916</v>
      </c>
      <c r="LP28" s="959">
        <f t="shared" si="635"/>
        <v>6676</v>
      </c>
      <c r="LQ28" s="959">
        <f t="shared" si="636"/>
        <v>6367</v>
      </c>
      <c r="LR28" s="959">
        <f t="shared" si="637"/>
        <v>5325</v>
      </c>
      <c r="LS28" s="959">
        <f t="shared" si="638"/>
        <v>5874</v>
      </c>
      <c r="LT28" s="959">
        <f t="shared" si="639"/>
        <v>5592</v>
      </c>
      <c r="LU28" s="1155">
        <f t="shared" si="640"/>
        <v>5310</v>
      </c>
      <c r="LV28" s="1155">
        <f t="shared" si="641"/>
        <v>6078</v>
      </c>
      <c r="LW28" s="1155">
        <f t="shared" si="642"/>
        <v>4986</v>
      </c>
      <c r="LX28" s="1155">
        <f t="shared" si="643"/>
        <v>5662</v>
      </c>
      <c r="LY28" s="1155">
        <f t="shared" si="644"/>
        <v>4980</v>
      </c>
      <c r="LZ28" s="1155">
        <f t="shared" si="645"/>
        <v>4919</v>
      </c>
      <c r="MA28" s="1155">
        <f t="shared" si="646"/>
        <v>6747</v>
      </c>
      <c r="MB28" s="1155">
        <f t="shared" si="647"/>
        <v>6436</v>
      </c>
      <c r="MC28" s="1155">
        <f t="shared" si="648"/>
        <v>6049</v>
      </c>
      <c r="MD28" s="1155">
        <f t="shared" si="649"/>
        <v>6088</v>
      </c>
      <c r="ME28" s="1155">
        <f t="shared" si="650"/>
        <v>0</v>
      </c>
      <c r="MF28" s="1155">
        <f t="shared" si="651"/>
        <v>0</v>
      </c>
      <c r="MG28" s="1177">
        <f t="shared" si="652"/>
        <v>0</v>
      </c>
      <c r="MH28" s="1177">
        <f t="shared" si="653"/>
        <v>0</v>
      </c>
      <c r="MI28" s="1177">
        <f t="shared" si="654"/>
        <v>0</v>
      </c>
      <c r="MJ28" s="1177">
        <f t="shared" si="655"/>
        <v>0</v>
      </c>
      <c r="MK28" s="1177">
        <f t="shared" si="656"/>
        <v>0</v>
      </c>
      <c r="ML28" s="1177">
        <f t="shared" si="657"/>
        <v>0</v>
      </c>
      <c r="MM28" s="1177">
        <f t="shared" si="658"/>
        <v>0</v>
      </c>
      <c r="MN28" s="1177">
        <f t="shared" si="659"/>
        <v>0</v>
      </c>
      <c r="MO28" s="1177">
        <f t="shared" si="660"/>
        <v>0</v>
      </c>
      <c r="MP28" s="1177">
        <f t="shared" si="661"/>
        <v>0</v>
      </c>
      <c r="MQ28" s="1177">
        <f t="shared" si="662"/>
        <v>0</v>
      </c>
      <c r="MR28" s="1177">
        <f t="shared" si="662"/>
        <v>0</v>
      </c>
    </row>
    <row r="29" spans="1:356" x14ac:dyDescent="0.25">
      <c r="A29" s="764"/>
      <c r="B29" s="56">
        <v>3.3</v>
      </c>
      <c r="C29" s="7"/>
      <c r="D29" s="119"/>
      <c r="E29" s="1217" t="s">
        <v>44</v>
      </c>
      <c r="F29" s="1217"/>
      <c r="G29" s="1218"/>
      <c r="H29" s="377">
        <v>3</v>
      </c>
      <c r="I29" s="167">
        <v>4.3</v>
      </c>
      <c r="J29" s="81">
        <v>3.3</v>
      </c>
      <c r="K29" s="167">
        <v>2.1</v>
      </c>
      <c r="L29" s="81">
        <v>2.7</v>
      </c>
      <c r="M29" s="167">
        <v>2.2000000000000002</v>
      </c>
      <c r="N29" s="81">
        <v>3.6</v>
      </c>
      <c r="O29" s="167">
        <v>3.1</v>
      </c>
      <c r="P29" s="81">
        <v>2.8</v>
      </c>
      <c r="Q29" s="167">
        <v>2.6</v>
      </c>
      <c r="R29" s="81">
        <v>1.7</v>
      </c>
      <c r="S29" s="167">
        <v>1.9</v>
      </c>
      <c r="T29" s="180">
        <v>0</v>
      </c>
      <c r="U29" s="153">
        <v>2.7750000000000004</v>
      </c>
      <c r="V29" s="377">
        <v>2.8</v>
      </c>
      <c r="W29" s="167">
        <v>2.4</v>
      </c>
      <c r="X29" s="81">
        <v>2</v>
      </c>
      <c r="Y29" s="167">
        <v>3</v>
      </c>
      <c r="Z29" s="81">
        <v>2.1</v>
      </c>
      <c r="AA29" s="167">
        <v>2.6</v>
      </c>
      <c r="AB29" s="81">
        <v>1.9</v>
      </c>
      <c r="AC29" s="167">
        <v>2.2000000000000002</v>
      </c>
      <c r="AD29" s="81">
        <v>1.9</v>
      </c>
      <c r="AE29" s="167">
        <v>1.9</v>
      </c>
      <c r="AF29" s="81">
        <v>1.8</v>
      </c>
      <c r="AG29" s="167">
        <v>1.6</v>
      </c>
      <c r="AH29" s="180">
        <v>0</v>
      </c>
      <c r="AI29" s="153">
        <v>2.1833333333333331</v>
      </c>
      <c r="AJ29" s="377">
        <v>1.8</v>
      </c>
      <c r="AK29" s="167">
        <v>2.1</v>
      </c>
      <c r="AL29" s="81">
        <v>2</v>
      </c>
      <c r="AM29" s="167">
        <v>1.4</v>
      </c>
      <c r="AN29" s="81">
        <v>2.2999999999999998</v>
      </c>
      <c r="AO29" s="167">
        <v>2.4</v>
      </c>
      <c r="AP29" s="627">
        <v>2.2000000000000002</v>
      </c>
      <c r="AQ29" s="167">
        <v>1.8</v>
      </c>
      <c r="AR29" s="627">
        <v>1.8</v>
      </c>
      <c r="AS29" s="167">
        <v>1.8</v>
      </c>
      <c r="AT29" s="627">
        <v>1.5</v>
      </c>
      <c r="AU29" s="167">
        <v>1.8</v>
      </c>
      <c r="AV29" s="180">
        <v>0</v>
      </c>
      <c r="AW29" s="153">
        <f t="shared" si="417"/>
        <v>1.9083333333333339</v>
      </c>
      <c r="AX29" s="377">
        <v>1.9</v>
      </c>
      <c r="AY29" s="167">
        <v>1.5</v>
      </c>
      <c r="AZ29" s="81">
        <v>1.5</v>
      </c>
      <c r="BA29" s="167">
        <v>1.4</v>
      </c>
      <c r="BB29" s="81">
        <v>2.1</v>
      </c>
      <c r="BC29" s="167">
        <v>1.8</v>
      </c>
      <c r="BD29" s="627">
        <v>2.2999999999999998</v>
      </c>
      <c r="BE29" s="167">
        <v>3</v>
      </c>
      <c r="BF29" s="627">
        <v>1.9</v>
      </c>
      <c r="BG29" s="167">
        <v>2</v>
      </c>
      <c r="BH29" s="627">
        <v>1.62</v>
      </c>
      <c r="BI29" s="167">
        <v>1.7</v>
      </c>
      <c r="BJ29" s="180">
        <v>0</v>
      </c>
      <c r="BK29" s="153">
        <f t="shared" si="421"/>
        <v>1.8933333333333333</v>
      </c>
      <c r="BL29" s="377">
        <v>2.2000000000000002</v>
      </c>
      <c r="BM29" s="167">
        <v>2.8</v>
      </c>
      <c r="BN29" s="81">
        <v>3.1</v>
      </c>
      <c r="BO29" s="167">
        <v>1.5</v>
      </c>
      <c r="BP29" s="81">
        <v>4.8</v>
      </c>
      <c r="BQ29" s="167">
        <v>4.5</v>
      </c>
      <c r="BR29" s="627">
        <v>2.6</v>
      </c>
      <c r="BS29" s="167">
        <v>2.9</v>
      </c>
      <c r="BT29" s="627">
        <v>2.4</v>
      </c>
      <c r="BU29" s="627">
        <v>2</v>
      </c>
      <c r="BV29" s="627">
        <v>2.1</v>
      </c>
      <c r="BW29" s="627">
        <v>2.1</v>
      </c>
      <c r="BX29" s="180">
        <v>0</v>
      </c>
      <c r="BY29" s="153">
        <f t="shared" si="429"/>
        <v>2.75</v>
      </c>
      <c r="BZ29" s="627">
        <v>5.5</v>
      </c>
      <c r="CA29" s="167">
        <v>2.2999999999999998</v>
      </c>
      <c r="CB29" s="81">
        <v>2.8</v>
      </c>
      <c r="CC29" s="167">
        <v>2.6</v>
      </c>
      <c r="CD29" s="81">
        <v>2.7</v>
      </c>
      <c r="CE29" s="167">
        <v>3</v>
      </c>
      <c r="CF29" s="627">
        <v>2.8</v>
      </c>
      <c r="CG29" s="167">
        <v>3.7</v>
      </c>
      <c r="CH29" s="627">
        <v>3.7</v>
      </c>
      <c r="CI29" s="627">
        <v>3</v>
      </c>
      <c r="CJ29" s="627">
        <v>2.9</v>
      </c>
      <c r="CK29" s="627">
        <v>2.9</v>
      </c>
      <c r="CL29" s="180">
        <v>0</v>
      </c>
      <c r="CM29" s="153">
        <f t="shared" si="437"/>
        <v>3.1583333333333328</v>
      </c>
      <c r="CN29" s="627">
        <v>2.6</v>
      </c>
      <c r="CO29" s="167">
        <v>2.1</v>
      </c>
      <c r="CP29" s="81">
        <v>3.5</v>
      </c>
      <c r="CQ29" s="167">
        <v>1.9</v>
      </c>
      <c r="CR29" s="81">
        <v>2.6</v>
      </c>
      <c r="CS29" s="167">
        <v>4.4000000000000004</v>
      </c>
      <c r="CT29" s="213">
        <v>2.8</v>
      </c>
      <c r="CU29" s="167">
        <v>2.6</v>
      </c>
      <c r="CV29" s="627">
        <v>4.7</v>
      </c>
      <c r="CW29" s="1064">
        <v>4</v>
      </c>
      <c r="CX29" s="627">
        <v>3</v>
      </c>
      <c r="CY29" s="167">
        <v>3.2</v>
      </c>
      <c r="CZ29" s="180">
        <v>0</v>
      </c>
      <c r="DA29" s="153">
        <f t="shared" si="445"/>
        <v>3.1166666666666671</v>
      </c>
      <c r="DB29" s="627">
        <v>2.2999999999999998</v>
      </c>
      <c r="DC29" s="167">
        <v>3.1</v>
      </c>
      <c r="DD29" s="81">
        <v>3.9</v>
      </c>
      <c r="DE29" s="167">
        <v>3.2</v>
      </c>
      <c r="DF29" s="81">
        <v>4.4000000000000004</v>
      </c>
      <c r="DG29" s="167">
        <v>17</v>
      </c>
      <c r="DH29" s="213">
        <v>2.9</v>
      </c>
      <c r="DI29" s="167">
        <v>1.6</v>
      </c>
      <c r="DJ29" s="627">
        <v>1.8</v>
      </c>
      <c r="DK29" s="167">
        <v>2</v>
      </c>
      <c r="DL29" s="627"/>
      <c r="DM29" s="167"/>
      <c r="DN29" s="180">
        <v>0</v>
      </c>
      <c r="DO29" s="153">
        <f t="shared" si="452"/>
        <v>4.22</v>
      </c>
      <c r="DP29" s="627"/>
      <c r="DQ29" s="167"/>
      <c r="DR29" s="81"/>
      <c r="DS29" s="167"/>
      <c r="DT29" s="81"/>
      <c r="DU29" s="167"/>
      <c r="DV29" s="213"/>
      <c r="DW29" s="167"/>
      <c r="DX29" s="627"/>
      <c r="DY29" s="167"/>
      <c r="DZ29" s="627"/>
      <c r="EA29" s="167"/>
      <c r="EB29" s="180">
        <v>0</v>
      </c>
      <c r="EC29" s="153" t="e">
        <f t="shared" si="454"/>
        <v>#DIV/0!</v>
      </c>
      <c r="ED29" s="670">
        <f t="shared" si="455"/>
        <v>9.9999999999999867E-2</v>
      </c>
      <c r="EE29" s="663">
        <f t="shared" si="456"/>
        <v>5.5555555555555483E-2</v>
      </c>
      <c r="EF29" s="670">
        <f t="shared" si="457"/>
        <v>-0.39999999999999991</v>
      </c>
      <c r="EG29" s="663">
        <f t="shared" si="458"/>
        <v>-0.21052631578947364</v>
      </c>
      <c r="EH29" s="670">
        <f t="shared" si="459"/>
        <v>0</v>
      </c>
      <c r="EI29" s="663">
        <f t="shared" si="460"/>
        <v>0</v>
      </c>
      <c r="EJ29" s="670">
        <f t="shared" si="461"/>
        <v>-0.10000000000000009</v>
      </c>
      <c r="EK29" s="663">
        <f t="shared" si="462"/>
        <v>-6.6666666666666721E-2</v>
      </c>
      <c r="EL29" s="670">
        <f t="shared" si="463"/>
        <v>0.70000000000000018</v>
      </c>
      <c r="EM29" s="663">
        <f t="shared" si="464"/>
        <v>0.50000000000000011</v>
      </c>
      <c r="EN29" s="670">
        <f t="shared" si="465"/>
        <v>-0.30000000000000004</v>
      </c>
      <c r="EO29" s="663">
        <f t="shared" si="466"/>
        <v>-0.14285714285714288</v>
      </c>
      <c r="EP29" s="670">
        <f t="shared" si="467"/>
        <v>0.49999999999999978</v>
      </c>
      <c r="EQ29" s="663">
        <f t="shared" si="468"/>
        <v>0.27777777777777762</v>
      </c>
      <c r="ER29" s="670">
        <f t="shared" si="469"/>
        <v>0.70000000000000018</v>
      </c>
      <c r="ES29" s="663">
        <f t="shared" si="470"/>
        <v>0.3043478260869566</v>
      </c>
      <c r="ET29" s="670">
        <f t="shared" si="471"/>
        <v>-1.1000000000000001</v>
      </c>
      <c r="EU29" s="663">
        <f t="shared" si="472"/>
        <v>-0.3666666666666667</v>
      </c>
      <c r="EV29" s="670">
        <f t="shared" si="473"/>
        <v>0.10000000000000009</v>
      </c>
      <c r="EW29" s="109">
        <f t="shared" si="474"/>
        <v>5.2631578947368474E-2</v>
      </c>
      <c r="EX29" s="670">
        <f t="shared" si="475"/>
        <v>-0.37999999999999989</v>
      </c>
      <c r="EY29" s="663">
        <f t="shared" si="476"/>
        <v>-0.18999999999999995</v>
      </c>
      <c r="EZ29" s="670">
        <f t="shared" si="477"/>
        <v>7.9999999999999849E-2</v>
      </c>
      <c r="FA29" s="663">
        <f t="shared" si="478"/>
        <v>4.9382716049382616E-2</v>
      </c>
      <c r="FB29" s="670">
        <f t="shared" si="479"/>
        <v>0.50000000000000022</v>
      </c>
      <c r="FC29" s="663">
        <f t="shared" si="480"/>
        <v>0.29411764705882365</v>
      </c>
      <c r="FD29" s="321">
        <f t="shared" si="481"/>
        <v>0.59999999999999964</v>
      </c>
      <c r="FE29" s="402">
        <f t="shared" si="482"/>
        <v>0.27272727272727254</v>
      </c>
      <c r="FF29" s="321">
        <f t="shared" si="483"/>
        <v>0.30000000000000027</v>
      </c>
      <c r="FG29" s="402">
        <f t="shared" si="484"/>
        <v>0.10714285714285725</v>
      </c>
      <c r="FH29" s="321">
        <f t="shared" si="485"/>
        <v>-1.6</v>
      </c>
      <c r="FI29" s="402">
        <f t="shared" si="486"/>
        <v>-0.5161290322580645</v>
      </c>
      <c r="FJ29" s="321">
        <f t="shared" si="487"/>
        <v>3.3</v>
      </c>
      <c r="FK29" s="402">
        <f t="shared" si="488"/>
        <v>2.1999999999999997</v>
      </c>
      <c r="FL29" s="321">
        <f t="shared" si="489"/>
        <v>-0.29999999999999982</v>
      </c>
      <c r="FM29" s="402">
        <f t="shared" si="490"/>
        <v>-6.2499999999999965E-2</v>
      </c>
      <c r="FN29" s="321">
        <f t="shared" si="491"/>
        <v>-1.9</v>
      </c>
      <c r="FO29" s="402">
        <f t="shared" si="492"/>
        <v>-0.42222222222222222</v>
      </c>
      <c r="FP29" s="321">
        <f t="shared" si="493"/>
        <v>0.29999999999999982</v>
      </c>
      <c r="FQ29" s="402">
        <f t="shared" si="494"/>
        <v>0.11538461538461531</v>
      </c>
      <c r="FR29" s="321">
        <f t="shared" si="495"/>
        <v>-0.5</v>
      </c>
      <c r="FS29" s="402">
        <f t="shared" si="496"/>
        <v>-0.17241379310344829</v>
      </c>
      <c r="FT29" s="321">
        <f t="shared" si="497"/>
        <v>-0.39999999999999991</v>
      </c>
      <c r="FU29" s="402">
        <f t="shared" si="498"/>
        <v>-0.16666666666666663</v>
      </c>
      <c r="FV29" s="321">
        <f t="shared" si="499"/>
        <v>0.10000000000000009</v>
      </c>
      <c r="FW29" s="402">
        <f t="shared" si="500"/>
        <v>5.0000000000000044E-2</v>
      </c>
      <c r="FX29" s="321">
        <f t="shared" si="501"/>
        <v>0</v>
      </c>
      <c r="FY29" s="402">
        <f t="shared" si="502"/>
        <v>0</v>
      </c>
      <c r="FZ29" s="321">
        <f t="shared" si="503"/>
        <v>3.4</v>
      </c>
      <c r="GA29" s="402">
        <f t="shared" si="504"/>
        <v>1.6190476190476188</v>
      </c>
      <c r="GB29" s="321">
        <f t="shared" si="505"/>
        <v>-3.2</v>
      </c>
      <c r="GC29" s="402">
        <f t="shared" si="506"/>
        <v>-0.5818181818181819</v>
      </c>
      <c r="GD29" s="321">
        <f t="shared" si="507"/>
        <v>0.5</v>
      </c>
      <c r="GE29" s="402">
        <f t="shared" si="508"/>
        <v>0.21739130434782611</v>
      </c>
      <c r="GF29" s="321">
        <f t="shared" si="509"/>
        <v>-0.19999999999999973</v>
      </c>
      <c r="GG29" s="402">
        <f t="shared" si="510"/>
        <v>-7.1428571428571341E-2</v>
      </c>
      <c r="GH29" s="321">
        <f t="shared" si="511"/>
        <v>0.10000000000000009</v>
      </c>
      <c r="GI29" s="402">
        <f t="shared" si="512"/>
        <v>3.8461538461538491E-2</v>
      </c>
      <c r="GJ29" s="321">
        <f t="shared" si="513"/>
        <v>0.29999999999999982</v>
      </c>
      <c r="GK29" s="402">
        <f t="shared" si="514"/>
        <v>0.11111111111111104</v>
      </c>
      <c r="GL29" s="321">
        <f t="shared" si="515"/>
        <v>-0.20000000000000018</v>
      </c>
      <c r="GM29" s="402">
        <f t="shared" si="516"/>
        <v>-6.6666666666666721E-2</v>
      </c>
      <c r="GN29" s="321">
        <f t="shared" si="517"/>
        <v>0.90000000000000036</v>
      </c>
      <c r="GO29" s="402">
        <f t="shared" si="518"/>
        <v>0.32142857142857156</v>
      </c>
      <c r="GP29" s="321">
        <f t="shared" si="519"/>
        <v>0</v>
      </c>
      <c r="GQ29" s="402">
        <f t="shared" si="520"/>
        <v>0</v>
      </c>
      <c r="GR29" s="321">
        <f t="shared" si="521"/>
        <v>-0.70000000000000018</v>
      </c>
      <c r="GS29" s="402">
        <f t="shared" si="522"/>
        <v>-0.18918918918918923</v>
      </c>
      <c r="GT29" s="321">
        <f t="shared" si="523"/>
        <v>-0.10000000000000009</v>
      </c>
      <c r="GU29" s="402">
        <f t="shared" si="524"/>
        <v>-3.3333333333333361E-2</v>
      </c>
      <c r="GV29" s="321">
        <f t="shared" si="525"/>
        <v>0</v>
      </c>
      <c r="GW29" s="402">
        <f t="shared" si="526"/>
        <v>0</v>
      </c>
      <c r="GX29" s="321">
        <f t="shared" si="527"/>
        <v>-0.29999999999999982</v>
      </c>
      <c r="GY29" s="402">
        <f t="shared" si="528"/>
        <v>-0.10344827586206891</v>
      </c>
      <c r="GZ29" s="321">
        <f t="shared" si="529"/>
        <v>-0.5</v>
      </c>
      <c r="HA29" s="402">
        <f t="shared" si="530"/>
        <v>-0.19230769230769229</v>
      </c>
      <c r="HB29" s="321">
        <f t="shared" si="531"/>
        <v>1.4</v>
      </c>
      <c r="HC29" s="402">
        <f t="shared" si="532"/>
        <v>0.66666666666666663</v>
      </c>
      <c r="HD29" s="321">
        <f t="shared" si="533"/>
        <v>-1.6</v>
      </c>
      <c r="HE29" s="402">
        <f t="shared" si="534"/>
        <v>-0.45714285714285718</v>
      </c>
      <c r="HF29" s="321">
        <f t="shared" si="535"/>
        <v>0.70000000000000018</v>
      </c>
      <c r="HG29" s="402">
        <f t="shared" si="536"/>
        <v>0.36842105263157904</v>
      </c>
      <c r="HH29" s="321">
        <f t="shared" si="537"/>
        <v>1.8000000000000003</v>
      </c>
      <c r="HI29" s="402">
        <f t="shared" si="538"/>
        <v>0.6923076923076924</v>
      </c>
      <c r="HJ29" s="321">
        <f t="shared" si="539"/>
        <v>-1.6000000000000005</v>
      </c>
      <c r="HK29" s="402">
        <f t="shared" si="540"/>
        <v>-0.3636363636363637</v>
      </c>
      <c r="HL29" s="321">
        <f t="shared" si="541"/>
        <v>-0.19999999999999973</v>
      </c>
      <c r="HM29" s="402">
        <f t="shared" si="542"/>
        <v>-7.1428571428571341E-2</v>
      </c>
      <c r="HN29" s="321">
        <f t="shared" si="543"/>
        <v>2.1</v>
      </c>
      <c r="HO29" s="402">
        <f t="shared" si="544"/>
        <v>0.80769230769230771</v>
      </c>
      <c r="HP29" s="321">
        <f t="shared" si="545"/>
        <v>-0.70000000000000018</v>
      </c>
      <c r="HQ29" s="402">
        <f t="shared" si="546"/>
        <v>-0.14893617021276598</v>
      </c>
      <c r="HR29" s="321">
        <f t="shared" si="547"/>
        <v>-1</v>
      </c>
      <c r="HS29" s="402">
        <f t="shared" si="548"/>
        <v>-0.25</v>
      </c>
      <c r="HT29" s="321">
        <f t="shared" si="549"/>
        <v>0.20000000000000018</v>
      </c>
      <c r="HU29" s="402">
        <f t="shared" si="550"/>
        <v>6.6666666666666721E-2</v>
      </c>
      <c r="HV29" s="321">
        <f t="shared" si="551"/>
        <v>-0.90000000000000036</v>
      </c>
      <c r="HW29" s="402">
        <f t="shared" si="552"/>
        <v>-0.28125000000000011</v>
      </c>
      <c r="HX29" s="321">
        <f t="shared" si="553"/>
        <v>0.80000000000000027</v>
      </c>
      <c r="HY29" s="402">
        <f t="shared" si="554"/>
        <v>0.3478260869565219</v>
      </c>
      <c r="HZ29" s="321">
        <f t="shared" si="555"/>
        <v>0.79999999999999982</v>
      </c>
      <c r="IA29" s="402">
        <f t="shared" si="556"/>
        <v>0.20512820512820509</v>
      </c>
      <c r="IB29" s="321">
        <f t="shared" si="557"/>
        <v>-0.69999999999999973</v>
      </c>
      <c r="IC29" s="402">
        <f t="shared" si="558"/>
        <v>-0.17948717948717943</v>
      </c>
      <c r="ID29" s="321">
        <f t="shared" si="559"/>
        <v>1.2000000000000002</v>
      </c>
      <c r="IE29" s="402">
        <f t="shared" si="560"/>
        <v>0.28436018957345977</v>
      </c>
      <c r="IF29" s="321">
        <f t="shared" si="561"/>
        <v>12.6</v>
      </c>
      <c r="IG29" s="402">
        <f t="shared" si="562"/>
        <v>2.8636363636363633</v>
      </c>
      <c r="IH29" s="321">
        <f t="shared" si="563"/>
        <v>-14.1</v>
      </c>
      <c r="II29" s="402">
        <f t="shared" si="564"/>
        <v>-0.82941176470588229</v>
      </c>
      <c r="IJ29" s="321">
        <f t="shared" si="565"/>
        <v>-1.2999999999999998</v>
      </c>
      <c r="IK29" s="402">
        <f t="shared" si="566"/>
        <v>-0.44827586206896547</v>
      </c>
      <c r="IL29" s="321">
        <f t="shared" si="567"/>
        <v>0.19999999999999996</v>
      </c>
      <c r="IM29" s="402">
        <f t="shared" si="568"/>
        <v>0.12499999999999997</v>
      </c>
      <c r="IN29" s="321">
        <f t="shared" si="569"/>
        <v>0.19999999999999996</v>
      </c>
      <c r="IO29" s="402">
        <f t="shared" si="570"/>
        <v>0.11111111111111108</v>
      </c>
      <c r="IP29" s="321">
        <f t="shared" si="571"/>
        <v>-2</v>
      </c>
      <c r="IQ29" s="402" t="e">
        <f t="shared" si="572"/>
        <v>#DIV/0!</v>
      </c>
      <c r="IR29" s="321">
        <f t="shared" si="573"/>
        <v>3.3333333333333368E-2</v>
      </c>
      <c r="IS29" s="402">
        <f t="shared" si="574"/>
        <v>-0.33333333333333337</v>
      </c>
      <c r="IT29" s="627">
        <f t="shared" si="575"/>
        <v>4</v>
      </c>
      <c r="IU29" s="1064">
        <f t="shared" si="576"/>
        <v>2</v>
      </c>
      <c r="IV29" s="670">
        <f t="shared" si="577"/>
        <v>-2</v>
      </c>
      <c r="IW29" s="109">
        <f t="shared" si="578"/>
        <v>-0.5</v>
      </c>
      <c r="IX29" s="698"/>
      <c r="IY29" s="698"/>
      <c r="IZ29" s="698"/>
      <c r="JA29" t="str">
        <f t="shared" si="579"/>
        <v>Average Time to Resolve (Days)</v>
      </c>
      <c r="JB29" s="272" t="e">
        <f>#REF!</f>
        <v>#REF!</v>
      </c>
      <c r="JC29" s="272" t="e">
        <f>#REF!</f>
        <v>#REF!</v>
      </c>
      <c r="JD29" s="272" t="e">
        <f>#REF!</f>
        <v>#REF!</v>
      </c>
      <c r="JE29" s="272" t="e">
        <f>#REF!</f>
        <v>#REF!</v>
      </c>
      <c r="JF29" s="272" t="e">
        <f>#REF!</f>
        <v>#REF!</v>
      </c>
      <c r="JG29" s="272" t="e">
        <f>#REF!</f>
        <v>#REF!</v>
      </c>
      <c r="JH29" s="272" t="e">
        <f>#REF!</f>
        <v>#REF!</v>
      </c>
      <c r="JI29" s="272" t="e">
        <f>#REF!</f>
        <v>#REF!</v>
      </c>
      <c r="JJ29" s="272" t="e">
        <f>#REF!</f>
        <v>#REF!</v>
      </c>
      <c r="JK29" s="272" t="e">
        <f>#REF!</f>
        <v>#REF!</v>
      </c>
      <c r="JL29" s="272" t="e">
        <f>#REF!</f>
        <v>#REF!</v>
      </c>
      <c r="JM29" s="273">
        <f t="shared" si="580"/>
        <v>1.8</v>
      </c>
      <c r="JN29" s="273">
        <f t="shared" si="581"/>
        <v>2.1</v>
      </c>
      <c r="JO29" s="273">
        <f t="shared" si="582"/>
        <v>2</v>
      </c>
      <c r="JP29" s="273">
        <f t="shared" si="583"/>
        <v>1.4</v>
      </c>
      <c r="JQ29" s="273">
        <f t="shared" si="584"/>
        <v>2.2999999999999998</v>
      </c>
      <c r="JR29" s="273">
        <f t="shared" si="585"/>
        <v>2.4</v>
      </c>
      <c r="JS29" s="273">
        <f t="shared" si="586"/>
        <v>2.2000000000000002</v>
      </c>
      <c r="JT29" s="273">
        <f t="shared" si="587"/>
        <v>1.8</v>
      </c>
      <c r="JU29" s="273">
        <f t="shared" si="588"/>
        <v>1.8</v>
      </c>
      <c r="JV29" s="273">
        <f t="shared" si="589"/>
        <v>1.8</v>
      </c>
      <c r="JW29" s="273">
        <f t="shared" si="590"/>
        <v>1.5</v>
      </c>
      <c r="JX29" s="273">
        <f t="shared" si="591"/>
        <v>1.8</v>
      </c>
      <c r="JY29" s="273">
        <f t="shared" si="592"/>
        <v>1.9</v>
      </c>
      <c r="JZ29" s="273">
        <f t="shared" si="593"/>
        <v>1.5</v>
      </c>
      <c r="KA29" s="273">
        <f t="shared" si="594"/>
        <v>1.5</v>
      </c>
      <c r="KB29" s="273">
        <f t="shared" si="595"/>
        <v>1.4</v>
      </c>
      <c r="KC29" s="273">
        <f t="shared" si="596"/>
        <v>2.1</v>
      </c>
      <c r="KD29" s="273">
        <f t="shared" si="597"/>
        <v>1.8</v>
      </c>
      <c r="KE29" s="273">
        <f t="shared" si="598"/>
        <v>2.2999999999999998</v>
      </c>
      <c r="KF29" s="273">
        <f t="shared" si="599"/>
        <v>3</v>
      </c>
      <c r="KG29" s="273">
        <f t="shared" si="600"/>
        <v>1.9</v>
      </c>
      <c r="KH29" s="273">
        <f t="shared" si="601"/>
        <v>2</v>
      </c>
      <c r="KI29" s="273">
        <f t="shared" si="602"/>
        <v>1.62</v>
      </c>
      <c r="KJ29" s="273">
        <f t="shared" si="603"/>
        <v>1.7</v>
      </c>
      <c r="KK29" s="793">
        <f t="shared" si="604"/>
        <v>2.2000000000000002</v>
      </c>
      <c r="KL29" s="793">
        <f t="shared" si="605"/>
        <v>2.8</v>
      </c>
      <c r="KM29" s="793">
        <f t="shared" si="606"/>
        <v>3.1</v>
      </c>
      <c r="KN29" s="793">
        <f t="shared" si="607"/>
        <v>1.5</v>
      </c>
      <c r="KO29" s="793">
        <f t="shared" si="608"/>
        <v>4.8</v>
      </c>
      <c r="KP29" s="793">
        <f t="shared" si="609"/>
        <v>4.5</v>
      </c>
      <c r="KQ29" s="793">
        <f t="shared" si="610"/>
        <v>2.6</v>
      </c>
      <c r="KR29" s="793">
        <f t="shared" si="611"/>
        <v>2.9</v>
      </c>
      <c r="KS29" s="793">
        <f t="shared" si="612"/>
        <v>2.4</v>
      </c>
      <c r="KT29" s="793">
        <f t="shared" si="613"/>
        <v>2</v>
      </c>
      <c r="KU29" s="793">
        <f t="shared" si="614"/>
        <v>2.1</v>
      </c>
      <c r="KV29" s="793">
        <f t="shared" si="615"/>
        <v>2.1</v>
      </c>
      <c r="KW29" s="905">
        <f t="shared" si="616"/>
        <v>5.5</v>
      </c>
      <c r="KX29" s="905">
        <f t="shared" si="617"/>
        <v>2.2999999999999998</v>
      </c>
      <c r="KY29" s="905">
        <f t="shared" si="618"/>
        <v>2.8</v>
      </c>
      <c r="KZ29" s="905">
        <f t="shared" si="619"/>
        <v>2.6</v>
      </c>
      <c r="LA29" s="905">
        <f t="shared" si="620"/>
        <v>2.7</v>
      </c>
      <c r="LB29" s="905">
        <f t="shared" si="621"/>
        <v>3</v>
      </c>
      <c r="LC29" s="905">
        <f t="shared" si="622"/>
        <v>2.8</v>
      </c>
      <c r="LD29" s="905">
        <f t="shared" si="623"/>
        <v>3.7</v>
      </c>
      <c r="LE29" s="905">
        <f t="shared" si="624"/>
        <v>3.7</v>
      </c>
      <c r="LF29" s="905">
        <f t="shared" si="625"/>
        <v>3</v>
      </c>
      <c r="LG29" s="905">
        <f t="shared" si="626"/>
        <v>2.9</v>
      </c>
      <c r="LH29" s="905">
        <f t="shared" si="627"/>
        <v>2.9</v>
      </c>
      <c r="LI29" s="964">
        <f t="shared" si="628"/>
        <v>2.6</v>
      </c>
      <c r="LJ29" s="964">
        <f t="shared" si="629"/>
        <v>2.1</v>
      </c>
      <c r="LK29" s="964">
        <f t="shared" si="630"/>
        <v>3.5</v>
      </c>
      <c r="LL29" s="964">
        <f t="shared" si="631"/>
        <v>1.9</v>
      </c>
      <c r="LM29" s="964">
        <f t="shared" si="632"/>
        <v>2.6</v>
      </c>
      <c r="LN29" s="964">
        <f t="shared" si="633"/>
        <v>4.4000000000000004</v>
      </c>
      <c r="LO29" s="964">
        <f t="shared" si="634"/>
        <v>2.8</v>
      </c>
      <c r="LP29" s="964">
        <f t="shared" si="635"/>
        <v>2.6</v>
      </c>
      <c r="LQ29" s="964">
        <f t="shared" si="636"/>
        <v>4.7</v>
      </c>
      <c r="LR29" s="964">
        <f t="shared" si="637"/>
        <v>4</v>
      </c>
      <c r="LS29" s="964">
        <f t="shared" si="638"/>
        <v>3</v>
      </c>
      <c r="LT29" s="964">
        <f t="shared" si="639"/>
        <v>3.2</v>
      </c>
      <c r="LU29" s="1160">
        <f t="shared" si="640"/>
        <v>2.2999999999999998</v>
      </c>
      <c r="LV29" s="1160">
        <f t="shared" si="641"/>
        <v>3.1</v>
      </c>
      <c r="LW29" s="1160">
        <f t="shared" si="642"/>
        <v>3.9</v>
      </c>
      <c r="LX29" s="1160">
        <f t="shared" si="643"/>
        <v>3.2</v>
      </c>
      <c r="LY29" s="1160">
        <f t="shared" si="644"/>
        <v>4.4000000000000004</v>
      </c>
      <c r="LZ29" s="1160">
        <f t="shared" si="645"/>
        <v>17</v>
      </c>
      <c r="MA29" s="1160">
        <f t="shared" si="646"/>
        <v>2.9</v>
      </c>
      <c r="MB29" s="1160">
        <f t="shared" si="647"/>
        <v>1.6</v>
      </c>
      <c r="MC29" s="1160">
        <f t="shared" si="648"/>
        <v>1.8</v>
      </c>
      <c r="MD29" s="1160">
        <f t="shared" si="649"/>
        <v>2</v>
      </c>
      <c r="ME29" s="1160">
        <f t="shared" si="650"/>
        <v>0</v>
      </c>
      <c r="MF29" s="1160">
        <f t="shared" si="651"/>
        <v>0</v>
      </c>
      <c r="MG29" s="1182">
        <f t="shared" si="652"/>
        <v>0</v>
      </c>
      <c r="MH29" s="1182">
        <f t="shared" si="653"/>
        <v>0</v>
      </c>
      <c r="MI29" s="1182">
        <f t="shared" si="654"/>
        <v>0</v>
      </c>
      <c r="MJ29" s="1182">
        <f t="shared" si="655"/>
        <v>0</v>
      </c>
      <c r="MK29" s="1182">
        <f t="shared" si="656"/>
        <v>0</v>
      </c>
      <c r="ML29" s="1182">
        <f t="shared" si="657"/>
        <v>0</v>
      </c>
      <c r="MM29" s="1182">
        <f t="shared" si="658"/>
        <v>0</v>
      </c>
      <c r="MN29" s="1182">
        <f t="shared" si="659"/>
        <v>0</v>
      </c>
      <c r="MO29" s="1182">
        <f t="shared" si="660"/>
        <v>0</v>
      </c>
      <c r="MP29" s="1182">
        <f t="shared" si="661"/>
        <v>0</v>
      </c>
      <c r="MQ29" s="1182">
        <f t="shared" si="662"/>
        <v>0</v>
      </c>
      <c r="MR29" s="1182">
        <f t="shared" si="662"/>
        <v>0</v>
      </c>
    </row>
    <row r="30" spans="1:356" ht="15.75" thickBot="1" x14ac:dyDescent="0.3">
      <c r="A30" s="765"/>
      <c r="B30" s="57">
        <v>3.4</v>
      </c>
      <c r="C30" s="4"/>
      <c r="D30" s="448"/>
      <c r="E30" s="1219" t="s">
        <v>45</v>
      </c>
      <c r="F30" s="1219"/>
      <c r="G30" s="1220"/>
      <c r="H30" s="378">
        <v>1035</v>
      </c>
      <c r="I30" s="65">
        <v>980</v>
      </c>
      <c r="J30" s="17">
        <v>931</v>
      </c>
      <c r="K30" s="65">
        <v>1133</v>
      </c>
      <c r="L30" s="17">
        <v>865</v>
      </c>
      <c r="M30" s="65">
        <v>779</v>
      </c>
      <c r="N30" s="17">
        <v>821</v>
      </c>
      <c r="O30" s="65">
        <v>789</v>
      </c>
      <c r="P30" s="17">
        <v>700</v>
      </c>
      <c r="Q30" s="65">
        <v>562</v>
      </c>
      <c r="R30" s="17">
        <v>771</v>
      </c>
      <c r="S30" s="65">
        <v>703</v>
      </c>
      <c r="T30" s="134">
        <v>0</v>
      </c>
      <c r="U30" s="165">
        <v>839.08333333333337</v>
      </c>
      <c r="V30" s="378">
        <v>718</v>
      </c>
      <c r="W30" s="65">
        <v>729</v>
      </c>
      <c r="X30" s="17">
        <v>638</v>
      </c>
      <c r="Y30" s="65">
        <v>693</v>
      </c>
      <c r="Z30" s="17">
        <v>674</v>
      </c>
      <c r="AA30" s="65">
        <v>561</v>
      </c>
      <c r="AB30" s="17">
        <v>692</v>
      </c>
      <c r="AC30" s="65">
        <v>587</v>
      </c>
      <c r="AD30" s="17">
        <v>623</v>
      </c>
      <c r="AE30" s="65">
        <v>582</v>
      </c>
      <c r="AF30" s="17">
        <v>527</v>
      </c>
      <c r="AG30" s="65">
        <v>512</v>
      </c>
      <c r="AH30" s="134">
        <v>0</v>
      </c>
      <c r="AI30" s="165">
        <v>628</v>
      </c>
      <c r="AJ30" s="378">
        <v>627</v>
      </c>
      <c r="AK30" s="65">
        <v>547</v>
      </c>
      <c r="AL30" s="17">
        <v>537</v>
      </c>
      <c r="AM30" s="65">
        <v>866</v>
      </c>
      <c r="AN30" s="17">
        <v>697</v>
      </c>
      <c r="AO30" s="65">
        <v>510</v>
      </c>
      <c r="AP30" s="628">
        <v>589</v>
      </c>
      <c r="AQ30" s="65">
        <v>578</v>
      </c>
      <c r="AR30" s="628">
        <v>516</v>
      </c>
      <c r="AS30" s="65">
        <v>506</v>
      </c>
      <c r="AT30" s="628">
        <v>680</v>
      </c>
      <c r="AU30" s="65">
        <v>494</v>
      </c>
      <c r="AV30" s="134">
        <v>0</v>
      </c>
      <c r="AW30" s="165">
        <f t="shared" si="417"/>
        <v>595.58333333333337</v>
      </c>
      <c r="AX30" s="378">
        <v>493</v>
      </c>
      <c r="AY30" s="65">
        <v>463</v>
      </c>
      <c r="AZ30" s="17">
        <v>523</v>
      </c>
      <c r="BA30" s="65">
        <v>739</v>
      </c>
      <c r="BB30" s="17">
        <v>572</v>
      </c>
      <c r="BC30" s="65">
        <v>546</v>
      </c>
      <c r="BD30" s="628">
        <v>605</v>
      </c>
      <c r="BE30" s="65">
        <v>475</v>
      </c>
      <c r="BF30" s="628">
        <v>552</v>
      </c>
      <c r="BG30" s="65">
        <v>485</v>
      </c>
      <c r="BH30" s="628">
        <v>555</v>
      </c>
      <c r="BI30" s="65">
        <v>634</v>
      </c>
      <c r="BJ30" s="134">
        <v>0</v>
      </c>
      <c r="BK30" s="165">
        <f t="shared" si="421"/>
        <v>553.5</v>
      </c>
      <c r="BL30" s="378">
        <v>790</v>
      </c>
      <c r="BM30" s="65">
        <v>797</v>
      </c>
      <c r="BN30" s="17">
        <v>702</v>
      </c>
      <c r="BO30" s="65">
        <v>1940</v>
      </c>
      <c r="BP30" s="17">
        <v>1453</v>
      </c>
      <c r="BQ30" s="65">
        <v>875</v>
      </c>
      <c r="BR30" s="628">
        <v>988</v>
      </c>
      <c r="BS30" s="65">
        <v>916</v>
      </c>
      <c r="BT30" s="628">
        <v>810</v>
      </c>
      <c r="BU30" s="628">
        <v>866</v>
      </c>
      <c r="BV30" s="628">
        <v>711</v>
      </c>
      <c r="BW30" s="628">
        <v>855</v>
      </c>
      <c r="BX30" s="134">
        <v>0</v>
      </c>
      <c r="BY30" s="165">
        <f t="shared" si="429"/>
        <v>975.25</v>
      </c>
      <c r="BZ30" s="628">
        <v>738</v>
      </c>
      <c r="CA30" s="65">
        <v>924</v>
      </c>
      <c r="CB30" s="17">
        <v>994</v>
      </c>
      <c r="CC30" s="65">
        <v>1082</v>
      </c>
      <c r="CD30" s="17">
        <v>1480</v>
      </c>
      <c r="CE30" s="65">
        <v>1179</v>
      </c>
      <c r="CF30" s="628">
        <v>1234</v>
      </c>
      <c r="CG30" s="65">
        <v>1488</v>
      </c>
      <c r="CH30" s="628">
        <v>1093</v>
      </c>
      <c r="CI30" s="628">
        <v>918</v>
      </c>
      <c r="CJ30" s="628">
        <v>903</v>
      </c>
      <c r="CK30" s="628">
        <v>906</v>
      </c>
      <c r="CL30" s="134">
        <v>0</v>
      </c>
      <c r="CM30" s="165">
        <f t="shared" si="437"/>
        <v>1078.25</v>
      </c>
      <c r="CN30" s="628">
        <v>925</v>
      </c>
      <c r="CO30" s="65">
        <v>1135</v>
      </c>
      <c r="CP30" s="17">
        <v>887</v>
      </c>
      <c r="CQ30" s="65">
        <v>1053</v>
      </c>
      <c r="CR30" s="17">
        <v>1095</v>
      </c>
      <c r="CS30" s="65">
        <v>1113</v>
      </c>
      <c r="CT30" s="214">
        <v>1201</v>
      </c>
      <c r="CU30" s="65">
        <v>1165</v>
      </c>
      <c r="CV30" s="628">
        <v>1044</v>
      </c>
      <c r="CW30" s="1065">
        <v>985</v>
      </c>
      <c r="CX30" s="628">
        <v>834</v>
      </c>
      <c r="CY30" s="65">
        <v>760</v>
      </c>
      <c r="CZ30" s="134">
        <v>0</v>
      </c>
      <c r="DA30" s="165">
        <f t="shared" si="445"/>
        <v>1016.4166666666666</v>
      </c>
      <c r="DB30" s="628">
        <v>836</v>
      </c>
      <c r="DC30" s="65">
        <v>859</v>
      </c>
      <c r="DD30" s="17">
        <v>815</v>
      </c>
      <c r="DE30" s="65">
        <v>806</v>
      </c>
      <c r="DF30" s="17">
        <v>782</v>
      </c>
      <c r="DG30" s="65">
        <v>497</v>
      </c>
      <c r="DH30" s="214">
        <v>505</v>
      </c>
      <c r="DI30" s="65">
        <v>425</v>
      </c>
      <c r="DJ30" s="628">
        <v>418</v>
      </c>
      <c r="DK30" s="65">
        <v>395</v>
      </c>
      <c r="DL30" s="628"/>
      <c r="DM30" s="65"/>
      <c r="DN30" s="134">
        <v>0</v>
      </c>
      <c r="DO30" s="165">
        <f t="shared" si="452"/>
        <v>633.79999999999995</v>
      </c>
      <c r="DP30" s="628"/>
      <c r="DQ30" s="65"/>
      <c r="DR30" s="17"/>
      <c r="DS30" s="65"/>
      <c r="DT30" s="17"/>
      <c r="DU30" s="65"/>
      <c r="DV30" s="214"/>
      <c r="DW30" s="65"/>
      <c r="DX30" s="628"/>
      <c r="DY30" s="65"/>
      <c r="DZ30" s="628"/>
      <c r="EA30" s="65"/>
      <c r="EB30" s="134">
        <v>0</v>
      </c>
      <c r="EC30" s="165" t="e">
        <f t="shared" si="454"/>
        <v>#DIV/0!</v>
      </c>
      <c r="ED30" s="671">
        <f t="shared" si="455"/>
        <v>-1</v>
      </c>
      <c r="EE30" s="672">
        <f t="shared" si="456"/>
        <v>-2.0242914979757085E-3</v>
      </c>
      <c r="EF30" s="671">
        <f t="shared" si="457"/>
        <v>-30</v>
      </c>
      <c r="EG30" s="672">
        <f t="shared" si="458"/>
        <v>-6.0851926977687626E-2</v>
      </c>
      <c r="EH30" s="671">
        <f t="shared" si="459"/>
        <v>60</v>
      </c>
      <c r="EI30" s="672">
        <f t="shared" si="460"/>
        <v>0.12958963282937366</v>
      </c>
      <c r="EJ30" s="671">
        <f t="shared" si="461"/>
        <v>216</v>
      </c>
      <c r="EK30" s="672">
        <f t="shared" si="462"/>
        <v>0.4130019120458891</v>
      </c>
      <c r="EL30" s="671">
        <f t="shared" si="463"/>
        <v>-167</v>
      </c>
      <c r="EM30" s="672">
        <f t="shared" si="464"/>
        <v>-0.22598105548037889</v>
      </c>
      <c r="EN30" s="671">
        <f t="shared" si="465"/>
        <v>-26</v>
      </c>
      <c r="EO30" s="672">
        <f t="shared" si="466"/>
        <v>-4.5454545454545456E-2</v>
      </c>
      <c r="EP30" s="671">
        <f t="shared" si="467"/>
        <v>59</v>
      </c>
      <c r="EQ30" s="672">
        <f t="shared" si="468"/>
        <v>0.10805860805860806</v>
      </c>
      <c r="ER30" s="671">
        <f t="shared" si="469"/>
        <v>-130</v>
      </c>
      <c r="ES30" s="672">
        <f t="shared" si="470"/>
        <v>-0.21487603305785125</v>
      </c>
      <c r="ET30" s="671">
        <f t="shared" si="471"/>
        <v>77</v>
      </c>
      <c r="EU30" s="672">
        <f t="shared" si="472"/>
        <v>0.16210526315789472</v>
      </c>
      <c r="EV30" s="671">
        <f t="shared" si="473"/>
        <v>-67</v>
      </c>
      <c r="EW30" s="192">
        <f t="shared" si="474"/>
        <v>-0.1213768115942029</v>
      </c>
      <c r="EX30" s="671">
        <f t="shared" si="475"/>
        <v>70</v>
      </c>
      <c r="EY30" s="672">
        <f t="shared" si="476"/>
        <v>0.14432989690721648</v>
      </c>
      <c r="EZ30" s="671">
        <f t="shared" si="477"/>
        <v>79</v>
      </c>
      <c r="FA30" s="672">
        <f t="shared" si="478"/>
        <v>0.14234234234234233</v>
      </c>
      <c r="FB30" s="671">
        <f t="shared" si="479"/>
        <v>156</v>
      </c>
      <c r="FC30" s="672">
        <f t="shared" si="480"/>
        <v>0.24605678233438485</v>
      </c>
      <c r="FD30" s="322">
        <f t="shared" si="481"/>
        <v>7</v>
      </c>
      <c r="FE30" s="405">
        <f t="shared" si="482"/>
        <v>8.8607594936708865E-3</v>
      </c>
      <c r="FF30" s="322">
        <f t="shared" si="483"/>
        <v>-95</v>
      </c>
      <c r="FG30" s="405">
        <f t="shared" si="484"/>
        <v>-0.1191969887076537</v>
      </c>
      <c r="FH30" s="322">
        <f t="shared" si="485"/>
        <v>1238</v>
      </c>
      <c r="FI30" s="405">
        <f t="shared" si="486"/>
        <v>1.7635327635327636</v>
      </c>
      <c r="FJ30" s="322">
        <f t="shared" si="487"/>
        <v>-487</v>
      </c>
      <c r="FK30" s="405">
        <f t="shared" si="488"/>
        <v>-0.25103092783505154</v>
      </c>
      <c r="FL30" s="322">
        <f t="shared" si="489"/>
        <v>-578</v>
      </c>
      <c r="FM30" s="405">
        <f t="shared" si="490"/>
        <v>-0.3977976600137646</v>
      </c>
      <c r="FN30" s="322">
        <f t="shared" si="491"/>
        <v>113</v>
      </c>
      <c r="FO30" s="405">
        <f t="shared" si="492"/>
        <v>0.12914285714285714</v>
      </c>
      <c r="FP30" s="322">
        <f t="shared" si="493"/>
        <v>-72</v>
      </c>
      <c r="FQ30" s="405">
        <f t="shared" si="494"/>
        <v>-7.28744939271255E-2</v>
      </c>
      <c r="FR30" s="322">
        <f t="shared" si="495"/>
        <v>-106</v>
      </c>
      <c r="FS30" s="405">
        <f t="shared" si="496"/>
        <v>-0.11572052401746726</v>
      </c>
      <c r="FT30" s="322">
        <f t="shared" si="497"/>
        <v>56</v>
      </c>
      <c r="FU30" s="405">
        <f t="shared" si="498"/>
        <v>6.9135802469135796E-2</v>
      </c>
      <c r="FV30" s="322">
        <f t="shared" si="499"/>
        <v>-155</v>
      </c>
      <c r="FW30" s="405">
        <f t="shared" si="500"/>
        <v>-0.17898383371824481</v>
      </c>
      <c r="FX30" s="322">
        <f t="shared" si="501"/>
        <v>144</v>
      </c>
      <c r="FY30" s="405">
        <f t="shared" si="502"/>
        <v>0.20253164556962025</v>
      </c>
      <c r="FZ30" s="322">
        <f t="shared" si="503"/>
        <v>-117</v>
      </c>
      <c r="GA30" s="405">
        <f t="shared" si="504"/>
        <v>-0.1368421052631579</v>
      </c>
      <c r="GB30" s="322">
        <f t="shared" si="505"/>
        <v>186</v>
      </c>
      <c r="GC30" s="405">
        <f t="shared" si="506"/>
        <v>0.25203252032520324</v>
      </c>
      <c r="GD30" s="322">
        <f t="shared" si="507"/>
        <v>70</v>
      </c>
      <c r="GE30" s="405">
        <f t="shared" si="508"/>
        <v>7.575757575757576E-2</v>
      </c>
      <c r="GF30" s="322">
        <f t="shared" si="509"/>
        <v>88</v>
      </c>
      <c r="GG30" s="405">
        <f t="shared" si="510"/>
        <v>8.8531187122736416E-2</v>
      </c>
      <c r="GH30" s="322">
        <f t="shared" si="511"/>
        <v>398</v>
      </c>
      <c r="GI30" s="405">
        <f t="shared" si="512"/>
        <v>0.36783733826247689</v>
      </c>
      <c r="GJ30" s="322">
        <f t="shared" si="513"/>
        <v>-301</v>
      </c>
      <c r="GK30" s="405">
        <f t="shared" si="514"/>
        <v>-0.20337837837837838</v>
      </c>
      <c r="GL30" s="322">
        <f t="shared" si="515"/>
        <v>55</v>
      </c>
      <c r="GM30" s="405">
        <f t="shared" si="516"/>
        <v>4.6649703138252757E-2</v>
      </c>
      <c r="GN30" s="322">
        <f t="shared" si="517"/>
        <v>254</v>
      </c>
      <c r="GO30" s="405">
        <f t="shared" si="518"/>
        <v>0.20583468395461912</v>
      </c>
      <c r="GP30" s="322">
        <f t="shared" si="519"/>
        <v>-395</v>
      </c>
      <c r="GQ30" s="405">
        <f t="shared" si="520"/>
        <v>-0.26545698924731181</v>
      </c>
      <c r="GR30" s="322">
        <f t="shared" si="521"/>
        <v>-175</v>
      </c>
      <c r="GS30" s="405">
        <f t="shared" si="522"/>
        <v>-0.16010978956999086</v>
      </c>
      <c r="GT30" s="322">
        <f t="shared" si="523"/>
        <v>-15</v>
      </c>
      <c r="GU30" s="405">
        <f t="shared" si="524"/>
        <v>-1.6339869281045753E-2</v>
      </c>
      <c r="GV30" s="322">
        <f t="shared" si="525"/>
        <v>3</v>
      </c>
      <c r="GW30" s="405">
        <f t="shared" si="526"/>
        <v>3.3222591362126247E-3</v>
      </c>
      <c r="GX30" s="322">
        <f t="shared" si="527"/>
        <v>19</v>
      </c>
      <c r="GY30" s="405">
        <f t="shared" si="528"/>
        <v>2.097130242825607E-2</v>
      </c>
      <c r="GZ30" s="322">
        <f t="shared" si="529"/>
        <v>210</v>
      </c>
      <c r="HA30" s="405">
        <f t="shared" si="530"/>
        <v>0.22702702702702704</v>
      </c>
      <c r="HB30" s="322">
        <f t="shared" si="531"/>
        <v>-248</v>
      </c>
      <c r="HC30" s="405">
        <f t="shared" si="532"/>
        <v>-0.2185022026431718</v>
      </c>
      <c r="HD30" s="322">
        <f t="shared" si="533"/>
        <v>166</v>
      </c>
      <c r="HE30" s="405">
        <f t="shared" si="534"/>
        <v>0.18714768883878241</v>
      </c>
      <c r="HF30" s="322">
        <f t="shared" si="535"/>
        <v>42</v>
      </c>
      <c r="HG30" s="405">
        <f t="shared" si="536"/>
        <v>3.9886039886039885E-2</v>
      </c>
      <c r="HH30" s="322">
        <f t="shared" si="537"/>
        <v>18</v>
      </c>
      <c r="HI30" s="405">
        <f t="shared" si="538"/>
        <v>1.643835616438356E-2</v>
      </c>
      <c r="HJ30" s="322">
        <f t="shared" si="539"/>
        <v>88</v>
      </c>
      <c r="HK30" s="405">
        <f t="shared" si="540"/>
        <v>7.9065588499550768E-2</v>
      </c>
      <c r="HL30" s="322">
        <f t="shared" si="541"/>
        <v>-36</v>
      </c>
      <c r="HM30" s="405">
        <f t="shared" si="542"/>
        <v>-2.9975020815986679E-2</v>
      </c>
      <c r="HN30" s="322">
        <f t="shared" si="543"/>
        <v>-121</v>
      </c>
      <c r="HO30" s="405">
        <f t="shared" si="544"/>
        <v>-0.10386266094420601</v>
      </c>
      <c r="HP30" s="322">
        <f t="shared" si="545"/>
        <v>-59</v>
      </c>
      <c r="HQ30" s="405">
        <f t="shared" si="546"/>
        <v>-5.6513409961685822E-2</v>
      </c>
      <c r="HR30" s="322">
        <f t="shared" si="547"/>
        <v>-151</v>
      </c>
      <c r="HS30" s="405">
        <f t="shared" si="548"/>
        <v>-0.1532994923857868</v>
      </c>
      <c r="HT30" s="322">
        <f t="shared" si="549"/>
        <v>-74</v>
      </c>
      <c r="HU30" s="405">
        <f t="shared" si="550"/>
        <v>-8.8729016786570747E-2</v>
      </c>
      <c r="HV30" s="322">
        <f t="shared" si="551"/>
        <v>76</v>
      </c>
      <c r="HW30" s="405">
        <f t="shared" si="552"/>
        <v>0.1</v>
      </c>
      <c r="HX30" s="322">
        <f t="shared" si="553"/>
        <v>23</v>
      </c>
      <c r="HY30" s="405">
        <f t="shared" si="554"/>
        <v>2.751196172248804E-2</v>
      </c>
      <c r="HZ30" s="322">
        <f t="shared" si="555"/>
        <v>-44</v>
      </c>
      <c r="IA30" s="405">
        <f t="shared" si="556"/>
        <v>-5.3987730061349694E-2</v>
      </c>
      <c r="IB30" s="322">
        <f t="shared" si="557"/>
        <v>-9</v>
      </c>
      <c r="IC30" s="405">
        <f t="shared" si="558"/>
        <v>-1.1042944785276074E-2</v>
      </c>
      <c r="ID30" s="322">
        <f t="shared" si="559"/>
        <v>-24</v>
      </c>
      <c r="IE30" s="405">
        <f t="shared" si="560"/>
        <v>-3.7866834963710953E-2</v>
      </c>
      <c r="IF30" s="322">
        <f t="shared" si="561"/>
        <v>-285</v>
      </c>
      <c r="IG30" s="405">
        <f t="shared" si="562"/>
        <v>-0.36445012787723785</v>
      </c>
      <c r="IH30" s="322">
        <f t="shared" si="563"/>
        <v>8</v>
      </c>
      <c r="II30" s="405">
        <f t="shared" si="564"/>
        <v>1.6096579476861168E-2</v>
      </c>
      <c r="IJ30" s="322">
        <f t="shared" si="565"/>
        <v>-80</v>
      </c>
      <c r="IK30" s="405">
        <f t="shared" si="566"/>
        <v>-0.15841584158415842</v>
      </c>
      <c r="IL30" s="322">
        <f t="shared" si="567"/>
        <v>-7</v>
      </c>
      <c r="IM30" s="405">
        <f t="shared" si="568"/>
        <v>-1.6470588235294119E-2</v>
      </c>
      <c r="IN30" s="322">
        <f t="shared" si="569"/>
        <v>-23</v>
      </c>
      <c r="IO30" s="405">
        <f t="shared" si="570"/>
        <v>-5.5023923444976079E-2</v>
      </c>
      <c r="IP30" s="322">
        <f t="shared" si="571"/>
        <v>-395</v>
      </c>
      <c r="IQ30" s="405">
        <f t="shared" si="572"/>
        <v>-3048.083333333333</v>
      </c>
      <c r="IR30" s="322">
        <f t="shared" si="573"/>
        <v>-215.5869980879541</v>
      </c>
      <c r="IS30" s="405">
        <f t="shared" si="574"/>
        <v>-0.99808795411089857</v>
      </c>
      <c r="IT30" s="628">
        <f t="shared" si="575"/>
        <v>985</v>
      </c>
      <c r="IU30" s="1065">
        <f t="shared" si="576"/>
        <v>395</v>
      </c>
      <c r="IV30" s="671">
        <f t="shared" si="577"/>
        <v>-590</v>
      </c>
      <c r="IW30" s="192">
        <f t="shared" si="578"/>
        <v>-0.59898477157360408</v>
      </c>
      <c r="IX30" s="696"/>
      <c r="IY30" s="696"/>
      <c r="IZ30" s="696"/>
      <c r="JA30" s="861" t="str">
        <f t="shared" si="579"/>
        <v>Open Tickets at Month End</v>
      </c>
      <c r="JB30" s="274" t="e">
        <f>#REF!</f>
        <v>#REF!</v>
      </c>
      <c r="JC30" s="274" t="e">
        <f>#REF!</f>
        <v>#REF!</v>
      </c>
      <c r="JD30" s="274" t="e">
        <f>#REF!</f>
        <v>#REF!</v>
      </c>
      <c r="JE30" s="274" t="e">
        <f>#REF!</f>
        <v>#REF!</v>
      </c>
      <c r="JF30" s="274" t="e">
        <f>#REF!</f>
        <v>#REF!</v>
      </c>
      <c r="JG30" s="274" t="e">
        <f>#REF!</f>
        <v>#REF!</v>
      </c>
      <c r="JH30" s="274" t="e">
        <f>#REF!</f>
        <v>#REF!</v>
      </c>
      <c r="JI30" s="274" t="e">
        <f>#REF!</f>
        <v>#REF!</v>
      </c>
      <c r="JJ30" s="274" t="e">
        <f>#REF!</f>
        <v>#REF!</v>
      </c>
      <c r="JK30" s="274" t="e">
        <f>#REF!</f>
        <v>#REF!</v>
      </c>
      <c r="JL30" s="274" t="e">
        <f>#REF!</f>
        <v>#REF!</v>
      </c>
      <c r="JM30" s="275">
        <f t="shared" si="580"/>
        <v>627</v>
      </c>
      <c r="JN30" s="275">
        <f t="shared" si="581"/>
        <v>547</v>
      </c>
      <c r="JO30" s="275">
        <f t="shared" si="582"/>
        <v>537</v>
      </c>
      <c r="JP30" s="275">
        <f t="shared" si="583"/>
        <v>866</v>
      </c>
      <c r="JQ30" s="275">
        <f t="shared" si="584"/>
        <v>697</v>
      </c>
      <c r="JR30" s="275">
        <f t="shared" si="585"/>
        <v>510</v>
      </c>
      <c r="JS30" s="275">
        <f t="shared" si="586"/>
        <v>589</v>
      </c>
      <c r="JT30" s="275">
        <f t="shared" si="587"/>
        <v>578</v>
      </c>
      <c r="JU30" s="275">
        <f t="shared" si="588"/>
        <v>516</v>
      </c>
      <c r="JV30" s="275">
        <f t="shared" si="589"/>
        <v>506</v>
      </c>
      <c r="JW30" s="275">
        <f t="shared" si="590"/>
        <v>680</v>
      </c>
      <c r="JX30" s="275">
        <f t="shared" si="591"/>
        <v>494</v>
      </c>
      <c r="JY30" s="275">
        <f t="shared" si="592"/>
        <v>493</v>
      </c>
      <c r="JZ30" s="275">
        <f t="shared" si="593"/>
        <v>463</v>
      </c>
      <c r="KA30" s="275">
        <f t="shared" si="594"/>
        <v>523</v>
      </c>
      <c r="KB30" s="275">
        <f t="shared" si="595"/>
        <v>739</v>
      </c>
      <c r="KC30" s="275">
        <f t="shared" si="596"/>
        <v>572</v>
      </c>
      <c r="KD30" s="275">
        <f t="shared" si="597"/>
        <v>546</v>
      </c>
      <c r="KE30" s="275">
        <f t="shared" si="598"/>
        <v>605</v>
      </c>
      <c r="KF30" s="275">
        <f t="shared" si="599"/>
        <v>475</v>
      </c>
      <c r="KG30" s="275">
        <f t="shared" si="600"/>
        <v>552</v>
      </c>
      <c r="KH30" s="275">
        <f t="shared" si="601"/>
        <v>485</v>
      </c>
      <c r="KI30" s="275">
        <f t="shared" si="602"/>
        <v>555</v>
      </c>
      <c r="KJ30" s="275">
        <f t="shared" si="603"/>
        <v>634</v>
      </c>
      <c r="KK30" s="794">
        <f t="shared" si="604"/>
        <v>790</v>
      </c>
      <c r="KL30" s="794">
        <f t="shared" si="605"/>
        <v>797</v>
      </c>
      <c r="KM30" s="794">
        <f t="shared" si="606"/>
        <v>702</v>
      </c>
      <c r="KN30" s="794">
        <f t="shared" si="607"/>
        <v>1940</v>
      </c>
      <c r="KO30" s="794">
        <f t="shared" si="608"/>
        <v>1453</v>
      </c>
      <c r="KP30" s="794">
        <f t="shared" si="609"/>
        <v>875</v>
      </c>
      <c r="KQ30" s="794">
        <f t="shared" si="610"/>
        <v>988</v>
      </c>
      <c r="KR30" s="794">
        <f t="shared" si="611"/>
        <v>916</v>
      </c>
      <c r="KS30" s="794">
        <f t="shared" si="612"/>
        <v>810</v>
      </c>
      <c r="KT30" s="794">
        <f t="shared" si="613"/>
        <v>866</v>
      </c>
      <c r="KU30" s="794">
        <f t="shared" si="614"/>
        <v>711</v>
      </c>
      <c r="KV30" s="794">
        <f t="shared" si="615"/>
        <v>855</v>
      </c>
      <c r="KW30" s="906">
        <f t="shared" si="616"/>
        <v>738</v>
      </c>
      <c r="KX30" s="906">
        <f t="shared" si="617"/>
        <v>924</v>
      </c>
      <c r="KY30" s="906">
        <f t="shared" si="618"/>
        <v>994</v>
      </c>
      <c r="KZ30" s="906">
        <f t="shared" si="619"/>
        <v>1082</v>
      </c>
      <c r="LA30" s="906">
        <f t="shared" si="620"/>
        <v>1480</v>
      </c>
      <c r="LB30" s="906">
        <f t="shared" si="621"/>
        <v>1179</v>
      </c>
      <c r="LC30" s="906">
        <f t="shared" si="622"/>
        <v>1234</v>
      </c>
      <c r="LD30" s="906">
        <f t="shared" si="623"/>
        <v>1488</v>
      </c>
      <c r="LE30" s="906">
        <f t="shared" si="624"/>
        <v>1093</v>
      </c>
      <c r="LF30" s="906">
        <f t="shared" si="625"/>
        <v>918</v>
      </c>
      <c r="LG30" s="906">
        <f t="shared" si="626"/>
        <v>903</v>
      </c>
      <c r="LH30" s="906">
        <f t="shared" si="627"/>
        <v>906</v>
      </c>
      <c r="LI30" s="965">
        <f t="shared" si="628"/>
        <v>925</v>
      </c>
      <c r="LJ30" s="965">
        <f t="shared" si="629"/>
        <v>1135</v>
      </c>
      <c r="LK30" s="965">
        <f t="shared" si="630"/>
        <v>887</v>
      </c>
      <c r="LL30" s="965">
        <f t="shared" si="631"/>
        <v>1053</v>
      </c>
      <c r="LM30" s="965">
        <f t="shared" si="632"/>
        <v>1095</v>
      </c>
      <c r="LN30" s="965">
        <f t="shared" si="633"/>
        <v>1113</v>
      </c>
      <c r="LO30" s="965">
        <f t="shared" si="634"/>
        <v>1201</v>
      </c>
      <c r="LP30" s="965">
        <f t="shared" si="635"/>
        <v>1165</v>
      </c>
      <c r="LQ30" s="965">
        <f t="shared" si="636"/>
        <v>1044</v>
      </c>
      <c r="LR30" s="965">
        <f t="shared" si="637"/>
        <v>985</v>
      </c>
      <c r="LS30" s="965">
        <f t="shared" si="638"/>
        <v>834</v>
      </c>
      <c r="LT30" s="965">
        <f t="shared" si="639"/>
        <v>760</v>
      </c>
      <c r="LU30" s="1161">
        <f t="shared" si="640"/>
        <v>836</v>
      </c>
      <c r="LV30" s="1161">
        <f t="shared" si="641"/>
        <v>859</v>
      </c>
      <c r="LW30" s="1161">
        <f t="shared" si="642"/>
        <v>815</v>
      </c>
      <c r="LX30" s="1161">
        <f t="shared" si="643"/>
        <v>806</v>
      </c>
      <c r="LY30" s="1161">
        <f t="shared" si="644"/>
        <v>782</v>
      </c>
      <c r="LZ30" s="1161">
        <f t="shared" si="645"/>
        <v>497</v>
      </c>
      <c r="MA30" s="1161">
        <f t="shared" si="646"/>
        <v>505</v>
      </c>
      <c r="MB30" s="1161">
        <f t="shared" si="647"/>
        <v>425</v>
      </c>
      <c r="MC30" s="1161">
        <f t="shared" si="648"/>
        <v>418</v>
      </c>
      <c r="MD30" s="1161">
        <f t="shared" si="649"/>
        <v>395</v>
      </c>
      <c r="ME30" s="1161">
        <f t="shared" si="650"/>
        <v>0</v>
      </c>
      <c r="MF30" s="1161">
        <f t="shared" si="651"/>
        <v>0</v>
      </c>
      <c r="MG30" s="1183">
        <f t="shared" si="652"/>
        <v>0</v>
      </c>
      <c r="MH30" s="1183">
        <f t="shared" si="653"/>
        <v>0</v>
      </c>
      <c r="MI30" s="1183">
        <f t="shared" si="654"/>
        <v>0</v>
      </c>
      <c r="MJ30" s="1183">
        <f t="shared" si="655"/>
        <v>0</v>
      </c>
      <c r="MK30" s="1183">
        <f t="shared" si="656"/>
        <v>0</v>
      </c>
      <c r="ML30" s="1183">
        <f t="shared" si="657"/>
        <v>0</v>
      </c>
      <c r="MM30" s="1183">
        <f t="shared" si="658"/>
        <v>0</v>
      </c>
      <c r="MN30" s="1183">
        <f t="shared" si="659"/>
        <v>0</v>
      </c>
      <c r="MO30" s="1183">
        <f t="shared" si="660"/>
        <v>0</v>
      </c>
      <c r="MP30" s="1183">
        <f t="shared" si="661"/>
        <v>0</v>
      </c>
      <c r="MQ30" s="1183">
        <f t="shared" si="662"/>
        <v>0</v>
      </c>
      <c r="MR30" s="1183">
        <f t="shared" si="662"/>
        <v>0</v>
      </c>
    </row>
    <row r="31" spans="1:356" ht="15.75" customHeight="1" x14ac:dyDescent="0.25">
      <c r="A31" s="764">
        <v>4</v>
      </c>
      <c r="B31" s="7" t="s">
        <v>80</v>
      </c>
      <c r="C31" s="9"/>
      <c r="D31" s="449"/>
      <c r="E31" s="450"/>
      <c r="F31" s="450"/>
      <c r="G31" s="450"/>
      <c r="H31" s="170"/>
      <c r="I31" s="67"/>
      <c r="K31" s="67"/>
      <c r="M31" s="67"/>
      <c r="O31" s="67"/>
      <c r="Q31" s="67"/>
      <c r="R31" s="411"/>
      <c r="S31" s="412"/>
      <c r="T31" s="132"/>
      <c r="U31" s="154"/>
      <c r="V31" s="170"/>
      <c r="W31" s="67"/>
      <c r="Y31" s="67"/>
      <c r="AA31" s="67"/>
      <c r="AC31" s="67"/>
      <c r="AE31" s="67"/>
      <c r="AF31" s="411"/>
      <c r="AG31" s="412"/>
      <c r="AH31" s="132"/>
      <c r="AI31" s="154"/>
      <c r="AJ31" s="170"/>
      <c r="AK31" s="67"/>
      <c r="AM31" s="67"/>
      <c r="AO31" s="67"/>
      <c r="AP31" s="27"/>
      <c r="AQ31" s="67"/>
      <c r="AR31" s="27"/>
      <c r="AS31" s="67"/>
      <c r="AT31" s="629"/>
      <c r="AU31" s="412"/>
      <c r="AV31" s="132"/>
      <c r="AW31" s="831">
        <f>SUM(AJ34:AU34)/12</f>
        <v>258.625</v>
      </c>
      <c r="AX31" s="170"/>
      <c r="AY31" s="67"/>
      <c r="BA31" s="67"/>
      <c r="BC31" s="67"/>
      <c r="BD31" s="27"/>
      <c r="BE31" s="67"/>
      <c r="BF31" s="27"/>
      <c r="BG31" s="67"/>
      <c r="BH31" s="27"/>
      <c r="BI31" s="412"/>
      <c r="BJ31" s="132"/>
      <c r="BK31" s="154"/>
      <c r="BL31" s="170"/>
      <c r="BM31" s="67"/>
      <c r="BO31" s="67"/>
      <c r="BQ31" s="67"/>
      <c r="BR31" s="27"/>
      <c r="BS31" s="67"/>
      <c r="BT31" s="27"/>
      <c r="BV31" s="27"/>
      <c r="BX31" s="132"/>
      <c r="BY31" s="154"/>
      <c r="BZ31" s="27"/>
      <c r="CA31" s="67"/>
      <c r="CB31" s="411"/>
      <c r="CC31" s="412"/>
      <c r="CD31" s="411"/>
      <c r="CE31" s="67"/>
      <c r="CF31" s="27"/>
      <c r="CG31" s="67"/>
      <c r="CH31" s="27"/>
      <c r="CJ31" s="27"/>
      <c r="CL31" s="132"/>
      <c r="CM31" s="154"/>
      <c r="CN31" s="27"/>
      <c r="CO31" s="67"/>
      <c r="CP31" s="411"/>
      <c r="CQ31" s="412"/>
      <c r="CR31" s="411"/>
      <c r="CS31" s="67"/>
      <c r="CT31" s="37"/>
      <c r="CU31" s="67"/>
      <c r="CV31" s="27"/>
      <c r="CW31" s="1066"/>
      <c r="CX31" s="27"/>
      <c r="CY31" s="67"/>
      <c r="CZ31" s="132"/>
      <c r="DA31" s="154"/>
      <c r="DB31" s="27"/>
      <c r="DC31" s="67"/>
      <c r="DD31" s="411"/>
      <c r="DE31" s="412"/>
      <c r="DF31" s="411"/>
      <c r="DG31" s="67"/>
      <c r="DH31" s="37"/>
      <c r="DI31" s="67"/>
      <c r="DJ31" s="27"/>
      <c r="DK31" s="67"/>
      <c r="DL31" s="27"/>
      <c r="DM31" s="67"/>
      <c r="DN31" s="132"/>
      <c r="DO31" s="154"/>
      <c r="DP31" s="27"/>
      <c r="DQ31" s="67"/>
      <c r="DR31" s="411"/>
      <c r="DS31" s="412"/>
      <c r="DT31" s="411"/>
      <c r="DU31" s="67"/>
      <c r="DV31" s="37"/>
      <c r="DW31" s="67"/>
      <c r="DX31" s="27"/>
      <c r="DY31" s="67"/>
      <c r="DZ31" s="27"/>
      <c r="EA31" s="67"/>
      <c r="EB31" s="132"/>
      <c r="EC31" s="154"/>
      <c r="ED31" s="664"/>
      <c r="EE31" s="663"/>
      <c r="EF31" s="664"/>
      <c r="EG31" s="663"/>
      <c r="EH31" s="664"/>
      <c r="EI31" s="663"/>
      <c r="EJ31" s="664"/>
      <c r="EK31" s="663"/>
      <c r="EL31" s="664"/>
      <c r="EM31" s="663"/>
      <c r="EN31" s="664"/>
      <c r="EO31" s="663"/>
      <c r="EP31" s="664"/>
      <c r="EQ31" s="663"/>
      <c r="ER31" s="664"/>
      <c r="ES31" s="663"/>
      <c r="ET31" s="664"/>
      <c r="EU31" s="663"/>
      <c r="EV31" s="664"/>
      <c r="EW31" s="109"/>
      <c r="EX31" s="664"/>
      <c r="EY31" s="663"/>
      <c r="EZ31" s="664"/>
      <c r="FA31" s="663"/>
      <c r="FB31" s="664"/>
      <c r="FC31" s="663"/>
      <c r="FD31" s="316"/>
      <c r="FE31" s="402"/>
      <c r="FF31" s="316"/>
      <c r="FG31" s="402"/>
      <c r="FH31" s="316"/>
      <c r="FI31" s="402"/>
      <c r="FJ31" s="316"/>
      <c r="FK31" s="402"/>
      <c r="FL31" s="316"/>
      <c r="FM31" s="402"/>
      <c r="FN31" s="316"/>
      <c r="FO31" s="402"/>
      <c r="FP31" s="316"/>
      <c r="FQ31" s="402"/>
      <c r="FR31" s="316"/>
      <c r="FS31" s="402"/>
      <c r="FT31" s="316"/>
      <c r="FU31" s="402"/>
      <c r="FV31" s="316"/>
      <c r="FW31" s="402"/>
      <c r="FX31" s="316"/>
      <c r="FY31" s="402"/>
      <c r="FZ31" s="316"/>
      <c r="GA31" s="402"/>
      <c r="GB31" s="316"/>
      <c r="GC31" s="402"/>
      <c r="GD31" s="316"/>
      <c r="GE31" s="402"/>
      <c r="GF31" s="316"/>
      <c r="GG31" s="402"/>
      <c r="GH31" s="316"/>
      <c r="GI31" s="402"/>
      <c r="GJ31" s="316"/>
      <c r="GK31" s="402"/>
      <c r="GL31" s="316"/>
      <c r="GM31" s="402"/>
      <c r="GN31" s="316"/>
      <c r="GO31" s="402"/>
      <c r="GP31" s="316"/>
      <c r="GQ31" s="402"/>
      <c r="GR31" s="316"/>
      <c r="GS31" s="402"/>
      <c r="GT31" s="316"/>
      <c r="GU31" s="402"/>
      <c r="GV31" s="316"/>
      <c r="GW31" s="402"/>
      <c r="GX31" s="316"/>
      <c r="GY31" s="402"/>
      <c r="GZ31" s="316"/>
      <c r="HA31" s="402"/>
      <c r="HB31" s="316"/>
      <c r="HC31" s="402"/>
      <c r="HD31" s="316"/>
      <c r="HE31" s="402"/>
      <c r="HF31" s="316"/>
      <c r="HG31" s="402"/>
      <c r="HH31" s="316"/>
      <c r="HI31" s="402"/>
      <c r="HJ31" s="316"/>
      <c r="HK31" s="402"/>
      <c r="HL31" s="316"/>
      <c r="HM31" s="402"/>
      <c r="HN31" s="316"/>
      <c r="HO31" s="402"/>
      <c r="HP31" s="316"/>
      <c r="HQ31" s="402"/>
      <c r="HR31" s="316"/>
      <c r="HS31" s="402"/>
      <c r="HT31" s="316"/>
      <c r="HU31" s="402"/>
      <c r="HV31" s="316"/>
      <c r="HW31" s="402"/>
      <c r="HX31" s="316"/>
      <c r="HY31" s="402"/>
      <c r="HZ31" s="316"/>
      <c r="IA31" s="402"/>
      <c r="IB31" s="316"/>
      <c r="IC31" s="402"/>
      <c r="ID31" s="316"/>
      <c r="IE31" s="402"/>
      <c r="IF31" s="316"/>
      <c r="IG31" s="402"/>
      <c r="IH31" s="316"/>
      <c r="II31" s="402"/>
      <c r="IJ31" s="316"/>
      <c r="IK31" s="402"/>
      <c r="IL31" s="316"/>
      <c r="IM31" s="402"/>
      <c r="IN31" s="316"/>
      <c r="IO31" s="402"/>
      <c r="IP31" s="316"/>
      <c r="IQ31" s="402"/>
      <c r="IR31" s="316"/>
      <c r="IS31" s="402"/>
      <c r="IT31" s="27"/>
      <c r="IU31" s="1066"/>
      <c r="IV31" s="664"/>
      <c r="IW31" s="109"/>
      <c r="IX31" s="698"/>
      <c r="IY31" s="698"/>
      <c r="IZ31" s="698"/>
      <c r="KD31" s="277">
        <f>BC31</f>
        <v>0</v>
      </c>
      <c r="LI31" s="966"/>
      <c r="LJ31" s="966"/>
      <c r="LK31" s="966"/>
      <c r="LL31" s="966"/>
      <c r="LM31" s="966"/>
      <c r="LN31" s="966"/>
      <c r="LO31" s="966"/>
      <c r="LP31" s="966"/>
      <c r="LQ31" s="966"/>
      <c r="LR31" s="966"/>
      <c r="LS31" s="966"/>
      <c r="LT31" s="966"/>
      <c r="LU31" s="1162"/>
      <c r="LV31" s="1162"/>
      <c r="LW31" s="1162"/>
      <c r="LX31" s="1162"/>
      <c r="LY31" s="1162"/>
      <c r="LZ31" s="1162"/>
      <c r="MA31" s="1162"/>
      <c r="MB31" s="1162"/>
      <c r="MC31" s="1162"/>
      <c r="MD31" s="1162"/>
      <c r="ME31" s="1162"/>
      <c r="MF31" s="1162"/>
      <c r="MG31" s="1184"/>
      <c r="MH31" s="1184"/>
      <c r="MI31" s="1184"/>
      <c r="MJ31" s="1184"/>
      <c r="MK31" s="1184"/>
      <c r="ML31" s="1184"/>
      <c r="MM31" s="1184"/>
      <c r="MN31" s="1184"/>
      <c r="MO31" s="1184"/>
      <c r="MP31" s="1184"/>
      <c r="MQ31" s="1184"/>
      <c r="MR31" s="1184"/>
    </row>
    <row r="32" spans="1:356" x14ac:dyDescent="0.25">
      <c r="A32" s="764"/>
      <c r="B32" s="56">
        <v>4.0999999999999996</v>
      </c>
      <c r="C32" s="7"/>
      <c r="D32" s="119"/>
      <c r="E32" s="1217" t="s">
        <v>237</v>
      </c>
      <c r="F32" s="1217"/>
      <c r="G32" s="1218"/>
      <c r="H32" s="379">
        <v>64</v>
      </c>
      <c r="I32" s="68">
        <v>63</v>
      </c>
      <c r="J32" s="90">
        <v>63</v>
      </c>
      <c r="K32" s="68">
        <v>63</v>
      </c>
      <c r="L32" s="90">
        <v>62.5</v>
      </c>
      <c r="M32" s="68">
        <v>62.1</v>
      </c>
      <c r="N32" s="90">
        <v>67</v>
      </c>
      <c r="O32" s="68">
        <v>66</v>
      </c>
      <c r="P32" s="90">
        <v>67</v>
      </c>
      <c r="Q32" s="68">
        <v>66</v>
      </c>
      <c r="R32" s="90">
        <v>67</v>
      </c>
      <c r="S32" s="68">
        <v>63.4</v>
      </c>
      <c r="T32" s="132" t="s">
        <v>29</v>
      </c>
      <c r="U32" s="150">
        <v>64.5</v>
      </c>
      <c r="V32" s="379">
        <v>61.3</v>
      </c>
      <c r="W32" s="68">
        <v>61.32</v>
      </c>
      <c r="X32" s="90">
        <v>59.37</v>
      </c>
      <c r="Y32" s="68">
        <v>60.32</v>
      </c>
      <c r="Z32" s="90">
        <v>60.32</v>
      </c>
      <c r="AA32" s="68">
        <v>61.3</v>
      </c>
      <c r="AB32" s="90">
        <v>60.227272727272727</v>
      </c>
      <c r="AC32" s="68">
        <v>59.09</v>
      </c>
      <c r="AD32" s="90">
        <v>59.63</v>
      </c>
      <c r="AE32" s="68">
        <v>57.14</v>
      </c>
      <c r="AF32" s="90">
        <v>59.141304347826086</v>
      </c>
      <c r="AG32" s="68">
        <v>60.09</v>
      </c>
      <c r="AH32" s="132" t="s">
        <v>29</v>
      </c>
      <c r="AI32" s="150">
        <v>59.937381422924908</v>
      </c>
      <c r="AJ32" s="379">
        <v>57.15</v>
      </c>
      <c r="AK32" s="68">
        <v>56.03</v>
      </c>
      <c r="AL32" s="90">
        <v>56.07</v>
      </c>
      <c r="AM32" s="68">
        <v>60.02</v>
      </c>
      <c r="AN32" s="90">
        <v>61.04</v>
      </c>
      <c r="AO32" s="68">
        <v>60.03</v>
      </c>
      <c r="AP32" s="197">
        <v>60</v>
      </c>
      <c r="AQ32" s="68">
        <v>61.02</v>
      </c>
      <c r="AR32" s="197">
        <v>63</v>
      </c>
      <c r="AS32" s="68">
        <v>59</v>
      </c>
      <c r="AT32" s="197">
        <v>62.02</v>
      </c>
      <c r="AU32" s="68">
        <v>60</v>
      </c>
      <c r="AV32" s="132" t="s">
        <v>29</v>
      </c>
      <c r="AW32" s="150">
        <f>SUM(AJ32:AU32)/$AV$4</f>
        <v>59.615000000000002</v>
      </c>
      <c r="AX32" s="379">
        <v>60.869565217391305</v>
      </c>
      <c r="AY32" s="68">
        <v>60.46</v>
      </c>
      <c r="AZ32" s="90">
        <v>60</v>
      </c>
      <c r="BA32" s="68">
        <v>58.994565217391305</v>
      </c>
      <c r="BB32" s="90">
        <v>59.01</v>
      </c>
      <c r="BC32" s="68">
        <v>60.05</v>
      </c>
      <c r="BD32" s="197">
        <v>60.021739130434781</v>
      </c>
      <c r="BE32" s="68">
        <v>60.15</v>
      </c>
      <c r="BF32" s="197">
        <v>63.732142857142861</v>
      </c>
      <c r="BG32" s="68">
        <v>61</v>
      </c>
      <c r="BH32" s="197">
        <v>60.011363636363633</v>
      </c>
      <c r="BI32" s="68">
        <v>60</v>
      </c>
      <c r="BJ32" s="132" t="s">
        <v>29</v>
      </c>
      <c r="BK32" s="150">
        <f>SUM(AX32:BI32)/$BJ$4</f>
        <v>60.358281338226988</v>
      </c>
      <c r="BL32" s="379">
        <v>61</v>
      </c>
      <c r="BM32" s="68">
        <v>62</v>
      </c>
      <c r="BN32" s="90">
        <v>63</v>
      </c>
      <c r="BO32" s="68">
        <v>63</v>
      </c>
      <c r="BP32" s="90">
        <v>63</v>
      </c>
      <c r="BQ32" s="68">
        <v>62</v>
      </c>
      <c r="BR32" s="197">
        <v>62</v>
      </c>
      <c r="BS32" s="68">
        <v>64</v>
      </c>
      <c r="BT32" s="197">
        <v>63</v>
      </c>
      <c r="BU32" s="197">
        <v>64</v>
      </c>
      <c r="BV32" s="197">
        <v>64</v>
      </c>
      <c r="BW32" s="197">
        <v>64</v>
      </c>
      <c r="BX32" s="132" t="s">
        <v>29</v>
      </c>
      <c r="BY32" s="150">
        <f>SUM(BL32:BW32)/$BX$4</f>
        <v>62.916666666666664</v>
      </c>
      <c r="BZ32" s="197">
        <v>63</v>
      </c>
      <c r="CA32" s="68">
        <v>63</v>
      </c>
      <c r="CB32" s="90">
        <v>71</v>
      </c>
      <c r="CC32" s="68">
        <v>70</v>
      </c>
      <c r="CD32" s="90">
        <v>70</v>
      </c>
      <c r="CE32" s="68">
        <v>72</v>
      </c>
      <c r="CF32" s="197">
        <v>74</v>
      </c>
      <c r="CG32" s="68">
        <v>74</v>
      </c>
      <c r="CH32" s="197">
        <v>74</v>
      </c>
      <c r="CI32" s="197">
        <v>68</v>
      </c>
      <c r="CJ32" s="197">
        <v>69</v>
      </c>
      <c r="CK32" s="197">
        <v>68</v>
      </c>
      <c r="CL32" s="132" t="s">
        <v>29</v>
      </c>
      <c r="CM32" s="150">
        <f>SUM(BZ32:CK32)/$CL$4</f>
        <v>69.666666666666671</v>
      </c>
      <c r="CN32" s="197">
        <v>62</v>
      </c>
      <c r="CO32" s="68">
        <v>62</v>
      </c>
      <c r="CP32" s="90">
        <v>61</v>
      </c>
      <c r="CQ32" s="68">
        <v>63</v>
      </c>
      <c r="CR32" s="90">
        <v>63</v>
      </c>
      <c r="CS32" s="68">
        <v>62</v>
      </c>
      <c r="CT32" s="215">
        <v>60</v>
      </c>
      <c r="CU32" s="68">
        <v>60</v>
      </c>
      <c r="CV32" s="197">
        <v>57</v>
      </c>
      <c r="CW32" s="1073">
        <v>56</v>
      </c>
      <c r="CX32" s="197">
        <v>56</v>
      </c>
      <c r="CY32" s="68">
        <v>59</v>
      </c>
      <c r="CZ32" s="132" t="s">
        <v>29</v>
      </c>
      <c r="DA32" s="150">
        <f>SUM(CN32:CY32)/$CZ$4</f>
        <v>60.083333333333336</v>
      </c>
      <c r="DB32" s="197">
        <v>58</v>
      </c>
      <c r="DC32" s="68">
        <v>56</v>
      </c>
      <c r="DD32" s="90">
        <v>56</v>
      </c>
      <c r="DE32" s="68">
        <v>55</v>
      </c>
      <c r="DF32" s="90">
        <v>55</v>
      </c>
      <c r="DG32" s="68">
        <v>57</v>
      </c>
      <c r="DH32" s="215">
        <v>57</v>
      </c>
      <c r="DI32" s="68">
        <v>55</v>
      </c>
      <c r="DJ32" s="197">
        <v>56</v>
      </c>
      <c r="DK32" s="68">
        <v>56</v>
      </c>
      <c r="DL32" s="197"/>
      <c r="DM32" s="68"/>
      <c r="DN32" s="132" t="s">
        <v>29</v>
      </c>
      <c r="DO32" s="150">
        <f>SUM(DB32:DM32)/$DN$4</f>
        <v>56.1</v>
      </c>
      <c r="DP32" s="197"/>
      <c r="DQ32" s="68"/>
      <c r="DR32" s="90"/>
      <c r="DS32" s="68"/>
      <c r="DT32" s="90"/>
      <c r="DU32" s="68"/>
      <c r="DV32" s="215"/>
      <c r="DW32" s="68"/>
      <c r="DX32" s="197"/>
      <c r="DY32" s="68"/>
      <c r="DZ32" s="197"/>
      <c r="EA32" s="68"/>
      <c r="EB32" s="132" t="s">
        <v>29</v>
      </c>
      <c r="EC32" s="150" t="e">
        <f>SUM(DP32:EA32)/$EB$4</f>
        <v>#DIV/0!</v>
      </c>
      <c r="ED32" s="664">
        <f>AX32-AU32</f>
        <v>0.86956521739130466</v>
      </c>
      <c r="EE32" s="663">
        <f>ED32/AU32</f>
        <v>1.4492753623188411E-2</v>
      </c>
      <c r="EF32" s="664">
        <f>AY32-AX32</f>
        <v>-0.4095652173913038</v>
      </c>
      <c r="EG32" s="663">
        <f>EF32/AX32</f>
        <v>-6.7285714285714197E-3</v>
      </c>
      <c r="EH32" s="664">
        <f>AZ32-AY32</f>
        <v>-0.46000000000000085</v>
      </c>
      <c r="EI32" s="663">
        <f>EH32/AY32</f>
        <v>-7.6083360899768578E-3</v>
      </c>
      <c r="EJ32" s="664">
        <f>BA32-AZ32</f>
        <v>-1.0054347826086953</v>
      </c>
      <c r="EK32" s="663">
        <f>EJ32/AZ32</f>
        <v>-1.6757246376811589E-2</v>
      </c>
      <c r="EL32" s="664">
        <f>BB32-BA32</f>
        <v>1.5434782608693354E-2</v>
      </c>
      <c r="EM32" s="663">
        <f>EL32/BA32</f>
        <v>2.6163058498383942E-4</v>
      </c>
      <c r="EN32" s="664">
        <f>BC32-BB32</f>
        <v>1.0399999999999991</v>
      </c>
      <c r="EO32" s="663">
        <f>EN32/BB32</f>
        <v>1.7624131503135049E-2</v>
      </c>
      <c r="EP32" s="664">
        <f>BD32-BC32</f>
        <v>-2.8260869565215785E-2</v>
      </c>
      <c r="EQ32" s="663">
        <f>EP32/BC32</f>
        <v>-4.7062230749734862E-4</v>
      </c>
      <c r="ER32" s="664">
        <f>BE32-BD32</f>
        <v>0.12826086956521721</v>
      </c>
      <c r="ES32" s="663">
        <f>ER32/BD32</f>
        <v>2.1369069177834088E-3</v>
      </c>
      <c r="ET32" s="664">
        <f>BF32-BE32</f>
        <v>3.5821428571428626</v>
      </c>
      <c r="EU32" s="663">
        <f>ET32/BE32</f>
        <v>5.9553497209357653E-2</v>
      </c>
      <c r="EV32" s="664">
        <f>BG32-BF32</f>
        <v>-2.7321428571428612</v>
      </c>
      <c r="EW32" s="109">
        <f>EV32/BF32</f>
        <v>-4.2869151022695492E-2</v>
      </c>
      <c r="EX32" s="664">
        <f>BH32-BG32</f>
        <v>-0.98863636363636687</v>
      </c>
      <c r="EY32" s="663">
        <f>EX32/BG32</f>
        <v>-1.6207153502235522E-2</v>
      </c>
      <c r="EZ32" s="664">
        <f>BI32-BH32</f>
        <v>-1.1363636363633134E-2</v>
      </c>
      <c r="FA32" s="663">
        <f>EZ32/BH32</f>
        <v>-1.8935807612189279E-4</v>
      </c>
      <c r="FB32" s="664">
        <f>BL32-BI32</f>
        <v>1</v>
      </c>
      <c r="FC32" s="663">
        <f>FB32/BI32</f>
        <v>1.6666666666666666E-2</v>
      </c>
      <c r="FD32" s="316">
        <f>BM32-BL32</f>
        <v>1</v>
      </c>
      <c r="FE32" s="402">
        <f>FD32/BL32</f>
        <v>1.6393442622950821E-2</v>
      </c>
      <c r="FF32" s="316">
        <f>BN32-BM32</f>
        <v>1</v>
      </c>
      <c r="FG32" s="402">
        <f>FF32/BM32</f>
        <v>1.6129032258064516E-2</v>
      </c>
      <c r="FH32" s="316">
        <f>BO32-BN32</f>
        <v>0</v>
      </c>
      <c r="FI32" s="402">
        <f>FH32/BN32</f>
        <v>0</v>
      </c>
      <c r="FJ32" s="316">
        <f>BP32-BO32</f>
        <v>0</v>
      </c>
      <c r="FK32" s="402">
        <f>FJ32/BO32</f>
        <v>0</v>
      </c>
      <c r="FL32" s="316">
        <f>BQ32-BP32</f>
        <v>-1</v>
      </c>
      <c r="FM32" s="402">
        <f>FL32/BP32</f>
        <v>-1.5873015873015872E-2</v>
      </c>
      <c r="FN32" s="316">
        <f>BR32-BQ32</f>
        <v>0</v>
      </c>
      <c r="FO32" s="402">
        <f>FN32/BQ32</f>
        <v>0</v>
      </c>
      <c r="FP32" s="316">
        <f>BS32-BR32</f>
        <v>2</v>
      </c>
      <c r="FQ32" s="402">
        <f>FP32/BR32</f>
        <v>3.2258064516129031E-2</v>
      </c>
      <c r="FR32" s="316">
        <f>BT32-BS32</f>
        <v>-1</v>
      </c>
      <c r="FS32" s="402">
        <f>FR32/BS32</f>
        <v>-1.5625E-2</v>
      </c>
      <c r="FT32" s="316">
        <f>BU32-BT32</f>
        <v>1</v>
      </c>
      <c r="FU32" s="402">
        <f>FT32/BT32</f>
        <v>1.5873015873015872E-2</v>
      </c>
      <c r="FV32" s="316">
        <f>BV32-BU32</f>
        <v>0</v>
      </c>
      <c r="FW32" s="402">
        <f>FV32/BU32</f>
        <v>0</v>
      </c>
      <c r="FX32" s="316">
        <f>BW32-BV32</f>
        <v>0</v>
      </c>
      <c r="FY32" s="402">
        <f>FX32/BV32</f>
        <v>0</v>
      </c>
      <c r="FZ32" s="316">
        <f>BZ32-BW32</f>
        <v>-1</v>
      </c>
      <c r="GA32" s="402">
        <f>FZ32/BW32</f>
        <v>-1.5625E-2</v>
      </c>
      <c r="GB32" s="316">
        <f>CA32-BZ32</f>
        <v>0</v>
      </c>
      <c r="GC32" s="402">
        <f>GB32/BZ32</f>
        <v>0</v>
      </c>
      <c r="GD32" s="316">
        <f>CB32-CA32</f>
        <v>8</v>
      </c>
      <c r="GE32" s="402">
        <f>GD32/CA32</f>
        <v>0.12698412698412698</v>
      </c>
      <c r="GF32" s="316">
        <f>CC32-CB32</f>
        <v>-1</v>
      </c>
      <c r="GG32" s="402">
        <f>GF32/CB32</f>
        <v>-1.4084507042253521E-2</v>
      </c>
      <c r="GH32" s="316">
        <f>CD32-CC32</f>
        <v>0</v>
      </c>
      <c r="GI32" s="402">
        <f>GH32/CC32</f>
        <v>0</v>
      </c>
      <c r="GJ32" s="316">
        <f>CE32-CD32</f>
        <v>2</v>
      </c>
      <c r="GK32" s="402">
        <f>GJ32/CD32</f>
        <v>2.8571428571428571E-2</v>
      </c>
      <c r="GL32" s="316">
        <f>CF32-CE32</f>
        <v>2</v>
      </c>
      <c r="GM32" s="402">
        <f>GL32/CE32</f>
        <v>2.7777777777777776E-2</v>
      </c>
      <c r="GN32" s="316">
        <f>CG32-CF32</f>
        <v>0</v>
      </c>
      <c r="GO32" s="402">
        <f>GN32/CF32</f>
        <v>0</v>
      </c>
      <c r="GP32" s="316">
        <f>CH32-CG32</f>
        <v>0</v>
      </c>
      <c r="GQ32" s="402">
        <f>GP32/CG32</f>
        <v>0</v>
      </c>
      <c r="GR32" s="316">
        <f>CI32-CH32</f>
        <v>-6</v>
      </c>
      <c r="GS32" s="402">
        <f>GR32/CH32</f>
        <v>-8.1081081081081086E-2</v>
      </c>
      <c r="GT32" s="316">
        <f>CJ32-CI32</f>
        <v>1</v>
      </c>
      <c r="GU32" s="402">
        <f>GT32/CI32</f>
        <v>1.4705882352941176E-2</v>
      </c>
      <c r="GV32" s="316">
        <f>CK32-CJ32</f>
        <v>-1</v>
      </c>
      <c r="GW32" s="402">
        <f>GV32/CJ32</f>
        <v>-1.4492753623188406E-2</v>
      </c>
      <c r="GX32" s="316">
        <f>CN32-CK32</f>
        <v>-6</v>
      </c>
      <c r="GY32" s="402">
        <f>GX32/CK32</f>
        <v>-8.8235294117647065E-2</v>
      </c>
      <c r="GZ32" s="316">
        <f>CO32-CN32</f>
        <v>0</v>
      </c>
      <c r="HA32" s="402">
        <f>GZ32/CN32</f>
        <v>0</v>
      </c>
      <c r="HB32" s="316">
        <f>CP32-CO32</f>
        <v>-1</v>
      </c>
      <c r="HC32" s="402">
        <f>HB32/CO32</f>
        <v>-1.6129032258064516E-2</v>
      </c>
      <c r="HD32" s="316">
        <f>CQ32-CP32</f>
        <v>2</v>
      </c>
      <c r="HE32" s="402">
        <f>HD32/CP32</f>
        <v>3.2786885245901641E-2</v>
      </c>
      <c r="HF32" s="316">
        <f>CR32-CQ32</f>
        <v>0</v>
      </c>
      <c r="HG32" s="402">
        <f>HF32/CQ32</f>
        <v>0</v>
      </c>
      <c r="HH32" s="316">
        <f>CS32-CR32</f>
        <v>-1</v>
      </c>
      <c r="HI32" s="402">
        <f>HH32/CR32</f>
        <v>-1.5873015873015872E-2</v>
      </c>
      <c r="HJ32" s="316">
        <f>CT32-CS32</f>
        <v>-2</v>
      </c>
      <c r="HK32" s="402">
        <f>HJ32/CS32</f>
        <v>-3.2258064516129031E-2</v>
      </c>
      <c r="HL32" s="316">
        <f>CU32-CT32</f>
        <v>0</v>
      </c>
      <c r="HM32" s="402">
        <f>HL32/CT32</f>
        <v>0</v>
      </c>
      <c r="HN32" s="316">
        <f>CV32-CU32</f>
        <v>-3</v>
      </c>
      <c r="HO32" s="402">
        <f>HN32/CU32</f>
        <v>-0.05</v>
      </c>
      <c r="HP32" s="316">
        <f>CW32-CV32</f>
        <v>-1</v>
      </c>
      <c r="HQ32" s="402">
        <f>HP32/CV32</f>
        <v>-1.7543859649122806E-2</v>
      </c>
      <c r="HR32" s="316">
        <f>CX32-CW32</f>
        <v>0</v>
      </c>
      <c r="HS32" s="402">
        <f>HR32/CW32</f>
        <v>0</v>
      </c>
      <c r="HT32" s="316">
        <f>CY32-CX32</f>
        <v>3</v>
      </c>
      <c r="HU32" s="402">
        <f>HT32/CX32</f>
        <v>5.3571428571428568E-2</v>
      </c>
      <c r="HV32" s="316">
        <f>DB32-CY32</f>
        <v>-1</v>
      </c>
      <c r="HW32" s="402">
        <f>HV32/CY32</f>
        <v>-1.6949152542372881E-2</v>
      </c>
      <c r="HX32" s="316">
        <f>DC32-DB32</f>
        <v>-2</v>
      </c>
      <c r="HY32" s="402">
        <f>HX32/DB32</f>
        <v>-3.4482758620689655E-2</v>
      </c>
      <c r="HZ32" s="316">
        <f>DD32-DC32</f>
        <v>0</v>
      </c>
      <c r="IA32" s="402">
        <f>HZ32/DD32</f>
        <v>0</v>
      </c>
      <c r="IB32" s="316">
        <f>DE32-DD32</f>
        <v>-1</v>
      </c>
      <c r="IC32" s="402">
        <f>IB32/DD32</f>
        <v>-1.7857142857142856E-2</v>
      </c>
      <c r="ID32" s="316">
        <f>DF32-DE32</f>
        <v>0</v>
      </c>
      <c r="IE32" s="402">
        <f>ID32/DO32</f>
        <v>0</v>
      </c>
      <c r="IF32" s="316">
        <f>DG32-DF32</f>
        <v>2</v>
      </c>
      <c r="IG32" s="402">
        <f>IF32/DF32</f>
        <v>3.6363636363636362E-2</v>
      </c>
      <c r="IH32" s="316">
        <f>DH32-DG32</f>
        <v>0</v>
      </c>
      <c r="II32" s="402">
        <f>IH32/DG32</f>
        <v>0</v>
      </c>
      <c r="IJ32" s="316">
        <f>DI32-DH32</f>
        <v>-2</v>
      </c>
      <c r="IK32" s="402">
        <f>IJ32/DH32</f>
        <v>-3.5087719298245612E-2</v>
      </c>
      <c r="IL32" s="316">
        <f>DJ32-DI32</f>
        <v>1</v>
      </c>
      <c r="IM32" s="402">
        <f>IL32/DI32</f>
        <v>1.8181818181818181E-2</v>
      </c>
      <c r="IN32" s="316">
        <f>DK32-DJ32</f>
        <v>0</v>
      </c>
      <c r="IO32" s="402">
        <f>IN32/DJ32</f>
        <v>0</v>
      </c>
      <c r="IP32" s="316">
        <f>DL32-DK32</f>
        <v>-56</v>
      </c>
      <c r="IQ32" s="402">
        <f t="shared" ref="IQ32:IQ35" si="663">IP32/EI32</f>
        <v>7360.3478260869433</v>
      </c>
      <c r="IR32" s="316">
        <f>EK32-EJ32</f>
        <v>0.9886775362318837</v>
      </c>
      <c r="IS32" s="402">
        <f>IR32/EJ32</f>
        <v>-0.98333333333333328</v>
      </c>
      <c r="IT32" s="197">
        <f>CW32</f>
        <v>56</v>
      </c>
      <c r="IU32" s="1057">
        <f>DK32</f>
        <v>56</v>
      </c>
      <c r="IV32" s="664">
        <f>IU32-IT32</f>
        <v>0</v>
      </c>
      <c r="IW32" s="109">
        <f>IF(ISERROR(IV32/IT32),0,IV32/IT32)</f>
        <v>0</v>
      </c>
      <c r="IX32" s="698"/>
      <c r="IY32" s="698"/>
      <c r="IZ32" s="698"/>
      <c r="JA32" t="str">
        <f>E32</f>
        <v>Total Service Center Agents</v>
      </c>
      <c r="JB32" s="264" t="e">
        <f>#REF!</f>
        <v>#REF!</v>
      </c>
      <c r="JC32" s="264" t="e">
        <f>#REF!</f>
        <v>#REF!</v>
      </c>
      <c r="JD32" s="264" t="e">
        <f>#REF!</f>
        <v>#REF!</v>
      </c>
      <c r="JE32" s="264" t="e">
        <f>#REF!</f>
        <v>#REF!</v>
      </c>
      <c r="JF32" s="264" t="e">
        <f>#REF!</f>
        <v>#REF!</v>
      </c>
      <c r="JG32" s="264" t="e">
        <f>#REF!</f>
        <v>#REF!</v>
      </c>
      <c r="JH32" s="264" t="e">
        <f>#REF!</f>
        <v>#REF!</v>
      </c>
      <c r="JI32" s="264" t="e">
        <f>#REF!</f>
        <v>#REF!</v>
      </c>
      <c r="JJ32" s="264" t="e">
        <f>#REF!</f>
        <v>#REF!</v>
      </c>
      <c r="JK32" s="264" t="e">
        <f>#REF!</f>
        <v>#REF!</v>
      </c>
      <c r="JL32" s="264" t="e">
        <f>#REF!</f>
        <v>#REF!</v>
      </c>
      <c r="JM32" s="265">
        <f t="shared" ref="JM32:JX32" si="664">AJ32</f>
        <v>57.15</v>
      </c>
      <c r="JN32" s="265">
        <f t="shared" si="664"/>
        <v>56.03</v>
      </c>
      <c r="JO32" s="265">
        <f t="shared" si="664"/>
        <v>56.07</v>
      </c>
      <c r="JP32" s="265">
        <f t="shared" si="664"/>
        <v>60.02</v>
      </c>
      <c r="JQ32" s="265">
        <f t="shared" si="664"/>
        <v>61.04</v>
      </c>
      <c r="JR32" s="265">
        <f t="shared" si="664"/>
        <v>60.03</v>
      </c>
      <c r="JS32" s="265">
        <f t="shared" si="664"/>
        <v>60</v>
      </c>
      <c r="JT32" s="265">
        <f t="shared" si="664"/>
        <v>61.02</v>
      </c>
      <c r="JU32" s="265">
        <f t="shared" si="664"/>
        <v>63</v>
      </c>
      <c r="JV32" s="265">
        <f t="shared" si="664"/>
        <v>59</v>
      </c>
      <c r="JW32" s="265">
        <f t="shared" si="664"/>
        <v>62.02</v>
      </c>
      <c r="JX32" s="265">
        <f t="shared" si="664"/>
        <v>60</v>
      </c>
      <c r="JY32" s="265">
        <f t="shared" ref="JY32:KC35" si="665">AX32</f>
        <v>60.869565217391305</v>
      </c>
      <c r="JZ32" s="265">
        <f t="shared" si="665"/>
        <v>60.46</v>
      </c>
      <c r="KA32" s="265">
        <f t="shared" si="665"/>
        <v>60</v>
      </c>
      <c r="KB32" s="265">
        <f t="shared" si="665"/>
        <v>58.994565217391305</v>
      </c>
      <c r="KC32" s="265">
        <f t="shared" si="665"/>
        <v>59.01</v>
      </c>
      <c r="KD32" s="265">
        <f>BC32</f>
        <v>60.05</v>
      </c>
      <c r="KE32" s="265">
        <f t="shared" ref="KE32:KJ35" si="666">BD32</f>
        <v>60.021739130434781</v>
      </c>
      <c r="KF32" s="265">
        <f t="shared" si="666"/>
        <v>60.15</v>
      </c>
      <c r="KG32" s="265">
        <f t="shared" si="666"/>
        <v>63.732142857142861</v>
      </c>
      <c r="KH32" s="265">
        <f t="shared" si="666"/>
        <v>61</v>
      </c>
      <c r="KI32" s="265">
        <f t="shared" si="666"/>
        <v>60.011363636363633</v>
      </c>
      <c r="KJ32" s="265">
        <f t="shared" si="666"/>
        <v>60</v>
      </c>
      <c r="KK32" s="789">
        <f t="shared" ref="KK32:KV35" si="667">BL32</f>
        <v>61</v>
      </c>
      <c r="KL32" s="789">
        <f t="shared" si="667"/>
        <v>62</v>
      </c>
      <c r="KM32" s="789">
        <f t="shared" si="667"/>
        <v>63</v>
      </c>
      <c r="KN32" s="789">
        <f t="shared" si="667"/>
        <v>63</v>
      </c>
      <c r="KO32" s="789">
        <f t="shared" si="667"/>
        <v>63</v>
      </c>
      <c r="KP32" s="789">
        <f t="shared" si="667"/>
        <v>62</v>
      </c>
      <c r="KQ32" s="789">
        <f t="shared" si="667"/>
        <v>62</v>
      </c>
      <c r="KR32" s="789">
        <f t="shared" si="667"/>
        <v>64</v>
      </c>
      <c r="KS32" s="789">
        <f t="shared" si="667"/>
        <v>63</v>
      </c>
      <c r="KT32" s="789">
        <f t="shared" si="667"/>
        <v>64</v>
      </c>
      <c r="KU32" s="789">
        <f t="shared" si="667"/>
        <v>64</v>
      </c>
      <c r="KV32" s="789">
        <f t="shared" si="667"/>
        <v>64</v>
      </c>
      <c r="KW32" s="901">
        <f t="shared" ref="KW32:LH35" si="668">BZ32</f>
        <v>63</v>
      </c>
      <c r="KX32" s="901">
        <f t="shared" si="668"/>
        <v>63</v>
      </c>
      <c r="KY32" s="901">
        <f t="shared" si="668"/>
        <v>71</v>
      </c>
      <c r="KZ32" s="901">
        <f t="shared" si="668"/>
        <v>70</v>
      </c>
      <c r="LA32" s="901">
        <f t="shared" si="668"/>
        <v>70</v>
      </c>
      <c r="LB32" s="901">
        <f t="shared" si="668"/>
        <v>72</v>
      </c>
      <c r="LC32" s="901">
        <f t="shared" si="668"/>
        <v>74</v>
      </c>
      <c r="LD32" s="901">
        <f t="shared" si="668"/>
        <v>74</v>
      </c>
      <c r="LE32" s="901">
        <f t="shared" si="668"/>
        <v>74</v>
      </c>
      <c r="LF32" s="901">
        <f t="shared" si="668"/>
        <v>68</v>
      </c>
      <c r="LG32" s="901">
        <f t="shared" si="668"/>
        <v>69</v>
      </c>
      <c r="LH32" s="901">
        <f t="shared" si="668"/>
        <v>68</v>
      </c>
      <c r="LI32" s="960">
        <f t="shared" ref="LI32:LT35" si="669">CN32</f>
        <v>62</v>
      </c>
      <c r="LJ32" s="960">
        <f t="shared" si="669"/>
        <v>62</v>
      </c>
      <c r="LK32" s="960">
        <f t="shared" si="669"/>
        <v>61</v>
      </c>
      <c r="LL32" s="960">
        <f t="shared" si="669"/>
        <v>63</v>
      </c>
      <c r="LM32" s="960">
        <f t="shared" si="669"/>
        <v>63</v>
      </c>
      <c r="LN32" s="960">
        <f t="shared" si="669"/>
        <v>62</v>
      </c>
      <c r="LO32" s="960">
        <f t="shared" si="669"/>
        <v>60</v>
      </c>
      <c r="LP32" s="960">
        <f t="shared" si="669"/>
        <v>60</v>
      </c>
      <c r="LQ32" s="960">
        <f t="shared" si="669"/>
        <v>57</v>
      </c>
      <c r="LR32" s="960">
        <f t="shared" si="669"/>
        <v>56</v>
      </c>
      <c r="LS32" s="960">
        <f t="shared" si="669"/>
        <v>56</v>
      </c>
      <c r="LT32" s="960">
        <f t="shared" si="669"/>
        <v>59</v>
      </c>
      <c r="LU32" s="1156">
        <f t="shared" ref="LU32:MF35" si="670">DB32</f>
        <v>58</v>
      </c>
      <c r="LV32" s="1156">
        <f t="shared" si="670"/>
        <v>56</v>
      </c>
      <c r="LW32" s="1156">
        <f t="shared" si="670"/>
        <v>56</v>
      </c>
      <c r="LX32" s="1156">
        <f t="shared" si="670"/>
        <v>55</v>
      </c>
      <c r="LY32" s="1156">
        <f t="shared" si="670"/>
        <v>55</v>
      </c>
      <c r="LZ32" s="1156">
        <f t="shared" si="670"/>
        <v>57</v>
      </c>
      <c r="MA32" s="1156">
        <f t="shared" si="670"/>
        <v>57</v>
      </c>
      <c r="MB32" s="1156">
        <f t="shared" si="670"/>
        <v>55</v>
      </c>
      <c r="MC32" s="1156">
        <f t="shared" si="670"/>
        <v>56</v>
      </c>
      <c r="MD32" s="1156">
        <f t="shared" si="670"/>
        <v>56</v>
      </c>
      <c r="ME32" s="1156">
        <f t="shared" si="670"/>
        <v>0</v>
      </c>
      <c r="MF32" s="1156">
        <f t="shared" si="670"/>
        <v>0</v>
      </c>
      <c r="MG32" s="1178">
        <f t="shared" ref="MG32:MP35" si="671">DP32</f>
        <v>0</v>
      </c>
      <c r="MH32" s="1178">
        <f t="shared" si="671"/>
        <v>0</v>
      </c>
      <c r="MI32" s="1178">
        <f t="shared" si="671"/>
        <v>0</v>
      </c>
      <c r="MJ32" s="1178">
        <f t="shared" si="671"/>
        <v>0</v>
      </c>
      <c r="MK32" s="1178">
        <f t="shared" si="671"/>
        <v>0</v>
      </c>
      <c r="ML32" s="1178">
        <f t="shared" si="671"/>
        <v>0</v>
      </c>
      <c r="MM32" s="1178">
        <f t="shared" si="671"/>
        <v>0</v>
      </c>
      <c r="MN32" s="1178">
        <f t="shared" si="671"/>
        <v>0</v>
      </c>
      <c r="MO32" s="1178">
        <f t="shared" si="671"/>
        <v>0</v>
      </c>
      <c r="MP32" s="1178">
        <f t="shared" si="671"/>
        <v>0</v>
      </c>
      <c r="MQ32" s="1178">
        <f t="shared" ref="MQ32:MR35" si="672">DZ32</f>
        <v>0</v>
      </c>
      <c r="MR32" s="1178">
        <f t="shared" si="672"/>
        <v>0</v>
      </c>
    </row>
    <row r="33" spans="1:356" s="32" customFormat="1" x14ac:dyDescent="0.25">
      <c r="A33" s="764"/>
      <c r="B33" s="76"/>
      <c r="C33" s="76" t="s">
        <v>223</v>
      </c>
      <c r="D33" s="447"/>
      <c r="E33" s="810" t="s">
        <v>225</v>
      </c>
      <c r="F33" s="810"/>
      <c r="G33" s="811"/>
      <c r="H33" s="813"/>
      <c r="I33" s="814"/>
      <c r="J33" s="815"/>
      <c r="K33" s="814"/>
      <c r="L33" s="815"/>
      <c r="M33" s="814"/>
      <c r="N33" s="815"/>
      <c r="O33" s="814"/>
      <c r="P33" s="815"/>
      <c r="Q33" s="814"/>
      <c r="R33" s="815"/>
      <c r="S33" s="814"/>
      <c r="T33" s="176"/>
      <c r="U33" s="816"/>
      <c r="V33" s="813"/>
      <c r="W33" s="814"/>
      <c r="X33" s="815"/>
      <c r="Y33" s="814"/>
      <c r="Z33" s="815"/>
      <c r="AA33" s="814"/>
      <c r="AB33" s="815"/>
      <c r="AC33" s="814"/>
      <c r="AD33" s="815"/>
      <c r="AE33" s="814"/>
      <c r="AF33" s="815"/>
      <c r="AG33" s="814"/>
      <c r="AH33" s="176"/>
      <c r="AI33" s="816"/>
      <c r="AJ33" s="813">
        <v>16</v>
      </c>
      <c r="AK33" s="814">
        <v>16</v>
      </c>
      <c r="AL33" s="815">
        <v>16</v>
      </c>
      <c r="AM33" s="814">
        <v>16</v>
      </c>
      <c r="AN33" s="815">
        <v>16</v>
      </c>
      <c r="AO33" s="814">
        <v>16</v>
      </c>
      <c r="AP33" s="817">
        <v>16</v>
      </c>
      <c r="AQ33" s="814">
        <v>16</v>
      </c>
      <c r="AR33" s="817">
        <v>16</v>
      </c>
      <c r="AS33" s="814">
        <v>16</v>
      </c>
      <c r="AT33" s="817">
        <v>16</v>
      </c>
      <c r="AU33" s="814">
        <v>16</v>
      </c>
      <c r="AV33" s="176" t="s">
        <v>29</v>
      </c>
      <c r="AW33" s="816">
        <v>16</v>
      </c>
      <c r="AX33" s="813">
        <v>16</v>
      </c>
      <c r="AY33" s="814">
        <v>16</v>
      </c>
      <c r="AZ33" s="815">
        <v>16</v>
      </c>
      <c r="BA33" s="814">
        <v>16</v>
      </c>
      <c r="BB33" s="815">
        <v>16</v>
      </c>
      <c r="BC33" s="814">
        <v>16</v>
      </c>
      <c r="BD33" s="817">
        <v>16</v>
      </c>
      <c r="BE33" s="814">
        <v>16</v>
      </c>
      <c r="BF33" s="817">
        <v>16</v>
      </c>
      <c r="BG33" s="823">
        <v>16</v>
      </c>
      <c r="BH33" s="824">
        <v>16</v>
      </c>
      <c r="BI33" s="814">
        <v>16</v>
      </c>
      <c r="BJ33" s="176" t="s">
        <v>29</v>
      </c>
      <c r="BK33" s="816">
        <f>SUM(AX33:BI33)/$BJ$4</f>
        <v>16</v>
      </c>
      <c r="BL33" s="813">
        <v>16</v>
      </c>
      <c r="BM33" s="814">
        <v>16</v>
      </c>
      <c r="BN33" s="815">
        <v>16</v>
      </c>
      <c r="BO33" s="814">
        <v>16</v>
      </c>
      <c r="BP33" s="815">
        <v>16</v>
      </c>
      <c r="BQ33" s="814">
        <v>16</v>
      </c>
      <c r="BR33" s="817">
        <v>16</v>
      </c>
      <c r="BS33" s="814">
        <v>16</v>
      </c>
      <c r="BT33" s="817">
        <v>16</v>
      </c>
      <c r="BU33" s="817">
        <v>16</v>
      </c>
      <c r="BV33" s="817">
        <v>16</v>
      </c>
      <c r="BW33" s="817">
        <v>16</v>
      </c>
      <c r="BX33" s="878" t="s">
        <v>29</v>
      </c>
      <c r="BY33" s="816">
        <f>SUM(BL33:BW33)/$BX$4</f>
        <v>16</v>
      </c>
      <c r="BZ33" s="817">
        <v>14</v>
      </c>
      <c r="CA33" s="814">
        <v>14</v>
      </c>
      <c r="CB33" s="815">
        <v>15</v>
      </c>
      <c r="CC33" s="814">
        <v>14</v>
      </c>
      <c r="CD33" s="815">
        <v>16</v>
      </c>
      <c r="CE33" s="814">
        <v>16</v>
      </c>
      <c r="CF33" s="817">
        <v>16</v>
      </c>
      <c r="CG33" s="814">
        <v>16</v>
      </c>
      <c r="CH33" s="817">
        <v>16</v>
      </c>
      <c r="CI33" s="817">
        <v>16</v>
      </c>
      <c r="CJ33" s="817">
        <v>16</v>
      </c>
      <c r="CK33" s="817">
        <v>16</v>
      </c>
      <c r="CL33" s="878" t="s">
        <v>29</v>
      </c>
      <c r="CM33" s="816">
        <f>SUM(BZ33:CK33)/$CL$4</f>
        <v>15.416666666666666</v>
      </c>
      <c r="CN33" s="817">
        <v>15</v>
      </c>
      <c r="CO33" s="814">
        <v>15</v>
      </c>
      <c r="CP33" s="815">
        <v>15</v>
      </c>
      <c r="CQ33" s="814">
        <v>15</v>
      </c>
      <c r="CR33" s="815">
        <v>14</v>
      </c>
      <c r="CS33" s="814">
        <v>13</v>
      </c>
      <c r="CT33" s="820">
        <v>13</v>
      </c>
      <c r="CU33" s="814">
        <v>14</v>
      </c>
      <c r="CV33" s="817">
        <v>14</v>
      </c>
      <c r="CW33" s="1098">
        <v>14</v>
      </c>
      <c r="CX33" s="817">
        <v>16</v>
      </c>
      <c r="CY33" s="814">
        <v>16</v>
      </c>
      <c r="CZ33" s="878" t="s">
        <v>29</v>
      </c>
      <c r="DA33" s="816">
        <f>SUM(CN33:CY33)/$CZ$4</f>
        <v>14.5</v>
      </c>
      <c r="DB33" s="817">
        <v>16</v>
      </c>
      <c r="DC33" s="814">
        <v>15</v>
      </c>
      <c r="DD33" s="815">
        <v>17</v>
      </c>
      <c r="DE33" s="814">
        <v>17</v>
      </c>
      <c r="DF33" s="815">
        <v>17</v>
      </c>
      <c r="DG33" s="814">
        <v>16</v>
      </c>
      <c r="DH33" s="820">
        <v>16</v>
      </c>
      <c r="DI33" s="814">
        <v>16</v>
      </c>
      <c r="DJ33" s="817">
        <v>15</v>
      </c>
      <c r="DK33" s="814">
        <v>15</v>
      </c>
      <c r="DL33" s="817"/>
      <c r="DM33" s="814"/>
      <c r="DN33" s="878" t="s">
        <v>29</v>
      </c>
      <c r="DO33" s="816">
        <f>SUM(DB33:DM33)/$DN$4</f>
        <v>16</v>
      </c>
      <c r="DP33" s="817"/>
      <c r="DQ33" s="814"/>
      <c r="DR33" s="815"/>
      <c r="DS33" s="814"/>
      <c r="DT33" s="815"/>
      <c r="DU33" s="814"/>
      <c r="DV33" s="820"/>
      <c r="DW33" s="814"/>
      <c r="DX33" s="817"/>
      <c r="DY33" s="814"/>
      <c r="DZ33" s="817"/>
      <c r="EA33" s="814"/>
      <c r="EB33" s="878" t="s">
        <v>29</v>
      </c>
      <c r="EC33" s="816" t="e">
        <f>SUM(DP33:EA33)/$EB$4</f>
        <v>#DIV/0!</v>
      </c>
      <c r="ED33" s="819"/>
      <c r="EE33" s="669"/>
      <c r="EF33" s="819"/>
      <c r="EG33" s="669"/>
      <c r="EH33" s="819"/>
      <c r="EI33" s="669"/>
      <c r="EJ33" s="819"/>
      <c r="EK33" s="669"/>
      <c r="EL33" s="819"/>
      <c r="EM33" s="669"/>
      <c r="EN33" s="819"/>
      <c r="EO33" s="669"/>
      <c r="EP33" s="819"/>
      <c r="EQ33" s="669"/>
      <c r="ER33" s="819"/>
      <c r="ES33" s="669"/>
      <c r="ET33" s="819"/>
      <c r="EU33" s="669"/>
      <c r="EV33" s="819"/>
      <c r="EW33" s="117"/>
      <c r="EX33" s="819">
        <f>BH33-BG33</f>
        <v>0</v>
      </c>
      <c r="EY33" s="669">
        <f>EX33/BG33</f>
        <v>0</v>
      </c>
      <c r="EZ33" s="819">
        <f>BI33-BH33</f>
        <v>0</v>
      </c>
      <c r="FA33" s="669">
        <f>EZ33/BH33</f>
        <v>0</v>
      </c>
      <c r="FB33" s="819">
        <f>BL33-BI33</f>
        <v>0</v>
      </c>
      <c r="FC33" s="669">
        <f>FB33/BI33</f>
        <v>0</v>
      </c>
      <c r="FD33" s="818">
        <f>BM33-BL33</f>
        <v>0</v>
      </c>
      <c r="FE33" s="404">
        <f>FD33/BL33</f>
        <v>0</v>
      </c>
      <c r="FF33" s="818">
        <f>BN33-BM33</f>
        <v>0</v>
      </c>
      <c r="FG33" s="404">
        <f>FF33/BM33</f>
        <v>0</v>
      </c>
      <c r="FH33" s="818">
        <f>BO33-BN33</f>
        <v>0</v>
      </c>
      <c r="FI33" s="404">
        <f>FH33/BN33</f>
        <v>0</v>
      </c>
      <c r="FJ33" s="818">
        <f>BP33-BO33</f>
        <v>0</v>
      </c>
      <c r="FK33" s="404">
        <f>FJ33/BO33</f>
        <v>0</v>
      </c>
      <c r="FL33" s="818">
        <f>BQ33-BP33</f>
        <v>0</v>
      </c>
      <c r="FM33" s="404">
        <f>FL33/BP33</f>
        <v>0</v>
      </c>
      <c r="FN33" s="818">
        <f>BR33-BQ33</f>
        <v>0</v>
      </c>
      <c r="FO33" s="404">
        <f>FN33/BQ33</f>
        <v>0</v>
      </c>
      <c r="FP33" s="818">
        <f>BS33-BR33</f>
        <v>0</v>
      </c>
      <c r="FQ33" s="404">
        <f>FP33/BR33</f>
        <v>0</v>
      </c>
      <c r="FR33" s="818">
        <f>BT33-BS33</f>
        <v>0</v>
      </c>
      <c r="FS33" s="404">
        <f>FR33/BS33</f>
        <v>0</v>
      </c>
      <c r="FT33" s="818">
        <f>BU33-BT33</f>
        <v>0</v>
      </c>
      <c r="FU33" s="404">
        <f>FT33/BT33</f>
        <v>0</v>
      </c>
      <c r="FV33" s="818">
        <f>BV33-BU33</f>
        <v>0</v>
      </c>
      <c r="FW33" s="404">
        <f>FV33/BU33</f>
        <v>0</v>
      </c>
      <c r="FX33" s="818">
        <f>BW33-BV33</f>
        <v>0</v>
      </c>
      <c r="FY33" s="404">
        <f>FX33/BV33</f>
        <v>0</v>
      </c>
      <c r="FZ33" s="818">
        <f>BZ33-BW33</f>
        <v>-2</v>
      </c>
      <c r="GA33" s="404">
        <f>FZ33/BW33</f>
        <v>-0.125</v>
      </c>
      <c r="GB33" s="818">
        <f>CA33-BZ33</f>
        <v>0</v>
      </c>
      <c r="GC33" s="404">
        <f>GB33/BZ33</f>
        <v>0</v>
      </c>
      <c r="GD33" s="818">
        <f>CB33-CA33</f>
        <v>1</v>
      </c>
      <c r="GE33" s="404">
        <f>GD33/CA33</f>
        <v>7.1428571428571425E-2</v>
      </c>
      <c r="GF33" s="818">
        <f>CC33-CB33</f>
        <v>-1</v>
      </c>
      <c r="GG33" s="404">
        <f>GF33/CB33</f>
        <v>-6.6666666666666666E-2</v>
      </c>
      <c r="GH33" s="818">
        <f>CD33-CC33</f>
        <v>2</v>
      </c>
      <c r="GI33" s="404">
        <f>GH33/CC33</f>
        <v>0.14285714285714285</v>
      </c>
      <c r="GJ33" s="818">
        <f>CE33-CD33</f>
        <v>0</v>
      </c>
      <c r="GK33" s="404">
        <f>GJ33/CD33</f>
        <v>0</v>
      </c>
      <c r="GL33" s="818">
        <f>CF33-CE33</f>
        <v>0</v>
      </c>
      <c r="GM33" s="404">
        <f>GL33/CE33</f>
        <v>0</v>
      </c>
      <c r="GN33" s="818">
        <f>CG33-CF33</f>
        <v>0</v>
      </c>
      <c r="GO33" s="404">
        <f>GN33/CF33</f>
        <v>0</v>
      </c>
      <c r="GP33" s="818">
        <f>CH33-CG33</f>
        <v>0</v>
      </c>
      <c r="GQ33" s="404">
        <f>GP33/CG33</f>
        <v>0</v>
      </c>
      <c r="GR33" s="818">
        <f>CI33-CH33</f>
        <v>0</v>
      </c>
      <c r="GS33" s="404">
        <f>GR33/CH33</f>
        <v>0</v>
      </c>
      <c r="GT33" s="818">
        <f>CJ33-CI33</f>
        <v>0</v>
      </c>
      <c r="GU33" s="404">
        <f>GT33/CI33</f>
        <v>0</v>
      </c>
      <c r="GV33" s="818">
        <f>CK33-CJ33</f>
        <v>0</v>
      </c>
      <c r="GW33" s="404">
        <f>GV33/CJ33</f>
        <v>0</v>
      </c>
      <c r="GX33" s="818">
        <f>CN33-CK33</f>
        <v>-1</v>
      </c>
      <c r="GY33" s="404">
        <f>GX33/CK33</f>
        <v>-6.25E-2</v>
      </c>
      <c r="GZ33" s="818">
        <f>CO33-CN33</f>
        <v>0</v>
      </c>
      <c r="HA33" s="404">
        <f>GZ33/CN33</f>
        <v>0</v>
      </c>
      <c r="HB33" s="818">
        <f>CP33-CO33</f>
        <v>0</v>
      </c>
      <c r="HC33" s="404">
        <f>HB33/CO33</f>
        <v>0</v>
      </c>
      <c r="HD33" s="818">
        <f>CQ33-CP33</f>
        <v>0</v>
      </c>
      <c r="HE33" s="404">
        <f>HD33/CP33</f>
        <v>0</v>
      </c>
      <c r="HF33" s="818">
        <f>CR33-CQ33</f>
        <v>-1</v>
      </c>
      <c r="HG33" s="404">
        <f>HF33/CQ33</f>
        <v>-6.6666666666666666E-2</v>
      </c>
      <c r="HH33" s="818">
        <f>CS33-CR33</f>
        <v>-1</v>
      </c>
      <c r="HI33" s="404">
        <f>HH33/CR33</f>
        <v>-7.1428571428571425E-2</v>
      </c>
      <c r="HJ33" s="818">
        <f>CT33-CS33</f>
        <v>0</v>
      </c>
      <c r="HK33" s="404">
        <f>HJ33/CS33</f>
        <v>0</v>
      </c>
      <c r="HL33" s="818">
        <f>CU33-CT33</f>
        <v>1</v>
      </c>
      <c r="HM33" s="404">
        <f>HL33/CT33</f>
        <v>7.6923076923076927E-2</v>
      </c>
      <c r="HN33" s="818">
        <f>CV33-CU33</f>
        <v>0</v>
      </c>
      <c r="HO33" s="404">
        <f>HN33/CU33</f>
        <v>0</v>
      </c>
      <c r="HP33" s="818">
        <f>CW33-CV33</f>
        <v>0</v>
      </c>
      <c r="HQ33" s="404">
        <f>HP33/CV33</f>
        <v>0</v>
      </c>
      <c r="HR33" s="818">
        <f>CX33-CW33</f>
        <v>2</v>
      </c>
      <c r="HS33" s="404">
        <f>HR33/CW33</f>
        <v>0.14285714285714285</v>
      </c>
      <c r="HT33" s="818">
        <f>CY33-CX33</f>
        <v>0</v>
      </c>
      <c r="HU33" s="404">
        <f>HT33/CX33</f>
        <v>0</v>
      </c>
      <c r="HV33" s="818">
        <f>DB33-CY33</f>
        <v>0</v>
      </c>
      <c r="HW33" s="404">
        <f>HV33/CY33</f>
        <v>0</v>
      </c>
      <c r="HX33" s="818">
        <f>DC33-DB33</f>
        <v>-1</v>
      </c>
      <c r="HY33" s="404">
        <f>HX33/DB33</f>
        <v>-6.25E-2</v>
      </c>
      <c r="HZ33" s="818">
        <f>DD33-DC33</f>
        <v>2</v>
      </c>
      <c r="IA33" s="404">
        <f>HZ33/DD33</f>
        <v>0.11764705882352941</v>
      </c>
      <c r="IB33" s="818">
        <f>DE33-DD33</f>
        <v>0</v>
      </c>
      <c r="IC33" s="404">
        <f>IB33/DD33</f>
        <v>0</v>
      </c>
      <c r="ID33" s="818">
        <f>DF33-DE33</f>
        <v>0</v>
      </c>
      <c r="IE33" s="404">
        <f>ID33/DO33</f>
        <v>0</v>
      </c>
      <c r="IF33" s="818">
        <f>DG33-DF33</f>
        <v>-1</v>
      </c>
      <c r="IG33" s="404">
        <f>IF33/DF33</f>
        <v>-5.8823529411764705E-2</v>
      </c>
      <c r="IH33" s="818">
        <f>DH33-DG33</f>
        <v>0</v>
      </c>
      <c r="II33" s="404">
        <f>IH33/DG33</f>
        <v>0</v>
      </c>
      <c r="IJ33" s="818">
        <f>DI33-DH33</f>
        <v>0</v>
      </c>
      <c r="IK33" s="404">
        <f>IJ33/DH33</f>
        <v>0</v>
      </c>
      <c r="IL33" s="818">
        <f>DJ33-DI33</f>
        <v>-1</v>
      </c>
      <c r="IM33" s="404">
        <f>IL33/DI33</f>
        <v>-6.25E-2</v>
      </c>
      <c r="IN33" s="818">
        <f>DK33-DJ33</f>
        <v>0</v>
      </c>
      <c r="IO33" s="404">
        <f>IN33/DJ33</f>
        <v>0</v>
      </c>
      <c r="IP33" s="818">
        <f>DL33-DK33</f>
        <v>-15</v>
      </c>
      <c r="IQ33" s="404" t="e">
        <f t="shared" si="663"/>
        <v>#DIV/0!</v>
      </c>
      <c r="IR33" s="818">
        <f>EK33-EJ33</f>
        <v>0</v>
      </c>
      <c r="IS33" s="404" t="e">
        <f>IR33/EJ33</f>
        <v>#DIV/0!</v>
      </c>
      <c r="IT33" s="817">
        <f>CW33</f>
        <v>14</v>
      </c>
      <c r="IU33" s="1067">
        <f>DK33</f>
        <v>15</v>
      </c>
      <c r="IV33" s="819">
        <f>IU33-IT33</f>
        <v>1</v>
      </c>
      <c r="IW33" s="117">
        <f>IF(ISERROR(IV33/IT33),0,IV33/IT33)</f>
        <v>7.1428571428571425E-2</v>
      </c>
      <c r="IX33" s="702"/>
      <c r="IY33" s="702"/>
      <c r="IZ33" s="702"/>
      <c r="JA33" s="825" t="str">
        <f>E33</f>
        <v>Number Tier 1/Tier 2 Call Agents</v>
      </c>
      <c r="JB33" s="821"/>
      <c r="JC33" s="821"/>
      <c r="JD33" s="821"/>
      <c r="JE33" s="821"/>
      <c r="JF33" s="821"/>
      <c r="JG33" s="821"/>
      <c r="JH33" s="821"/>
      <c r="JI33" s="821"/>
      <c r="JJ33" s="821"/>
      <c r="JK33" s="821"/>
      <c r="JL33" s="821"/>
      <c r="JM33" s="822"/>
      <c r="JN33" s="822"/>
      <c r="JO33" s="822"/>
      <c r="JP33" s="822"/>
      <c r="JQ33" s="822"/>
      <c r="JR33" s="822"/>
      <c r="JS33" s="822"/>
      <c r="JT33" s="822"/>
      <c r="JU33" s="822"/>
      <c r="JV33" s="822"/>
      <c r="JW33" s="822"/>
      <c r="JX33" s="822">
        <f>AU33</f>
        <v>16</v>
      </c>
      <c r="JY33" s="822">
        <f t="shared" si="665"/>
        <v>16</v>
      </c>
      <c r="JZ33" s="822">
        <f t="shared" si="665"/>
        <v>16</v>
      </c>
      <c r="KA33" s="822">
        <f t="shared" si="665"/>
        <v>16</v>
      </c>
      <c r="KB33" s="822">
        <f t="shared" si="665"/>
        <v>16</v>
      </c>
      <c r="KC33" s="822">
        <f t="shared" si="665"/>
        <v>16</v>
      </c>
      <c r="KD33" s="822">
        <f>BC33</f>
        <v>16</v>
      </c>
      <c r="KE33" s="822">
        <f t="shared" si="666"/>
        <v>16</v>
      </c>
      <c r="KF33" s="822">
        <f t="shared" si="666"/>
        <v>16</v>
      </c>
      <c r="KG33" s="822">
        <f t="shared" si="666"/>
        <v>16</v>
      </c>
      <c r="KH33" s="822">
        <f t="shared" si="666"/>
        <v>16</v>
      </c>
      <c r="KI33" s="822">
        <f t="shared" si="666"/>
        <v>16</v>
      </c>
      <c r="KJ33" s="265">
        <f t="shared" si="666"/>
        <v>16</v>
      </c>
      <c r="KK33" s="789">
        <f t="shared" si="667"/>
        <v>16</v>
      </c>
      <c r="KL33" s="789">
        <f t="shared" si="667"/>
        <v>16</v>
      </c>
      <c r="KM33" s="789">
        <f t="shared" si="667"/>
        <v>16</v>
      </c>
      <c r="KN33" s="789">
        <f t="shared" si="667"/>
        <v>16</v>
      </c>
      <c r="KO33" s="789">
        <f t="shared" si="667"/>
        <v>16</v>
      </c>
      <c r="KP33" s="789">
        <f t="shared" si="667"/>
        <v>16</v>
      </c>
      <c r="KQ33" s="789">
        <f t="shared" si="667"/>
        <v>16</v>
      </c>
      <c r="KR33" s="789">
        <f t="shared" si="667"/>
        <v>16</v>
      </c>
      <c r="KS33" s="789">
        <f t="shared" si="667"/>
        <v>16</v>
      </c>
      <c r="KT33" s="789">
        <f t="shared" si="667"/>
        <v>16</v>
      </c>
      <c r="KU33" s="789">
        <f t="shared" si="667"/>
        <v>16</v>
      </c>
      <c r="KV33" s="789">
        <f t="shared" si="667"/>
        <v>16</v>
      </c>
      <c r="KW33" s="901">
        <f t="shared" si="668"/>
        <v>14</v>
      </c>
      <c r="KX33" s="901">
        <f t="shared" si="668"/>
        <v>14</v>
      </c>
      <c r="KY33" s="901">
        <f t="shared" si="668"/>
        <v>15</v>
      </c>
      <c r="KZ33" s="901">
        <f t="shared" si="668"/>
        <v>14</v>
      </c>
      <c r="LA33" s="901">
        <f t="shared" si="668"/>
        <v>16</v>
      </c>
      <c r="LB33" s="901">
        <f t="shared" si="668"/>
        <v>16</v>
      </c>
      <c r="LC33" s="901">
        <f t="shared" si="668"/>
        <v>16</v>
      </c>
      <c r="LD33" s="901">
        <f t="shared" si="668"/>
        <v>16</v>
      </c>
      <c r="LE33" s="901">
        <f t="shared" si="668"/>
        <v>16</v>
      </c>
      <c r="LF33" s="901">
        <f t="shared" si="668"/>
        <v>16</v>
      </c>
      <c r="LG33" s="901">
        <f t="shared" si="668"/>
        <v>16</v>
      </c>
      <c r="LH33" s="901">
        <f t="shared" si="668"/>
        <v>16</v>
      </c>
      <c r="LI33" s="960">
        <f t="shared" si="669"/>
        <v>15</v>
      </c>
      <c r="LJ33" s="960">
        <f t="shared" si="669"/>
        <v>15</v>
      </c>
      <c r="LK33" s="960">
        <f t="shared" si="669"/>
        <v>15</v>
      </c>
      <c r="LL33" s="960">
        <f t="shared" si="669"/>
        <v>15</v>
      </c>
      <c r="LM33" s="960">
        <f t="shared" si="669"/>
        <v>14</v>
      </c>
      <c r="LN33" s="960">
        <f t="shared" si="669"/>
        <v>13</v>
      </c>
      <c r="LO33" s="960">
        <f t="shared" si="669"/>
        <v>13</v>
      </c>
      <c r="LP33" s="960">
        <f t="shared" si="669"/>
        <v>14</v>
      </c>
      <c r="LQ33" s="960">
        <f t="shared" si="669"/>
        <v>14</v>
      </c>
      <c r="LR33" s="960">
        <f t="shared" si="669"/>
        <v>14</v>
      </c>
      <c r="LS33" s="960">
        <f t="shared" si="669"/>
        <v>16</v>
      </c>
      <c r="LT33" s="960">
        <f t="shared" si="669"/>
        <v>16</v>
      </c>
      <c r="LU33" s="1156">
        <f t="shared" si="670"/>
        <v>16</v>
      </c>
      <c r="LV33" s="1156">
        <f t="shared" si="670"/>
        <v>15</v>
      </c>
      <c r="LW33" s="1156">
        <f t="shared" si="670"/>
        <v>17</v>
      </c>
      <c r="LX33" s="1156">
        <f t="shared" si="670"/>
        <v>17</v>
      </c>
      <c r="LY33" s="1156">
        <f t="shared" si="670"/>
        <v>17</v>
      </c>
      <c r="LZ33" s="1156">
        <f t="shared" si="670"/>
        <v>16</v>
      </c>
      <c r="MA33" s="1156">
        <f t="shared" si="670"/>
        <v>16</v>
      </c>
      <c r="MB33" s="1156">
        <f t="shared" si="670"/>
        <v>16</v>
      </c>
      <c r="MC33" s="1156">
        <f t="shared" si="670"/>
        <v>15</v>
      </c>
      <c r="MD33" s="1156">
        <f t="shared" si="670"/>
        <v>15</v>
      </c>
      <c r="ME33" s="1156">
        <f t="shared" si="670"/>
        <v>0</v>
      </c>
      <c r="MF33" s="1156">
        <f t="shared" si="670"/>
        <v>0</v>
      </c>
      <c r="MG33" s="1178">
        <f t="shared" si="671"/>
        <v>0</v>
      </c>
      <c r="MH33" s="1178">
        <f t="shared" si="671"/>
        <v>0</v>
      </c>
      <c r="MI33" s="1178">
        <f t="shared" si="671"/>
        <v>0</v>
      </c>
      <c r="MJ33" s="1178">
        <f t="shared" si="671"/>
        <v>0</v>
      </c>
      <c r="MK33" s="1178">
        <f t="shared" si="671"/>
        <v>0</v>
      </c>
      <c r="ML33" s="1178">
        <f t="shared" si="671"/>
        <v>0</v>
      </c>
      <c r="MM33" s="1178">
        <f t="shared" si="671"/>
        <v>0</v>
      </c>
      <c r="MN33" s="1178">
        <f t="shared" si="671"/>
        <v>0</v>
      </c>
      <c r="MO33" s="1178">
        <f t="shared" si="671"/>
        <v>0</v>
      </c>
      <c r="MP33" s="1178">
        <f t="shared" si="671"/>
        <v>0</v>
      </c>
      <c r="MQ33" s="1178">
        <f t="shared" si="672"/>
        <v>0</v>
      </c>
      <c r="MR33" s="1178">
        <f t="shared" si="672"/>
        <v>0</v>
      </c>
    </row>
    <row r="34" spans="1:356" s="93" customFormat="1" x14ac:dyDescent="0.25">
      <c r="A34" s="766"/>
      <c r="B34" s="85">
        <v>4.2</v>
      </c>
      <c r="C34" s="87"/>
      <c r="D34" s="451"/>
      <c r="E34" s="1246" t="s">
        <v>226</v>
      </c>
      <c r="F34" s="1246"/>
      <c r="G34" s="1247"/>
      <c r="H34" s="380">
        <v>72.5625</v>
      </c>
      <c r="I34" s="92">
        <v>66.857142857142861</v>
      </c>
      <c r="J34" s="91">
        <v>66.777777777777771</v>
      </c>
      <c r="K34" s="92">
        <v>84.634920634920633</v>
      </c>
      <c r="L34" s="91">
        <v>66.847999999999999</v>
      </c>
      <c r="M34" s="92">
        <v>69.533011272141707</v>
      </c>
      <c r="N34" s="91">
        <v>72.850746268656721</v>
      </c>
      <c r="O34" s="92">
        <v>71.484848484848484</v>
      </c>
      <c r="P34" s="91">
        <v>61.417910447761194</v>
      </c>
      <c r="Q34" s="92">
        <v>53.090909090909093</v>
      </c>
      <c r="R34" s="91">
        <v>68.985074626865668</v>
      </c>
      <c r="S34" s="92">
        <v>70.883280757097793</v>
      </c>
      <c r="T34" s="135" t="s">
        <v>29</v>
      </c>
      <c r="U34" s="155">
        <v>68.82717685151016</v>
      </c>
      <c r="V34" s="380">
        <f t="shared" ref="V34:Y34" si="673">V13/V32</f>
        <v>64.225122349102776</v>
      </c>
      <c r="W34" s="92">
        <f t="shared" si="673"/>
        <v>64.56294846705805</v>
      </c>
      <c r="X34" s="91">
        <f t="shared" si="673"/>
        <v>58.093313121104934</v>
      </c>
      <c r="Y34" s="92">
        <f t="shared" si="673"/>
        <v>71.634615384615387</v>
      </c>
      <c r="Z34" s="91">
        <v>58.504641909814325</v>
      </c>
      <c r="AA34" s="92">
        <v>59.575856443719417</v>
      </c>
      <c r="AB34" s="91">
        <v>72.027169811320761</v>
      </c>
      <c r="AC34" s="92">
        <v>68.877982738195968</v>
      </c>
      <c r="AD34" s="91">
        <v>74.358544356867341</v>
      </c>
      <c r="AE34" s="92">
        <v>62.933146657332863</v>
      </c>
      <c r="AF34" s="91">
        <v>57.100532990259147</v>
      </c>
      <c r="AG34" s="92">
        <v>53.519720419370941</v>
      </c>
      <c r="AH34" s="135" t="s">
        <v>29</v>
      </c>
      <c r="AI34" s="155">
        <v>63.784466220730167</v>
      </c>
      <c r="AJ34" s="380">
        <f>AJ13/AJ33</f>
        <v>230.6875</v>
      </c>
      <c r="AK34" s="92">
        <f t="shared" ref="AK34:AU34" si="674">AK13/AK33</f>
        <v>239.625</v>
      </c>
      <c r="AL34" s="91">
        <f t="shared" si="674"/>
        <v>200.4375</v>
      </c>
      <c r="AM34" s="92">
        <f t="shared" si="674"/>
        <v>415.3125</v>
      </c>
      <c r="AN34" s="91">
        <f t="shared" si="674"/>
        <v>233.375</v>
      </c>
      <c r="AO34" s="92">
        <f t="shared" si="674"/>
        <v>210.125</v>
      </c>
      <c r="AP34" s="216">
        <f t="shared" si="674"/>
        <v>271.3125</v>
      </c>
      <c r="AQ34" s="92">
        <f t="shared" si="674"/>
        <v>254.6875</v>
      </c>
      <c r="AR34" s="216">
        <f t="shared" si="674"/>
        <v>218.75</v>
      </c>
      <c r="AS34" s="92">
        <f t="shared" si="674"/>
        <v>236.5</v>
      </c>
      <c r="AT34" s="216">
        <f t="shared" si="674"/>
        <v>350.5</v>
      </c>
      <c r="AU34" s="92">
        <f t="shared" si="674"/>
        <v>242.1875</v>
      </c>
      <c r="AV34" s="135" t="s">
        <v>29</v>
      </c>
      <c r="AW34" s="155">
        <f>SUM(AJ34:AU34)/$AV$4</f>
        <v>258.625</v>
      </c>
      <c r="AX34" s="380">
        <f t="shared" ref="AX34:BE34" si="675">AX13/AX33</f>
        <v>268.1875</v>
      </c>
      <c r="AY34" s="92">
        <f t="shared" si="675"/>
        <v>259.75</v>
      </c>
      <c r="AZ34" s="91">
        <f t="shared" si="675"/>
        <v>330.5625</v>
      </c>
      <c r="BA34" s="92">
        <f t="shared" si="675"/>
        <v>967.1875</v>
      </c>
      <c r="BB34" s="91">
        <f t="shared" si="675"/>
        <v>402.3125</v>
      </c>
      <c r="BC34" s="92">
        <f t="shared" si="675"/>
        <v>336.1875</v>
      </c>
      <c r="BD34" s="216">
        <f t="shared" si="675"/>
        <v>369.4375</v>
      </c>
      <c r="BE34" s="92">
        <f t="shared" si="675"/>
        <v>259.375</v>
      </c>
      <c r="BF34" s="216">
        <f>BF13/BF33</f>
        <v>244.75</v>
      </c>
      <c r="BG34" s="92">
        <f>BG13/BG33</f>
        <v>231.6875</v>
      </c>
      <c r="BH34" s="216">
        <f>BH13/BH33</f>
        <v>220.8125</v>
      </c>
      <c r="BI34" s="92">
        <f>BI13/BI33</f>
        <v>232.875</v>
      </c>
      <c r="BJ34" s="135" t="s">
        <v>29</v>
      </c>
      <c r="BK34" s="155">
        <f>SUM(AX34:BI34)/$BJ$4</f>
        <v>343.59375</v>
      </c>
      <c r="BL34" s="380">
        <f t="shared" ref="BL34:BQ34" si="676">BL13/BL33</f>
        <v>250.0625</v>
      </c>
      <c r="BM34" s="92">
        <f t="shared" si="676"/>
        <v>234.9375</v>
      </c>
      <c r="BN34" s="866">
        <f t="shared" si="676"/>
        <v>263.75</v>
      </c>
      <c r="BO34" s="92">
        <f t="shared" si="676"/>
        <v>725.875</v>
      </c>
      <c r="BP34" s="91">
        <f t="shared" si="676"/>
        <v>232.5</v>
      </c>
      <c r="BQ34" s="92">
        <f t="shared" si="676"/>
        <v>244.75</v>
      </c>
      <c r="BR34" s="216">
        <f t="shared" ref="BR34" si="677">BR13/BR33</f>
        <v>312.5625</v>
      </c>
      <c r="BS34" s="92">
        <f t="shared" ref="BS34:BT34" si="678">BS13/BS33</f>
        <v>244.75</v>
      </c>
      <c r="BT34" s="216">
        <f t="shared" si="678"/>
        <v>264.5</v>
      </c>
      <c r="BU34" s="216">
        <f t="shared" ref="BU34:BV34" si="679">BU13/BU33</f>
        <v>309.875</v>
      </c>
      <c r="BV34" s="216">
        <f t="shared" si="679"/>
        <v>219.1875</v>
      </c>
      <c r="BW34" s="216">
        <f t="shared" ref="BW34" si="680">BW13/BW33</f>
        <v>220</v>
      </c>
      <c r="BX34" s="135" t="s">
        <v>29</v>
      </c>
      <c r="BY34" s="155">
        <f>SUM(BL34:BW34)/$BX$4</f>
        <v>293.5625</v>
      </c>
      <c r="BZ34" s="216">
        <f t="shared" ref="BZ34:CA34" si="681">BZ13/BZ33</f>
        <v>239</v>
      </c>
      <c r="CA34" s="92">
        <f t="shared" si="681"/>
        <v>217.21428571428572</v>
      </c>
      <c r="CB34" s="866">
        <f t="shared" ref="CB34:CC34" si="682">CB13/CB33</f>
        <v>227.46666666666667</v>
      </c>
      <c r="CC34" s="92">
        <f t="shared" si="682"/>
        <v>285.07142857142856</v>
      </c>
      <c r="CD34" s="91">
        <f t="shared" ref="CD34:CE34" si="683">CD13/CD33</f>
        <v>230</v>
      </c>
      <c r="CE34" s="92">
        <f t="shared" si="683"/>
        <v>225.5625</v>
      </c>
      <c r="CF34" s="216">
        <f t="shared" ref="CF34:CG34" si="684">CF13/CF33</f>
        <v>228.1875</v>
      </c>
      <c r="CG34" s="92">
        <f t="shared" si="684"/>
        <v>247.875</v>
      </c>
      <c r="CH34" s="216">
        <f t="shared" ref="CH34:CI34" si="685">CH13/CH33</f>
        <v>226.875</v>
      </c>
      <c r="CI34" s="216">
        <f t="shared" si="685"/>
        <v>198.875</v>
      </c>
      <c r="CJ34" s="216">
        <f t="shared" ref="CJ34:CK34" si="686">CJ13/CJ33</f>
        <v>189.9375</v>
      </c>
      <c r="CK34" s="216">
        <f t="shared" si="686"/>
        <v>207.375</v>
      </c>
      <c r="CL34" s="135" t="s">
        <v>29</v>
      </c>
      <c r="CM34" s="155">
        <f>SUM(BZ34:CK34)/$CL$4</f>
        <v>226.95332341269841</v>
      </c>
      <c r="CN34" s="216">
        <f t="shared" ref="CN34:CO34" si="687">CN13/CN33</f>
        <v>205</v>
      </c>
      <c r="CO34" s="92">
        <f t="shared" si="687"/>
        <v>226.13333333333333</v>
      </c>
      <c r="CP34" s="866">
        <f t="shared" ref="CP34:CQ34" si="688">CP13/CP33</f>
        <v>231.13333333333333</v>
      </c>
      <c r="CQ34" s="92">
        <f t="shared" si="688"/>
        <v>248.33333333333334</v>
      </c>
      <c r="CR34" s="91">
        <f t="shared" ref="CR34:CS34" si="689">CR13/CR33</f>
        <v>224.42857142857142</v>
      </c>
      <c r="CS34" s="92">
        <f t="shared" si="689"/>
        <v>227.92307692307693</v>
      </c>
      <c r="CT34" s="216">
        <f t="shared" ref="CT34:CU34" si="690">CT13/CT33</f>
        <v>267.15384615384613</v>
      </c>
      <c r="CU34" s="92">
        <f t="shared" si="690"/>
        <v>248.78571428571428</v>
      </c>
      <c r="CV34" s="216">
        <f t="shared" ref="CV34:CW34" si="691">CV13/CV33</f>
        <v>195.5</v>
      </c>
      <c r="CW34" s="1068">
        <f t="shared" si="691"/>
        <v>170.85714285714286</v>
      </c>
      <c r="CX34" s="216">
        <f t="shared" ref="CX34:CY34" si="692">CX13/CX33</f>
        <v>157.6875</v>
      </c>
      <c r="CY34" s="92">
        <f t="shared" si="692"/>
        <v>144.5625</v>
      </c>
      <c r="CZ34" s="135" t="s">
        <v>29</v>
      </c>
      <c r="DA34" s="155">
        <f>SUM(CN34:CY34)/$CZ$4</f>
        <v>212.29152930402927</v>
      </c>
      <c r="DB34" s="216">
        <f t="shared" ref="DB34:DC34" si="693">DB13/DB33</f>
        <v>141.4375</v>
      </c>
      <c r="DC34" s="92">
        <f t="shared" si="693"/>
        <v>160.6</v>
      </c>
      <c r="DD34" s="866">
        <f t="shared" ref="DD34:DE34" si="694">DD13/DD33</f>
        <v>111.94117647058823</v>
      </c>
      <c r="DE34" s="92">
        <f t="shared" si="694"/>
        <v>144.35294117647058</v>
      </c>
      <c r="DF34" s="91">
        <f t="shared" ref="DF34:DG34" si="695">DF13/DF33</f>
        <v>117.94117647058823</v>
      </c>
      <c r="DG34" s="92">
        <f t="shared" si="695"/>
        <v>121.4375</v>
      </c>
      <c r="DH34" s="216">
        <f t="shared" ref="DH34:DI34" si="696">DH13/DH33</f>
        <v>206.5</v>
      </c>
      <c r="DI34" s="92">
        <f t="shared" si="696"/>
        <v>187.125</v>
      </c>
      <c r="DJ34" s="216">
        <f t="shared" ref="DJ34:DK34" si="697">DJ13/DJ33</f>
        <v>164.26666666666668</v>
      </c>
      <c r="DK34" s="92">
        <f t="shared" si="697"/>
        <v>160.33333333333334</v>
      </c>
      <c r="DL34" s="216"/>
      <c r="DM34" s="92"/>
      <c r="DN34" s="135" t="s">
        <v>29</v>
      </c>
      <c r="DO34" s="155">
        <f>SUM(DB34:DM34)/$DN$4</f>
        <v>151.59352941176468</v>
      </c>
      <c r="DP34" s="216"/>
      <c r="DQ34" s="92"/>
      <c r="DR34" s="866"/>
      <c r="DS34" s="92"/>
      <c r="DT34" s="91"/>
      <c r="DU34" s="92"/>
      <c r="DV34" s="216"/>
      <c r="DW34" s="92"/>
      <c r="DX34" s="216"/>
      <c r="DY34" s="92"/>
      <c r="DZ34" s="216"/>
      <c r="EA34" s="92"/>
      <c r="EB34" s="135" t="s">
        <v>29</v>
      </c>
      <c r="EC34" s="155" t="e">
        <f>SUM(DP34:EA34)/$EB$4</f>
        <v>#DIV/0!</v>
      </c>
      <c r="ED34" s="664">
        <f>AX34-AU34</f>
        <v>26</v>
      </c>
      <c r="EE34" s="663">
        <f>ED34/AU34</f>
        <v>0.10735483870967742</v>
      </c>
      <c r="EF34" s="664">
        <f>AY34-AX34</f>
        <v>-8.4375</v>
      </c>
      <c r="EG34" s="663">
        <f>EF34/AX34</f>
        <v>-3.1461197855977625E-2</v>
      </c>
      <c r="EH34" s="664">
        <f>AZ34-AY34</f>
        <v>70.8125</v>
      </c>
      <c r="EI34" s="663">
        <f>EH34/AY34</f>
        <v>0.2726179018286814</v>
      </c>
      <c r="EJ34" s="664">
        <f>BA34-AZ34</f>
        <v>636.625</v>
      </c>
      <c r="EK34" s="663">
        <f>EJ34/AZ34</f>
        <v>1.9258839100018907</v>
      </c>
      <c r="EL34" s="664">
        <f>BB34-BA34</f>
        <v>-564.875</v>
      </c>
      <c r="EM34" s="663">
        <f>EL34/BA34</f>
        <v>-0.58403877221324718</v>
      </c>
      <c r="EN34" s="664">
        <f>BC34-BB34</f>
        <v>-66.125</v>
      </c>
      <c r="EO34" s="663">
        <f>EN34/BB34</f>
        <v>-0.1643622805654808</v>
      </c>
      <c r="EP34" s="664">
        <f>BD34-BC34</f>
        <v>33.25</v>
      </c>
      <c r="EQ34" s="663">
        <f>EP34/BC34</f>
        <v>9.8903141847927117E-2</v>
      </c>
      <c r="ER34" s="664">
        <f>BE34-BD34</f>
        <v>-110.0625</v>
      </c>
      <c r="ES34" s="663">
        <f>ER34/BD34</f>
        <v>-0.29791913381830487</v>
      </c>
      <c r="ET34" s="664">
        <f>BF34-BE34</f>
        <v>-14.625</v>
      </c>
      <c r="EU34" s="663">
        <f>ET34/BE34</f>
        <v>-5.6385542168674696E-2</v>
      </c>
      <c r="EV34" s="664">
        <f>BG34-BF34</f>
        <v>-13.0625</v>
      </c>
      <c r="EW34" s="109">
        <f>EV34/BF34</f>
        <v>-5.3370786516853931E-2</v>
      </c>
      <c r="EX34" s="664">
        <f>BH34-BG34</f>
        <v>-10.875</v>
      </c>
      <c r="EY34" s="663">
        <f>EX34/BG34</f>
        <v>-4.6938224979768003E-2</v>
      </c>
      <c r="EZ34" s="664">
        <f>BI34-BH34</f>
        <v>12.0625</v>
      </c>
      <c r="FA34" s="663">
        <f>EZ34/BH34</f>
        <v>5.4627795075007077E-2</v>
      </c>
      <c r="FB34" s="664">
        <f>BL34-BI34</f>
        <v>17.1875</v>
      </c>
      <c r="FC34" s="663">
        <f>FB34/BI34</f>
        <v>7.3805689747718728E-2</v>
      </c>
      <c r="FD34" s="316">
        <f>BM34-BL34</f>
        <v>-15.125</v>
      </c>
      <c r="FE34" s="402">
        <f>FD34/BL34</f>
        <v>-6.0484878780304924E-2</v>
      </c>
      <c r="FF34" s="316">
        <f>BN34-BM34</f>
        <v>28.8125</v>
      </c>
      <c r="FG34" s="402">
        <f>FF34/BM34</f>
        <v>0.1226389997339718</v>
      </c>
      <c r="FH34" s="316">
        <f>BO34-BN34</f>
        <v>462.125</v>
      </c>
      <c r="FI34" s="402">
        <f>FH34/BN34</f>
        <v>1.7521327014218009</v>
      </c>
      <c r="FJ34" s="316">
        <f>BP34-BO34</f>
        <v>-493.375</v>
      </c>
      <c r="FK34" s="402">
        <f>FJ34/BO34</f>
        <v>-0.67969691751334593</v>
      </c>
      <c r="FL34" s="316">
        <f>BQ34-BP34</f>
        <v>12.25</v>
      </c>
      <c r="FM34" s="402">
        <f>FL34/BP34</f>
        <v>5.2688172043010753E-2</v>
      </c>
      <c r="FN34" s="316">
        <f>BR34-BQ34</f>
        <v>67.8125</v>
      </c>
      <c r="FO34" s="402">
        <f>FN34/BQ34</f>
        <v>0.27706843718079671</v>
      </c>
      <c r="FP34" s="316">
        <f>BS34-BR34</f>
        <v>-67.8125</v>
      </c>
      <c r="FQ34" s="402">
        <f>FP34/BR34</f>
        <v>-0.21695660867826436</v>
      </c>
      <c r="FR34" s="316">
        <f>BT34-BS34</f>
        <v>19.75</v>
      </c>
      <c r="FS34" s="402">
        <f>FR34/BS34</f>
        <v>8.0694586312563835E-2</v>
      </c>
      <c r="FT34" s="316">
        <f>BU34-BT34</f>
        <v>45.375</v>
      </c>
      <c r="FU34" s="402">
        <f>FT34/BT34</f>
        <v>0.17155009451795841</v>
      </c>
      <c r="FV34" s="316">
        <f>BV34-BU34</f>
        <v>-90.6875</v>
      </c>
      <c r="FW34" s="402">
        <f>FV34/BU34</f>
        <v>-0.29265832997176283</v>
      </c>
      <c r="FX34" s="316">
        <f>BW34-BV34</f>
        <v>0.8125</v>
      </c>
      <c r="FY34" s="402">
        <f>FX34/BV34</f>
        <v>3.7068719703450244E-3</v>
      </c>
      <c r="FZ34" s="316">
        <f>BZ34-BW34</f>
        <v>19</v>
      </c>
      <c r="GA34" s="402">
        <f>FZ34/BW34</f>
        <v>8.6363636363636365E-2</v>
      </c>
      <c r="GB34" s="316">
        <f>CA34-BZ34</f>
        <v>-21.785714285714278</v>
      </c>
      <c r="GC34" s="402">
        <f>GB34/BZ34</f>
        <v>-9.1153616258218731E-2</v>
      </c>
      <c r="GD34" s="316">
        <f>CB34-CA34</f>
        <v>10.252380952380946</v>
      </c>
      <c r="GE34" s="402">
        <f>GD34/CA34</f>
        <v>4.7199386166831059E-2</v>
      </c>
      <c r="GF34" s="316">
        <f>CC34-CB34</f>
        <v>57.604761904761887</v>
      </c>
      <c r="GG34" s="402">
        <f>GF34/CB34</f>
        <v>0.25324485010885939</v>
      </c>
      <c r="GH34" s="316">
        <f>CD34-CC34</f>
        <v>-55.071428571428555</v>
      </c>
      <c r="GI34" s="402">
        <f>GH34/CC34</f>
        <v>-0.19318466549736904</v>
      </c>
      <c r="GJ34" s="316">
        <f>CE34-CD34</f>
        <v>-4.4375</v>
      </c>
      <c r="GK34" s="402">
        <f>GJ34/CD34</f>
        <v>-1.9293478260869565E-2</v>
      </c>
      <c r="GL34" s="316">
        <f>CF34-CE34</f>
        <v>2.625</v>
      </c>
      <c r="GM34" s="402">
        <f>GL34/CE34</f>
        <v>1.1637572734829594E-2</v>
      </c>
      <c r="GN34" s="316">
        <f>CG34-CF34</f>
        <v>19.6875</v>
      </c>
      <c r="GO34" s="402">
        <f>GN34/CF34</f>
        <v>8.6277732128184056E-2</v>
      </c>
      <c r="GP34" s="316">
        <f>CH34-CG34</f>
        <v>-21</v>
      </c>
      <c r="GQ34" s="402">
        <f>GP34/CG34</f>
        <v>-8.4720121028744322E-2</v>
      </c>
      <c r="GR34" s="316">
        <f>CI34-CH34</f>
        <v>-28</v>
      </c>
      <c r="GS34" s="402">
        <f>GR34/CH34</f>
        <v>-0.12341597796143251</v>
      </c>
      <c r="GT34" s="316">
        <f>CJ34-CI34</f>
        <v>-8.9375</v>
      </c>
      <c r="GU34" s="402">
        <f>GT34/CI34</f>
        <v>-4.4940289126335638E-2</v>
      </c>
      <c r="GV34" s="316">
        <f>CK34-CJ34</f>
        <v>17.4375</v>
      </c>
      <c r="GW34" s="402">
        <f>GV34/CJ34</f>
        <v>9.1806515301085884E-2</v>
      </c>
      <c r="GX34" s="316">
        <f>CN34-CK34</f>
        <v>-2.375</v>
      </c>
      <c r="GY34" s="402">
        <f>GX34/CK34</f>
        <v>-1.1452682338758288E-2</v>
      </c>
      <c r="GZ34" s="316">
        <f>CO34-CN34</f>
        <v>21.133333333333326</v>
      </c>
      <c r="HA34" s="402">
        <f>GZ34/CN34</f>
        <v>0.1030894308943089</v>
      </c>
      <c r="HB34" s="316">
        <f>CP34-CO34</f>
        <v>5</v>
      </c>
      <c r="HC34" s="402">
        <f>HB34/CO34</f>
        <v>2.2110849056603776E-2</v>
      </c>
      <c r="HD34" s="316">
        <f>CQ34-CP34</f>
        <v>17.200000000000017</v>
      </c>
      <c r="HE34" s="402">
        <f>HD34/CP34</f>
        <v>7.4415921546005265E-2</v>
      </c>
      <c r="HF34" s="316">
        <f>CR34-CQ34</f>
        <v>-23.904761904761926</v>
      </c>
      <c r="HG34" s="402">
        <f>HF34/CQ34</f>
        <v>-9.6260786193672176E-2</v>
      </c>
      <c r="HH34" s="316">
        <f>CS34-CR34</f>
        <v>3.4945054945055176</v>
      </c>
      <c r="HI34" s="402">
        <f>HH34/CR34</f>
        <v>1.5570680115556094E-2</v>
      </c>
      <c r="HJ34" s="316">
        <f>CT34-CS34</f>
        <v>39.230769230769198</v>
      </c>
      <c r="HK34" s="402">
        <f>HJ34/CS34</f>
        <v>0.17212284846439405</v>
      </c>
      <c r="HL34" s="316">
        <f>CU34-CT34</f>
        <v>-18.368131868131854</v>
      </c>
      <c r="HM34" s="402">
        <f>HL34/CT34</f>
        <v>-6.8754884620130755E-2</v>
      </c>
      <c r="HN34" s="316">
        <f>CV34-CU34</f>
        <v>-53.285714285714278</v>
      </c>
      <c r="HO34" s="402">
        <f>HN34/CU34</f>
        <v>-0.21418317542348547</v>
      </c>
      <c r="HP34" s="316">
        <f>CW34-CV34</f>
        <v>-24.642857142857139</v>
      </c>
      <c r="HQ34" s="402">
        <f>HP34/CV34</f>
        <v>-0.1260504201680672</v>
      </c>
      <c r="HR34" s="316">
        <f>CX34-CW34</f>
        <v>-13.169642857142861</v>
      </c>
      <c r="HS34" s="402">
        <f>HR34/CW34</f>
        <v>-7.7079849498327788E-2</v>
      </c>
      <c r="HT34" s="316">
        <f>CY34-CX34</f>
        <v>-13.125</v>
      </c>
      <c r="HU34" s="402">
        <f>HT34/CX34</f>
        <v>-8.3234244946492272E-2</v>
      </c>
      <c r="HV34" s="316">
        <f>DB34-CY34</f>
        <v>-3.125</v>
      </c>
      <c r="HW34" s="402">
        <f>HV34/CY34</f>
        <v>-2.1616947686986597E-2</v>
      </c>
      <c r="HX34" s="316">
        <f>DC34-DB34</f>
        <v>19.162499999999994</v>
      </c>
      <c r="HY34" s="402">
        <f>HX34/DB34</f>
        <v>0.13548387096774189</v>
      </c>
      <c r="HZ34" s="316">
        <f>DD34-DC34</f>
        <v>-48.658823529411762</v>
      </c>
      <c r="IA34" s="402">
        <f>HZ34/DD34</f>
        <v>-0.4346820809248555</v>
      </c>
      <c r="IB34" s="316">
        <f>DE34-DD34</f>
        <v>32.411764705882348</v>
      </c>
      <c r="IC34" s="402">
        <f>IB34/DD34</f>
        <v>0.28954282711508139</v>
      </c>
      <c r="ID34" s="316">
        <f>DF34-DE34</f>
        <v>-26.411764705882348</v>
      </c>
      <c r="IE34" s="402">
        <f>ID34/DO34</f>
        <v>-0.17422752018749829</v>
      </c>
      <c r="IF34" s="316">
        <f>DG34-DF34</f>
        <v>3.496323529411768</v>
      </c>
      <c r="IG34" s="402">
        <f>IF34/DF34</f>
        <v>2.9644638403990054E-2</v>
      </c>
      <c r="IH34" s="316">
        <f>DH34-DG34</f>
        <v>85.0625</v>
      </c>
      <c r="II34" s="402">
        <f>IH34/DG34</f>
        <v>0.70046320123520334</v>
      </c>
      <c r="IJ34" s="316">
        <f>DI34-DH34</f>
        <v>-19.375</v>
      </c>
      <c r="IK34" s="402">
        <f>IJ34/DH34</f>
        <v>-9.3825665859564158E-2</v>
      </c>
      <c r="IL34" s="316">
        <f>DJ34-DI34</f>
        <v>-22.85833333333332</v>
      </c>
      <c r="IM34" s="402">
        <f>IL34/DI34</f>
        <v>-0.12215542195502108</v>
      </c>
      <c r="IN34" s="316">
        <f>DK34-DJ34</f>
        <v>-3.9333333333333371</v>
      </c>
      <c r="IO34" s="402">
        <f>IN34/DJ34</f>
        <v>-2.3944805194805217E-2</v>
      </c>
      <c r="IP34" s="316">
        <f>DL34-DK34</f>
        <v>-160.33333333333334</v>
      </c>
      <c r="IQ34" s="402">
        <f t="shared" si="663"/>
        <v>-588.12474257134465</v>
      </c>
      <c r="IR34" s="316">
        <f>EK34-EJ34</f>
        <v>-634.69911608999814</v>
      </c>
      <c r="IS34" s="402">
        <f>IR34/EJ34</f>
        <v>-0.99697485346946502</v>
      </c>
      <c r="IT34" s="216">
        <f>CW34</f>
        <v>170.85714285714286</v>
      </c>
      <c r="IU34" s="1068">
        <f>DK34</f>
        <v>160.33333333333334</v>
      </c>
      <c r="IV34" s="664">
        <f>IU34-IT34</f>
        <v>-10.523809523809518</v>
      </c>
      <c r="IW34" s="109">
        <f>IF(ISERROR(IV34/IT34),0,IV34/IT34)</f>
        <v>-6.1594202898550693E-2</v>
      </c>
      <c r="IX34" s="698"/>
      <c r="IY34" s="698"/>
      <c r="IZ34" s="698"/>
      <c r="JA34" s="93" t="str">
        <f>E34</f>
        <v>Average Number of Calls/Call Agent</v>
      </c>
      <c r="JB34" s="278" t="e">
        <f>#REF!</f>
        <v>#REF!</v>
      </c>
      <c r="JC34" s="278" t="e">
        <f>#REF!</f>
        <v>#REF!</v>
      </c>
      <c r="JD34" s="278" t="e">
        <f>#REF!</f>
        <v>#REF!</v>
      </c>
      <c r="JE34" s="278" t="e">
        <f>#REF!</f>
        <v>#REF!</v>
      </c>
      <c r="JF34" s="278" t="e">
        <f>#REF!</f>
        <v>#REF!</v>
      </c>
      <c r="JG34" s="278" t="e">
        <f>#REF!</f>
        <v>#REF!</v>
      </c>
      <c r="JH34" s="278" t="e">
        <f>#REF!</f>
        <v>#REF!</v>
      </c>
      <c r="JI34" s="278" t="e">
        <f>#REF!</f>
        <v>#REF!</v>
      </c>
      <c r="JJ34" s="278" t="e">
        <f>#REF!</f>
        <v>#REF!</v>
      </c>
      <c r="JK34" s="278" t="e">
        <f>#REF!</f>
        <v>#REF!</v>
      </c>
      <c r="JL34" s="278" t="e">
        <f>#REF!</f>
        <v>#REF!</v>
      </c>
      <c r="JM34" s="279">
        <f t="shared" ref="JM34:JW35" si="698">AJ34</f>
        <v>230.6875</v>
      </c>
      <c r="JN34" s="279">
        <f t="shared" si="698"/>
        <v>239.625</v>
      </c>
      <c r="JO34" s="279">
        <f t="shared" si="698"/>
        <v>200.4375</v>
      </c>
      <c r="JP34" s="279">
        <f t="shared" si="698"/>
        <v>415.3125</v>
      </c>
      <c r="JQ34" s="279">
        <f t="shared" si="698"/>
        <v>233.375</v>
      </c>
      <c r="JR34" s="279">
        <f t="shared" si="698"/>
        <v>210.125</v>
      </c>
      <c r="JS34" s="279">
        <f t="shared" si="698"/>
        <v>271.3125</v>
      </c>
      <c r="JT34" s="279">
        <f t="shared" si="698"/>
        <v>254.6875</v>
      </c>
      <c r="JU34" s="279">
        <f t="shared" si="698"/>
        <v>218.75</v>
      </c>
      <c r="JV34" s="279">
        <f t="shared" si="698"/>
        <v>236.5</v>
      </c>
      <c r="JW34" s="279">
        <f t="shared" si="698"/>
        <v>350.5</v>
      </c>
      <c r="JX34" s="279">
        <f>AU34</f>
        <v>242.1875</v>
      </c>
      <c r="JY34" s="279">
        <f t="shared" si="665"/>
        <v>268.1875</v>
      </c>
      <c r="JZ34" s="279">
        <f t="shared" si="665"/>
        <v>259.75</v>
      </c>
      <c r="KA34" s="279">
        <f t="shared" si="665"/>
        <v>330.5625</v>
      </c>
      <c r="KB34" s="279">
        <f t="shared" si="665"/>
        <v>967.1875</v>
      </c>
      <c r="KC34" s="279">
        <f t="shared" si="665"/>
        <v>402.3125</v>
      </c>
      <c r="KD34" s="279">
        <f>BC34</f>
        <v>336.1875</v>
      </c>
      <c r="KE34" s="279">
        <f t="shared" si="666"/>
        <v>369.4375</v>
      </c>
      <c r="KF34" s="279">
        <f t="shared" si="666"/>
        <v>259.375</v>
      </c>
      <c r="KG34" s="279">
        <f t="shared" si="666"/>
        <v>244.75</v>
      </c>
      <c r="KH34" s="279">
        <f t="shared" si="666"/>
        <v>231.6875</v>
      </c>
      <c r="KI34" s="279">
        <f t="shared" si="666"/>
        <v>220.8125</v>
      </c>
      <c r="KJ34" s="279">
        <f t="shared" si="666"/>
        <v>232.875</v>
      </c>
      <c r="KK34" s="796">
        <f t="shared" si="667"/>
        <v>250.0625</v>
      </c>
      <c r="KL34" s="796">
        <f t="shared" si="667"/>
        <v>234.9375</v>
      </c>
      <c r="KM34" s="796">
        <f t="shared" si="667"/>
        <v>263.75</v>
      </c>
      <c r="KN34" s="796">
        <f t="shared" si="667"/>
        <v>725.875</v>
      </c>
      <c r="KO34" s="796">
        <f t="shared" si="667"/>
        <v>232.5</v>
      </c>
      <c r="KP34" s="796">
        <f t="shared" si="667"/>
        <v>244.75</v>
      </c>
      <c r="KQ34" s="796">
        <f t="shared" si="667"/>
        <v>312.5625</v>
      </c>
      <c r="KR34" s="796">
        <f t="shared" si="667"/>
        <v>244.75</v>
      </c>
      <c r="KS34" s="796">
        <f t="shared" si="667"/>
        <v>264.5</v>
      </c>
      <c r="KT34" s="796">
        <f t="shared" si="667"/>
        <v>309.875</v>
      </c>
      <c r="KU34" s="796">
        <f t="shared" si="667"/>
        <v>219.1875</v>
      </c>
      <c r="KV34" s="796">
        <f t="shared" si="667"/>
        <v>220</v>
      </c>
      <c r="KW34" s="908">
        <f t="shared" si="668"/>
        <v>239</v>
      </c>
      <c r="KX34" s="908">
        <f t="shared" si="668"/>
        <v>217.21428571428572</v>
      </c>
      <c r="KY34" s="908">
        <f t="shared" si="668"/>
        <v>227.46666666666667</v>
      </c>
      <c r="KZ34" s="908">
        <f t="shared" si="668"/>
        <v>285.07142857142856</v>
      </c>
      <c r="LA34" s="908">
        <f t="shared" si="668"/>
        <v>230</v>
      </c>
      <c r="LB34" s="908">
        <f t="shared" si="668"/>
        <v>225.5625</v>
      </c>
      <c r="LC34" s="908">
        <f t="shared" si="668"/>
        <v>228.1875</v>
      </c>
      <c r="LD34" s="908">
        <f t="shared" si="668"/>
        <v>247.875</v>
      </c>
      <c r="LE34" s="908">
        <f t="shared" si="668"/>
        <v>226.875</v>
      </c>
      <c r="LF34" s="908">
        <f t="shared" si="668"/>
        <v>198.875</v>
      </c>
      <c r="LG34" s="908">
        <f t="shared" si="668"/>
        <v>189.9375</v>
      </c>
      <c r="LH34" s="908">
        <f t="shared" si="668"/>
        <v>207.375</v>
      </c>
      <c r="LI34" s="967">
        <f t="shared" si="669"/>
        <v>205</v>
      </c>
      <c r="LJ34" s="967">
        <f t="shared" si="669"/>
        <v>226.13333333333333</v>
      </c>
      <c r="LK34" s="967">
        <f t="shared" si="669"/>
        <v>231.13333333333333</v>
      </c>
      <c r="LL34" s="967">
        <f t="shared" si="669"/>
        <v>248.33333333333334</v>
      </c>
      <c r="LM34" s="967">
        <f t="shared" si="669"/>
        <v>224.42857142857142</v>
      </c>
      <c r="LN34" s="967">
        <f t="shared" si="669"/>
        <v>227.92307692307693</v>
      </c>
      <c r="LO34" s="967">
        <f t="shared" si="669"/>
        <v>267.15384615384613</v>
      </c>
      <c r="LP34" s="967">
        <f t="shared" si="669"/>
        <v>248.78571428571428</v>
      </c>
      <c r="LQ34" s="967">
        <f t="shared" si="669"/>
        <v>195.5</v>
      </c>
      <c r="LR34" s="967">
        <f t="shared" si="669"/>
        <v>170.85714285714286</v>
      </c>
      <c r="LS34" s="967">
        <f t="shared" si="669"/>
        <v>157.6875</v>
      </c>
      <c r="LT34" s="967">
        <f t="shared" si="669"/>
        <v>144.5625</v>
      </c>
      <c r="LU34" s="1163">
        <f t="shared" si="670"/>
        <v>141.4375</v>
      </c>
      <c r="LV34" s="1163">
        <f t="shared" si="670"/>
        <v>160.6</v>
      </c>
      <c r="LW34" s="1163">
        <f t="shared" si="670"/>
        <v>111.94117647058823</v>
      </c>
      <c r="LX34" s="1163">
        <f t="shared" si="670"/>
        <v>144.35294117647058</v>
      </c>
      <c r="LY34" s="1163">
        <f t="shared" si="670"/>
        <v>117.94117647058823</v>
      </c>
      <c r="LZ34" s="1163">
        <f t="shared" si="670"/>
        <v>121.4375</v>
      </c>
      <c r="MA34" s="1163">
        <f t="shared" si="670"/>
        <v>206.5</v>
      </c>
      <c r="MB34" s="1163">
        <f t="shared" si="670"/>
        <v>187.125</v>
      </c>
      <c r="MC34" s="1163">
        <f t="shared" si="670"/>
        <v>164.26666666666668</v>
      </c>
      <c r="MD34" s="1163">
        <f t="shared" si="670"/>
        <v>160.33333333333334</v>
      </c>
      <c r="ME34" s="1163">
        <f t="shared" si="670"/>
        <v>0</v>
      </c>
      <c r="MF34" s="1163">
        <f t="shared" si="670"/>
        <v>0</v>
      </c>
      <c r="MG34" s="1185">
        <f t="shared" si="671"/>
        <v>0</v>
      </c>
      <c r="MH34" s="1185">
        <f t="shared" si="671"/>
        <v>0</v>
      </c>
      <c r="MI34" s="1185">
        <f t="shared" si="671"/>
        <v>0</v>
      </c>
      <c r="MJ34" s="1185">
        <f t="shared" si="671"/>
        <v>0</v>
      </c>
      <c r="MK34" s="1185">
        <f t="shared" si="671"/>
        <v>0</v>
      </c>
      <c r="ML34" s="1185">
        <f t="shared" si="671"/>
        <v>0</v>
      </c>
      <c r="MM34" s="1185">
        <f t="shared" si="671"/>
        <v>0</v>
      </c>
      <c r="MN34" s="1185">
        <f t="shared" si="671"/>
        <v>0</v>
      </c>
      <c r="MO34" s="1185">
        <f t="shared" si="671"/>
        <v>0</v>
      </c>
      <c r="MP34" s="1185">
        <f t="shared" si="671"/>
        <v>0</v>
      </c>
      <c r="MQ34" s="1185">
        <f t="shared" si="672"/>
        <v>0</v>
      </c>
      <c r="MR34" s="1185">
        <f t="shared" si="672"/>
        <v>0</v>
      </c>
    </row>
    <row r="35" spans="1:356" s="94" customFormat="1" ht="15.75" thickBot="1" x14ac:dyDescent="0.3">
      <c r="A35" s="767"/>
      <c r="B35" s="951">
        <v>4.3</v>
      </c>
      <c r="D35" s="452"/>
      <c r="E35" s="1244" t="s">
        <v>104</v>
      </c>
      <c r="F35" s="1244"/>
      <c r="G35" s="1245"/>
      <c r="H35" s="381">
        <v>1979.671875</v>
      </c>
      <c r="I35" s="96">
        <v>2011.7619047619048</v>
      </c>
      <c r="J35" s="95">
        <v>2013.3015873015872</v>
      </c>
      <c r="K35" s="96">
        <v>2009.0793650793651</v>
      </c>
      <c r="L35" s="95">
        <v>2031.12</v>
      </c>
      <c r="M35" s="96">
        <v>2040.9017713365538</v>
      </c>
      <c r="N35" s="95">
        <v>1888.2835820895523</v>
      </c>
      <c r="O35" s="96">
        <v>1906.8030303030303</v>
      </c>
      <c r="P35" s="95">
        <v>2331.1044776119402</v>
      </c>
      <c r="Q35" s="96">
        <v>1922</v>
      </c>
      <c r="R35" s="95">
        <v>1883.4328358208954</v>
      </c>
      <c r="S35" s="96">
        <v>1974.621451104101</v>
      </c>
      <c r="T35" s="136" t="s">
        <v>29</v>
      </c>
      <c r="U35" s="156">
        <v>1999.1162790697674</v>
      </c>
      <c r="V35" s="381">
        <f t="shared" ref="V35:Y35" si="699">V11/V32</f>
        <v>2052.3001631321372</v>
      </c>
      <c r="W35" s="96">
        <f t="shared" si="699"/>
        <v>2578.1637312459229</v>
      </c>
      <c r="X35" s="95">
        <f t="shared" si="699"/>
        <v>2149.2504631969009</v>
      </c>
      <c r="Y35" s="96">
        <f t="shared" si="699"/>
        <v>2107.526525198939</v>
      </c>
      <c r="Z35" s="95">
        <v>2110.5769230769229</v>
      </c>
      <c r="AA35" s="96">
        <v>2071.4845024469823</v>
      </c>
      <c r="AB35" s="95">
        <v>2645.9773584905661</v>
      </c>
      <c r="AC35" s="96">
        <v>2146.7761042477578</v>
      </c>
      <c r="AD35" s="95">
        <v>2084.9572362904578</v>
      </c>
      <c r="AE35" s="96">
        <v>2174.8337416870845</v>
      </c>
      <c r="AF35" s="95">
        <v>1710.3782392942474</v>
      </c>
      <c r="AG35" s="96">
        <v>1788.1511066733233</v>
      </c>
      <c r="AH35" s="136" t="s">
        <v>29</v>
      </c>
      <c r="AI35" s="156">
        <v>2136.0223001728468</v>
      </c>
      <c r="AJ35" s="381">
        <f t="shared" ref="AJ35:AN35" si="700">AJ11/AJ32</f>
        <v>1951.8635170603675</v>
      </c>
      <c r="AK35" s="96">
        <f t="shared" si="700"/>
        <v>2407.4424415491699</v>
      </c>
      <c r="AL35" s="95">
        <f t="shared" si="700"/>
        <v>1986.6238630283574</v>
      </c>
      <c r="AM35" s="96">
        <f t="shared" si="700"/>
        <v>1857.1642785738086</v>
      </c>
      <c r="AN35" s="95">
        <f t="shared" si="700"/>
        <v>1823.3453473132372</v>
      </c>
      <c r="AO35" s="96">
        <f t="shared" ref="AO35:AT35" si="701">AO11/AO32</f>
        <v>1850.8412460436448</v>
      </c>
      <c r="AP35" s="630">
        <f t="shared" si="701"/>
        <v>1850.3333333333333</v>
      </c>
      <c r="AQ35" s="96">
        <f t="shared" si="701"/>
        <v>2171.5503113733203</v>
      </c>
      <c r="AR35" s="630">
        <f t="shared" si="701"/>
        <v>1761.015873015873</v>
      </c>
      <c r="AS35" s="96">
        <f t="shared" si="701"/>
        <v>1886.7118644067796</v>
      </c>
      <c r="AT35" s="630">
        <f t="shared" si="701"/>
        <v>1799.4679135762656</v>
      </c>
      <c r="AU35" s="96">
        <f>AU11/AU32</f>
        <v>1873.9333333333334</v>
      </c>
      <c r="AV35" s="136" t="s">
        <v>29</v>
      </c>
      <c r="AW35" s="156">
        <f>SUM(AJ35:AU35)/$AV$4</f>
        <v>1935.0244435506245</v>
      </c>
      <c r="AX35" s="381">
        <f t="shared" ref="AX35:BC35" si="702">AX11/AX32</f>
        <v>1846.5550000000001</v>
      </c>
      <c r="AY35" s="96">
        <f t="shared" si="702"/>
        <v>2213.7446245451538</v>
      </c>
      <c r="AZ35" s="95">
        <f t="shared" si="702"/>
        <v>1845.2666666666667</v>
      </c>
      <c r="BA35" s="96">
        <f t="shared" si="702"/>
        <v>1875.613450023031</v>
      </c>
      <c r="BB35" s="95">
        <f t="shared" si="702"/>
        <v>1866.107439417048</v>
      </c>
      <c r="BC35" s="96">
        <f t="shared" si="702"/>
        <v>1828.3763530391341</v>
      </c>
      <c r="BD35" s="630">
        <f t="shared" ref="BD35:BI35" si="703">BD11/BD32</f>
        <v>2053.7225642883013</v>
      </c>
      <c r="BE35" s="96">
        <f t="shared" si="703"/>
        <v>1821.1138819617622</v>
      </c>
      <c r="BF35" s="630">
        <f t="shared" si="703"/>
        <v>1722.443261417764</v>
      </c>
      <c r="BG35" s="96">
        <f t="shared" si="703"/>
        <v>1810.7377049180327</v>
      </c>
      <c r="BH35" s="630">
        <f t="shared" si="703"/>
        <v>1854.6987313008901</v>
      </c>
      <c r="BI35" s="96">
        <f t="shared" si="703"/>
        <v>2270.0500000000002</v>
      </c>
      <c r="BJ35" s="136" t="s">
        <v>29</v>
      </c>
      <c r="BK35" s="156">
        <f>SUM(AX35:BI35)/$BJ$4</f>
        <v>1917.3691397981486</v>
      </c>
      <c r="BL35" s="860">
        <f t="shared" ref="BL35:BM35" si="704">BL11/BL32</f>
        <v>1866.1311475409836</v>
      </c>
      <c r="BM35" s="96">
        <f t="shared" si="704"/>
        <v>1861.516129032258</v>
      </c>
      <c r="BN35" s="867">
        <f t="shared" ref="BN35:BO35" si="705">BN11/BN32</f>
        <v>1839.2857142857142</v>
      </c>
      <c r="BO35" s="96">
        <f t="shared" si="705"/>
        <v>1850.7936507936508</v>
      </c>
      <c r="BP35" s="95">
        <f t="shared" ref="BP35:BQ35" si="706">BP11/BP32</f>
        <v>1864.5079365079366</v>
      </c>
      <c r="BQ35" s="96">
        <f t="shared" si="706"/>
        <v>1891.8225806451612</v>
      </c>
      <c r="BR35" s="630">
        <f t="shared" ref="BR35" si="707">BR11/BR32</f>
        <v>2299.4677419354839</v>
      </c>
      <c r="BS35" s="96">
        <f t="shared" ref="BS35:BT35" si="708">BS11/BS32</f>
        <v>1828.9375</v>
      </c>
      <c r="BT35" s="630">
        <f t="shared" si="708"/>
        <v>1864.6190476190477</v>
      </c>
      <c r="BU35" s="630">
        <f t="shared" ref="BU35:BV35" si="709">BU11/BU32</f>
        <v>1859.203125</v>
      </c>
      <c r="BV35" s="630">
        <f t="shared" si="709"/>
        <v>1872.4375</v>
      </c>
      <c r="BW35" s="630">
        <f t="shared" ref="BW35" si="710">BW11/BW32</f>
        <v>1892.71875</v>
      </c>
      <c r="BX35" s="136" t="s">
        <v>29</v>
      </c>
      <c r="BY35" s="156">
        <f>SUM(BL35:BW35)/$BX$4</f>
        <v>1899.2867352800197</v>
      </c>
      <c r="BZ35" s="630">
        <f t="shared" ref="BZ35:CA35" si="711">BZ11/BZ32</f>
        <v>2359</v>
      </c>
      <c r="CA35" s="96">
        <f t="shared" si="711"/>
        <v>1923.5079365079366</v>
      </c>
      <c r="CB35" s="867">
        <f t="shared" ref="CB35:CC35" si="712">CB11/CB32</f>
        <v>1699.3661971830986</v>
      </c>
      <c r="CC35" s="96">
        <f t="shared" si="712"/>
        <v>1724.6428571428571</v>
      </c>
      <c r="CD35" s="95">
        <f t="shared" ref="CD35:CE35" si="713">CD11/CD32</f>
        <v>1721.2</v>
      </c>
      <c r="CE35" s="96">
        <f t="shared" si="713"/>
        <v>2040.6944444444443</v>
      </c>
      <c r="CF35" s="630">
        <f t="shared" ref="CF35:CG35" si="714">CF11/CF32</f>
        <v>1657.7972972972973</v>
      </c>
      <c r="CG35" s="96">
        <f t="shared" si="714"/>
        <v>1602.8783783783783</v>
      </c>
      <c r="CH35" s="630">
        <f t="shared" ref="CH35:CI35" si="715">CH11/CH32</f>
        <v>1594.5</v>
      </c>
      <c r="CI35" s="630">
        <f t="shared" si="715"/>
        <v>1743.9852941176471</v>
      </c>
      <c r="CJ35" s="630">
        <f t="shared" ref="CJ35:CK35" si="716">CJ11/CJ32</f>
        <v>1722.2028985507247</v>
      </c>
      <c r="CK35" s="630">
        <f t="shared" si="716"/>
        <v>1754.3823529411766</v>
      </c>
      <c r="CL35" s="136" t="s">
        <v>29</v>
      </c>
      <c r="CM35" s="156">
        <f>SUM(BZ35:CK35)/$CL$4</f>
        <v>1795.3464713802969</v>
      </c>
      <c r="CN35" s="630">
        <f t="shared" ref="CN35:CO35" si="717">CN11/CN32</f>
        <v>2351.4516129032259</v>
      </c>
      <c r="CO35" s="96">
        <f t="shared" si="717"/>
        <v>1874.2903225806451</v>
      </c>
      <c r="CP35" s="867">
        <f t="shared" ref="CP35:CQ35" si="718">CP11/CP32</f>
        <v>1885.7213114754099</v>
      </c>
      <c r="CQ35" s="96">
        <f t="shared" si="718"/>
        <v>1891.3174603174602</v>
      </c>
      <c r="CR35" s="95">
        <f t="shared" ref="CR35:CS35" si="719">CR11/CR32</f>
        <v>1882.6666666666667</v>
      </c>
      <c r="CS35" s="96">
        <f t="shared" si="719"/>
        <v>2233.2741935483873</v>
      </c>
      <c r="CT35" s="217">
        <f t="shared" ref="CT35:CU35" si="720">CT11/CT32</f>
        <v>2044.6166666666666</v>
      </c>
      <c r="CU35" s="96">
        <f t="shared" si="720"/>
        <v>1972.5166666666667</v>
      </c>
      <c r="CV35" s="630">
        <f t="shared" ref="CV35:CW35" si="721">CV11/CV32</f>
        <v>2082.3508771929824</v>
      </c>
      <c r="CW35" s="1069">
        <f t="shared" si="721"/>
        <v>2124.0714285714284</v>
      </c>
      <c r="CX35" s="630">
        <f t="shared" ref="CX35:CY35" si="722">CX11/CX32</f>
        <v>2127.3928571428573</v>
      </c>
      <c r="CY35" s="96">
        <f t="shared" si="722"/>
        <v>2472.9152542372881</v>
      </c>
      <c r="CZ35" s="136" t="s">
        <v>29</v>
      </c>
      <c r="DA35" s="156">
        <f>SUM(CN35:CY35)/$CZ$4</f>
        <v>2078.5487764974737</v>
      </c>
      <c r="DB35" s="630">
        <f t="shared" ref="DB35:DC35" si="723">DB11/DB32</f>
        <v>2074.7068965517242</v>
      </c>
      <c r="DC35" s="96">
        <f t="shared" si="723"/>
        <v>2150.6964285714284</v>
      </c>
      <c r="DD35" s="867">
        <f t="shared" ref="DD35:DE35" si="724">DD11/DD32</f>
        <v>2151.0178571428573</v>
      </c>
      <c r="DE35" s="96">
        <f t="shared" si="724"/>
        <v>2249.0181818181818</v>
      </c>
      <c r="DF35" s="95">
        <f t="shared" ref="DF35:DG35" si="725">DF11/DF32</f>
        <v>2238.4</v>
      </c>
      <c r="DG35" s="96">
        <f t="shared" si="725"/>
        <v>2643.4035087719299</v>
      </c>
      <c r="DH35" s="217">
        <f t="shared" ref="DH35:DI35" si="726">DH11/DH32</f>
        <v>2153.4912280701756</v>
      </c>
      <c r="DI35" s="96">
        <f t="shared" si="726"/>
        <v>2225.9272727272728</v>
      </c>
      <c r="DJ35" s="630">
        <f t="shared" ref="DJ35:DK35" si="727">DJ11/DJ32</f>
        <v>2186.2857142857142</v>
      </c>
      <c r="DK35" s="96">
        <f t="shared" si="727"/>
        <v>2200.0714285714284</v>
      </c>
      <c r="DL35" s="630"/>
      <c r="DM35" s="96"/>
      <c r="DN35" s="136" t="s">
        <v>29</v>
      </c>
      <c r="DO35" s="156">
        <f>SUM(DB35:DM35)/$DN$4</f>
        <v>2227.301851651071</v>
      </c>
      <c r="DP35" s="630"/>
      <c r="DQ35" s="96"/>
      <c r="DR35" s="867"/>
      <c r="DS35" s="96"/>
      <c r="DT35" s="95"/>
      <c r="DU35" s="96"/>
      <c r="DV35" s="217"/>
      <c r="DW35" s="96"/>
      <c r="DX35" s="630"/>
      <c r="DY35" s="96"/>
      <c r="DZ35" s="630"/>
      <c r="EA35" s="96"/>
      <c r="EB35" s="136" t="s">
        <v>29</v>
      </c>
      <c r="EC35" s="156" t="e">
        <f>SUM(DP35:EA35)/$EB$4</f>
        <v>#DIV/0!</v>
      </c>
      <c r="ED35" s="673">
        <f>AX35-AU35</f>
        <v>-27.37833333333333</v>
      </c>
      <c r="EE35" s="672">
        <f>ED35/AU35</f>
        <v>-1.4610089295243513E-2</v>
      </c>
      <c r="EF35" s="673">
        <f>AY35-AX35</f>
        <v>367.18962454515372</v>
      </c>
      <c r="EG35" s="672">
        <f>EF35/AX35</f>
        <v>0.19885117125953666</v>
      </c>
      <c r="EH35" s="673">
        <f>AZ35-AY35</f>
        <v>-368.47795787848713</v>
      </c>
      <c r="EI35" s="672">
        <f>EH35/AY35</f>
        <v>-0.16645007458988018</v>
      </c>
      <c r="EJ35" s="673">
        <f>BA35-AZ35</f>
        <v>30.346783356364313</v>
      </c>
      <c r="EK35" s="672">
        <f>EJ35/AZ35</f>
        <v>1.6445744078379447E-2</v>
      </c>
      <c r="EL35" s="673">
        <f>BB35-BA35</f>
        <v>-9.506010605982965</v>
      </c>
      <c r="EM35" s="672">
        <f>EL35/BA35</f>
        <v>-5.0682141386148832E-3</v>
      </c>
      <c r="EN35" s="673">
        <f>BC35-BB35</f>
        <v>-37.731086377913925</v>
      </c>
      <c r="EO35" s="672">
        <f>EN35/BB35</f>
        <v>-2.0219139359789869E-2</v>
      </c>
      <c r="EP35" s="673">
        <f>BD35-BC35</f>
        <v>225.34621124916725</v>
      </c>
      <c r="EQ35" s="672">
        <f>EP35/BC35</f>
        <v>0.12324935775645748</v>
      </c>
      <c r="ER35" s="673">
        <f>BE35-BD35</f>
        <v>-232.60868232653911</v>
      </c>
      <c r="ES35" s="672">
        <f>ER35/BD35</f>
        <v>-0.11326197918419789</v>
      </c>
      <c r="ET35" s="673">
        <f>BF35-BE35</f>
        <v>-98.670620543998211</v>
      </c>
      <c r="EU35" s="672">
        <f>ET35/BE35</f>
        <v>-5.4181466365907364E-2</v>
      </c>
      <c r="EV35" s="673">
        <f>BG35-BF35</f>
        <v>88.294443500268699</v>
      </c>
      <c r="EW35" s="192">
        <f>EV35/BF35</f>
        <v>5.1261162255987737E-2</v>
      </c>
      <c r="EX35" s="673">
        <f>BH35-BG35</f>
        <v>43.961026382857426</v>
      </c>
      <c r="EY35" s="672">
        <f>EX35/BG35</f>
        <v>2.4277964866726748E-2</v>
      </c>
      <c r="EZ35" s="673">
        <f>BI35-BH35</f>
        <v>415.35126869911005</v>
      </c>
      <c r="FA35" s="672">
        <f>EZ35/BH35</f>
        <v>0.22394541048064537</v>
      </c>
      <c r="FB35" s="673">
        <f>BL35-BI35</f>
        <v>-403.91885245901653</v>
      </c>
      <c r="FC35" s="672">
        <f>FB35/BI35</f>
        <v>-0.17793390121760161</v>
      </c>
      <c r="FD35" s="323">
        <f>BM35-BL35</f>
        <v>-4.6150185087255977</v>
      </c>
      <c r="FE35" s="405">
        <f>FD35/BL35</f>
        <v>-2.4730408228847396E-3</v>
      </c>
      <c r="FF35" s="323">
        <f>BN35-BM35</f>
        <v>-22.230414746543829</v>
      </c>
      <c r="FG35" s="405">
        <f>FF35/BM35</f>
        <v>-1.1942101601934926E-2</v>
      </c>
      <c r="FH35" s="323">
        <f>BO35-BN35</f>
        <v>11.50793650793662</v>
      </c>
      <c r="FI35" s="405">
        <f>FH35/BN35</f>
        <v>6.2567421790723369E-3</v>
      </c>
      <c r="FJ35" s="323">
        <f>BP35-BO35</f>
        <v>13.714285714285779</v>
      </c>
      <c r="FK35" s="405">
        <f>FJ35/BO35</f>
        <v>7.4099485420240484E-3</v>
      </c>
      <c r="FL35" s="323">
        <f>BQ35-BP35</f>
        <v>27.314644137224604</v>
      </c>
      <c r="FM35" s="405">
        <f>FL35/BP35</f>
        <v>1.4649787004062095E-2</v>
      </c>
      <c r="FN35" s="323">
        <f>BR35-BQ35</f>
        <v>407.64516129032268</v>
      </c>
      <c r="FO35" s="405">
        <f>FN35/BQ35</f>
        <v>0.21547747947447851</v>
      </c>
      <c r="FP35" s="323">
        <f>BS35-BR35</f>
        <v>-470.5302419354839</v>
      </c>
      <c r="FQ35" s="405">
        <f>FP35/BR35</f>
        <v>-0.20462571983698893</v>
      </c>
      <c r="FR35" s="323">
        <f>BT35-BS35</f>
        <v>35.681547619047706</v>
      </c>
      <c r="FS35" s="405">
        <f>FR35/BS35</f>
        <v>1.9509440655597968E-2</v>
      </c>
      <c r="FT35" s="323">
        <f>BU35-BT35</f>
        <v>-5.4159226190477057</v>
      </c>
      <c r="FU35" s="405">
        <f>FT35/BT35</f>
        <v>-2.9045732563782161E-3</v>
      </c>
      <c r="FV35" s="323">
        <f>BV35-BU35</f>
        <v>13.234375</v>
      </c>
      <c r="FW35" s="405">
        <f>FV35/BU35</f>
        <v>7.1183050534082979E-3</v>
      </c>
      <c r="FX35" s="323">
        <f>BW35-BV35</f>
        <v>20.28125</v>
      </c>
      <c r="FY35" s="405">
        <f>FX35/BV35</f>
        <v>1.0831469675222805E-2</v>
      </c>
      <c r="FZ35" s="323">
        <f>BZ35-BW35</f>
        <v>466.28125</v>
      </c>
      <c r="GA35" s="405">
        <f>FZ35/BW35</f>
        <v>0.24635527597536613</v>
      </c>
      <c r="GB35" s="323">
        <f>CA35-BZ35</f>
        <v>-435.49206349206338</v>
      </c>
      <c r="GC35" s="405">
        <f>GB35/BZ35</f>
        <v>-0.18460875942859831</v>
      </c>
      <c r="GD35" s="323">
        <f>CB35-CA35</f>
        <v>-224.141739324838</v>
      </c>
      <c r="GE35" s="405">
        <f>GD35/CA35</f>
        <v>-0.11652758747216803</v>
      </c>
      <c r="GF35" s="323">
        <f>CC35-CB35</f>
        <v>25.27665995975849</v>
      </c>
      <c r="GG35" s="405">
        <f>GF35/CB35</f>
        <v>1.487416897055947E-2</v>
      </c>
      <c r="GH35" s="323">
        <f>CD35-CC35</f>
        <v>-3.4428571428570649</v>
      </c>
      <c r="GI35" s="405">
        <f>GH35/CC35</f>
        <v>-1.9962725201904705E-3</v>
      </c>
      <c r="GJ35" s="323">
        <f>CE35-CD35</f>
        <v>319.4944444444443</v>
      </c>
      <c r="GK35" s="405">
        <f>GJ35/CD35</f>
        <v>0.18562307950525464</v>
      </c>
      <c r="GL35" s="323">
        <f>CF35-CE35</f>
        <v>-382.89714714714705</v>
      </c>
      <c r="GM35" s="405">
        <f>GL35/CE35</f>
        <v>-0.18763080783090308</v>
      </c>
      <c r="GN35" s="323">
        <f>CG35-CF35</f>
        <v>-54.918918918918962</v>
      </c>
      <c r="GO35" s="405">
        <f>GN35/CF35</f>
        <v>-3.3127644138673126E-2</v>
      </c>
      <c r="GP35" s="323">
        <f>CH35-CG35</f>
        <v>-8.3783783783783292</v>
      </c>
      <c r="GQ35" s="405">
        <f>GP35/CG35</f>
        <v>-5.2270830347432105E-3</v>
      </c>
      <c r="GR35" s="323">
        <f>CI35-CH35</f>
        <v>149.48529411764707</v>
      </c>
      <c r="GS35" s="405">
        <f>GR35/CH35</f>
        <v>9.3750576430007573E-2</v>
      </c>
      <c r="GT35" s="323">
        <f>CJ35-CI35</f>
        <v>-21.782395566922332</v>
      </c>
      <c r="GU35" s="405">
        <f>GT35/CI35</f>
        <v>-1.2490011034148617E-2</v>
      </c>
      <c r="GV35" s="323">
        <f>CK35-CJ35</f>
        <v>32.179454390451838</v>
      </c>
      <c r="GW35" s="405">
        <f>GV35/CJ35</f>
        <v>1.8685054134754752E-2</v>
      </c>
      <c r="GX35" s="323">
        <f>CN35-CK35</f>
        <v>597.06925996204927</v>
      </c>
      <c r="GY35" s="405">
        <f>GX35/CK35</f>
        <v>0.34033017885814809</v>
      </c>
      <c r="GZ35" s="323">
        <f>CO35-CN35</f>
        <v>-477.16129032258073</v>
      </c>
      <c r="HA35" s="405">
        <f>GZ35/CN35</f>
        <v>-0.20292201111187327</v>
      </c>
      <c r="HB35" s="323">
        <f>CP35-CO35</f>
        <v>11.430988894764823</v>
      </c>
      <c r="HC35" s="405">
        <f>HB35/CO35</f>
        <v>6.0988357870972159E-3</v>
      </c>
      <c r="HD35" s="323">
        <f>CQ35-CP35</f>
        <v>5.5961488420502974</v>
      </c>
      <c r="HE35" s="405">
        <f>HD35/CP35</f>
        <v>2.96764363217161E-3</v>
      </c>
      <c r="HF35" s="323">
        <f>CR35-CQ35</f>
        <v>-8.6507936507935028</v>
      </c>
      <c r="HG35" s="405">
        <f>HF35/CQ35</f>
        <v>-4.5739511384521644E-3</v>
      </c>
      <c r="HH35" s="323">
        <f>CS35-CR35</f>
        <v>350.60752688172056</v>
      </c>
      <c r="HI35" s="405">
        <f>HH35/CR35</f>
        <v>0.18622921045417168</v>
      </c>
      <c r="HJ35" s="323">
        <f>CT35-CS35</f>
        <v>-188.65752688172074</v>
      </c>
      <c r="HK35" s="405">
        <f>HJ35/CS35</f>
        <v>-8.4475756459607879E-2</v>
      </c>
      <c r="HL35" s="323">
        <f>CU35-CT35</f>
        <v>-72.099999999999909</v>
      </c>
      <c r="HM35" s="405">
        <f>HL35/CT35</f>
        <v>-3.5263333795250901E-2</v>
      </c>
      <c r="HN35" s="323">
        <f>CV35-CU35</f>
        <v>109.8342105263157</v>
      </c>
      <c r="HO35" s="405">
        <f>HN35/CU35</f>
        <v>5.5682272490971282E-2</v>
      </c>
      <c r="HP35" s="323">
        <f>CW35-CV35</f>
        <v>41.720551378446089</v>
      </c>
      <c r="HQ35" s="405">
        <f>HP35/CV35</f>
        <v>2.0035312893418599E-2</v>
      </c>
      <c r="HR35" s="323">
        <f>CX35-CW35</f>
        <v>3.3214285714288962</v>
      </c>
      <c r="HS35" s="405">
        <f>HR35/CW35</f>
        <v>1.5637085112823941E-3</v>
      </c>
      <c r="HT35" s="323">
        <f>CY35-CX35</f>
        <v>345.52239709443074</v>
      </c>
      <c r="HU35" s="405">
        <f>HT35/CX35</f>
        <v>0.16241588662588446</v>
      </c>
      <c r="HV35" s="323">
        <f>DB35-CY35</f>
        <v>-398.2083576855639</v>
      </c>
      <c r="HW35" s="405">
        <f>HV35/CY35</f>
        <v>-0.16102790299960432</v>
      </c>
      <c r="HX35" s="323">
        <f>DC35-DB35</f>
        <v>75.989532019704257</v>
      </c>
      <c r="HY35" s="405">
        <f>HX35/DB35</f>
        <v>3.6626634897682656E-2</v>
      </c>
      <c r="HZ35" s="323">
        <f>DD35-DC35</f>
        <v>0.32142857142889625</v>
      </c>
      <c r="IA35" s="405">
        <f>HZ35/DD35</f>
        <v>1.4943091725693142E-4</v>
      </c>
      <c r="IB35" s="323">
        <f>DE35-DD35</f>
        <v>98.000324675324464</v>
      </c>
      <c r="IC35" s="405">
        <f>IB35/DD35</f>
        <v>4.5559977268387633E-2</v>
      </c>
      <c r="ID35" s="323">
        <f>DF35-DE35</f>
        <v>-10.618181818181711</v>
      </c>
      <c r="IE35" s="405">
        <f>ID35/DO35</f>
        <v>-4.7672846005630464E-3</v>
      </c>
      <c r="IF35" s="323">
        <f>DG35-DF35</f>
        <v>405.00350877192977</v>
      </c>
      <c r="IG35" s="405">
        <f>IF35/DF35</f>
        <v>0.18093437668510085</v>
      </c>
      <c r="IH35" s="323">
        <f>DH35-DG35</f>
        <v>-489.9122807017543</v>
      </c>
      <c r="II35" s="405">
        <f>IH35/DG35</f>
        <v>-0.18533389967744929</v>
      </c>
      <c r="IJ35" s="323">
        <f>DI35-DH35</f>
        <v>72.436044657097227</v>
      </c>
      <c r="IK35" s="405">
        <f>IJ35/DH35</f>
        <v>3.3636563600962469E-2</v>
      </c>
      <c r="IL35" s="323">
        <f>DJ35-DI35</f>
        <v>-39.641558441558573</v>
      </c>
      <c r="IM35" s="405">
        <f>IL35/DI35</f>
        <v>-1.7809008823989361E-2</v>
      </c>
      <c r="IN35" s="323">
        <f>DK35-DJ35</f>
        <v>13.785714285714221</v>
      </c>
      <c r="IO35" s="405">
        <f>IN35/DJ35</f>
        <v>6.3055410350234941E-3</v>
      </c>
      <c r="IP35" s="323">
        <f>DL35-DK35</f>
        <v>-2200.0714285714284</v>
      </c>
      <c r="IQ35" s="405">
        <f t="shared" si="663"/>
        <v>13217.605543237098</v>
      </c>
      <c r="IR35" s="323">
        <f>EK35-EJ35</f>
        <v>-30.330337612285934</v>
      </c>
      <c r="IS35" s="405">
        <f>IR35/EJ35</f>
        <v>-0.99945807290725819</v>
      </c>
      <c r="IT35" s="630">
        <f>CW35</f>
        <v>2124.0714285714284</v>
      </c>
      <c r="IU35" s="1069">
        <f>DK35</f>
        <v>2200.0714285714284</v>
      </c>
      <c r="IV35" s="673">
        <f>IU35-IT35</f>
        <v>76</v>
      </c>
      <c r="IW35" s="192">
        <f>IF(ISERROR(IV35/IT35),0,IV35/IT35)</f>
        <v>3.5780340989339882E-2</v>
      </c>
      <c r="IX35" s="696"/>
      <c r="IY35" s="696"/>
      <c r="IZ35" s="696"/>
      <c r="JA35" s="94" t="str">
        <f>E35</f>
        <v>Employees Supported/Agent</v>
      </c>
      <c r="JB35" s="280" t="e">
        <f>#REF!</f>
        <v>#REF!</v>
      </c>
      <c r="JC35" s="280" t="e">
        <f>#REF!</f>
        <v>#REF!</v>
      </c>
      <c r="JD35" s="280" t="e">
        <f>#REF!</f>
        <v>#REF!</v>
      </c>
      <c r="JE35" s="280" t="e">
        <f>#REF!</f>
        <v>#REF!</v>
      </c>
      <c r="JF35" s="280" t="e">
        <f>#REF!</f>
        <v>#REF!</v>
      </c>
      <c r="JG35" s="280" t="e">
        <f>#REF!</f>
        <v>#REF!</v>
      </c>
      <c r="JH35" s="280" t="e">
        <f>#REF!</f>
        <v>#REF!</v>
      </c>
      <c r="JI35" s="280" t="e">
        <f>#REF!</f>
        <v>#REF!</v>
      </c>
      <c r="JJ35" s="280" t="e">
        <f>#REF!</f>
        <v>#REF!</v>
      </c>
      <c r="JK35" s="280" t="e">
        <f>#REF!</f>
        <v>#REF!</v>
      </c>
      <c r="JL35" s="280" t="e">
        <f>#REF!</f>
        <v>#REF!</v>
      </c>
      <c r="JM35" s="281">
        <f t="shared" si="698"/>
        <v>1951.8635170603675</v>
      </c>
      <c r="JN35" s="281">
        <f t="shared" si="698"/>
        <v>2407.4424415491699</v>
      </c>
      <c r="JO35" s="281">
        <f t="shared" si="698"/>
        <v>1986.6238630283574</v>
      </c>
      <c r="JP35" s="281">
        <f t="shared" si="698"/>
        <v>1857.1642785738086</v>
      </c>
      <c r="JQ35" s="281">
        <f t="shared" si="698"/>
        <v>1823.3453473132372</v>
      </c>
      <c r="JR35" s="281">
        <f t="shared" si="698"/>
        <v>1850.8412460436448</v>
      </c>
      <c r="JS35" s="281">
        <f t="shared" si="698"/>
        <v>1850.3333333333333</v>
      </c>
      <c r="JT35" s="281">
        <f t="shared" si="698"/>
        <v>2171.5503113733203</v>
      </c>
      <c r="JU35" s="281">
        <f t="shared" si="698"/>
        <v>1761.015873015873</v>
      </c>
      <c r="JV35" s="281">
        <f t="shared" si="698"/>
        <v>1886.7118644067796</v>
      </c>
      <c r="JW35" s="281">
        <f t="shared" si="698"/>
        <v>1799.4679135762656</v>
      </c>
      <c r="JX35" s="281">
        <f>AU35</f>
        <v>1873.9333333333334</v>
      </c>
      <c r="JY35" s="281">
        <f t="shared" si="665"/>
        <v>1846.5550000000001</v>
      </c>
      <c r="JZ35" s="281">
        <f t="shared" si="665"/>
        <v>2213.7446245451538</v>
      </c>
      <c r="KA35" s="281">
        <f t="shared" si="665"/>
        <v>1845.2666666666667</v>
      </c>
      <c r="KB35" s="281">
        <f t="shared" si="665"/>
        <v>1875.613450023031</v>
      </c>
      <c r="KC35" s="281">
        <f t="shared" si="665"/>
        <v>1866.107439417048</v>
      </c>
      <c r="KD35" s="281">
        <f>BC35</f>
        <v>1828.3763530391341</v>
      </c>
      <c r="KE35" s="281">
        <f t="shared" si="666"/>
        <v>2053.7225642883013</v>
      </c>
      <c r="KF35" s="281">
        <f t="shared" si="666"/>
        <v>1821.1138819617622</v>
      </c>
      <c r="KG35" s="281">
        <f t="shared" si="666"/>
        <v>1722.443261417764</v>
      </c>
      <c r="KH35" s="281">
        <f t="shared" si="666"/>
        <v>1810.7377049180327</v>
      </c>
      <c r="KI35" s="281">
        <f t="shared" si="666"/>
        <v>1854.6987313008901</v>
      </c>
      <c r="KJ35" s="281">
        <f t="shared" si="666"/>
        <v>2270.0500000000002</v>
      </c>
      <c r="KK35" s="797">
        <f t="shared" si="667"/>
        <v>1866.1311475409836</v>
      </c>
      <c r="KL35" s="797">
        <f t="shared" si="667"/>
        <v>1861.516129032258</v>
      </c>
      <c r="KM35" s="797">
        <f t="shared" si="667"/>
        <v>1839.2857142857142</v>
      </c>
      <c r="KN35" s="797">
        <f t="shared" si="667"/>
        <v>1850.7936507936508</v>
      </c>
      <c r="KO35" s="797">
        <f t="shared" si="667"/>
        <v>1864.5079365079366</v>
      </c>
      <c r="KP35" s="797">
        <f t="shared" si="667"/>
        <v>1891.8225806451612</v>
      </c>
      <c r="KQ35" s="797">
        <f t="shared" si="667"/>
        <v>2299.4677419354839</v>
      </c>
      <c r="KR35" s="797">
        <f t="shared" si="667"/>
        <v>1828.9375</v>
      </c>
      <c r="KS35" s="797">
        <f t="shared" si="667"/>
        <v>1864.6190476190477</v>
      </c>
      <c r="KT35" s="797">
        <f t="shared" si="667"/>
        <v>1859.203125</v>
      </c>
      <c r="KU35" s="797">
        <f t="shared" si="667"/>
        <v>1872.4375</v>
      </c>
      <c r="KV35" s="797">
        <f t="shared" si="667"/>
        <v>1892.71875</v>
      </c>
      <c r="KW35" s="909">
        <f t="shared" si="668"/>
        <v>2359</v>
      </c>
      <c r="KX35" s="909">
        <f t="shared" si="668"/>
        <v>1923.5079365079366</v>
      </c>
      <c r="KY35" s="909">
        <f t="shared" si="668"/>
        <v>1699.3661971830986</v>
      </c>
      <c r="KZ35" s="909">
        <f t="shared" si="668"/>
        <v>1724.6428571428571</v>
      </c>
      <c r="LA35" s="909">
        <f t="shared" si="668"/>
        <v>1721.2</v>
      </c>
      <c r="LB35" s="909">
        <f t="shared" si="668"/>
        <v>2040.6944444444443</v>
      </c>
      <c r="LC35" s="909">
        <f t="shared" si="668"/>
        <v>1657.7972972972973</v>
      </c>
      <c r="LD35" s="909">
        <f t="shared" si="668"/>
        <v>1602.8783783783783</v>
      </c>
      <c r="LE35" s="909">
        <f t="shared" si="668"/>
        <v>1594.5</v>
      </c>
      <c r="LF35" s="909">
        <f t="shared" si="668"/>
        <v>1743.9852941176471</v>
      </c>
      <c r="LG35" s="909">
        <f t="shared" si="668"/>
        <v>1722.2028985507247</v>
      </c>
      <c r="LH35" s="909">
        <f t="shared" si="668"/>
        <v>1754.3823529411766</v>
      </c>
      <c r="LI35" s="968">
        <f t="shared" si="669"/>
        <v>2351.4516129032259</v>
      </c>
      <c r="LJ35" s="968">
        <f t="shared" si="669"/>
        <v>1874.2903225806451</v>
      </c>
      <c r="LK35" s="968">
        <f t="shared" si="669"/>
        <v>1885.7213114754099</v>
      </c>
      <c r="LL35" s="968">
        <f t="shared" si="669"/>
        <v>1891.3174603174602</v>
      </c>
      <c r="LM35" s="968">
        <f t="shared" si="669"/>
        <v>1882.6666666666667</v>
      </c>
      <c r="LN35" s="968">
        <f t="shared" si="669"/>
        <v>2233.2741935483873</v>
      </c>
      <c r="LO35" s="968">
        <f t="shared" si="669"/>
        <v>2044.6166666666666</v>
      </c>
      <c r="LP35" s="968">
        <f t="shared" si="669"/>
        <v>1972.5166666666667</v>
      </c>
      <c r="LQ35" s="968">
        <f t="shared" si="669"/>
        <v>2082.3508771929824</v>
      </c>
      <c r="LR35" s="968">
        <f t="shared" si="669"/>
        <v>2124.0714285714284</v>
      </c>
      <c r="LS35" s="968">
        <f t="shared" si="669"/>
        <v>2127.3928571428573</v>
      </c>
      <c r="LT35" s="968">
        <f t="shared" si="669"/>
        <v>2472.9152542372881</v>
      </c>
      <c r="LU35" s="1164">
        <f t="shared" si="670"/>
        <v>2074.7068965517242</v>
      </c>
      <c r="LV35" s="1164">
        <f t="shared" si="670"/>
        <v>2150.6964285714284</v>
      </c>
      <c r="LW35" s="1164">
        <f t="shared" si="670"/>
        <v>2151.0178571428573</v>
      </c>
      <c r="LX35" s="1164">
        <f t="shared" si="670"/>
        <v>2249.0181818181818</v>
      </c>
      <c r="LY35" s="1164">
        <f t="shared" si="670"/>
        <v>2238.4</v>
      </c>
      <c r="LZ35" s="1164">
        <f t="shared" si="670"/>
        <v>2643.4035087719299</v>
      </c>
      <c r="MA35" s="1164">
        <f t="shared" si="670"/>
        <v>2153.4912280701756</v>
      </c>
      <c r="MB35" s="1164">
        <f t="shared" si="670"/>
        <v>2225.9272727272728</v>
      </c>
      <c r="MC35" s="1164">
        <f t="shared" si="670"/>
        <v>2186.2857142857142</v>
      </c>
      <c r="MD35" s="1164">
        <f t="shared" si="670"/>
        <v>2200.0714285714284</v>
      </c>
      <c r="ME35" s="1164">
        <f t="shared" si="670"/>
        <v>0</v>
      </c>
      <c r="MF35" s="1164">
        <f t="shared" si="670"/>
        <v>0</v>
      </c>
      <c r="MG35" s="1186">
        <f t="shared" si="671"/>
        <v>0</v>
      </c>
      <c r="MH35" s="1186">
        <f t="shared" si="671"/>
        <v>0</v>
      </c>
      <c r="MI35" s="1186">
        <f t="shared" si="671"/>
        <v>0</v>
      </c>
      <c r="MJ35" s="1186">
        <f t="shared" si="671"/>
        <v>0</v>
      </c>
      <c r="MK35" s="1186">
        <f t="shared" si="671"/>
        <v>0</v>
      </c>
      <c r="ML35" s="1186">
        <f t="shared" si="671"/>
        <v>0</v>
      </c>
      <c r="MM35" s="1186">
        <f t="shared" si="671"/>
        <v>0</v>
      </c>
      <c r="MN35" s="1186">
        <f t="shared" si="671"/>
        <v>0</v>
      </c>
      <c r="MO35" s="1186">
        <f t="shared" si="671"/>
        <v>0</v>
      </c>
      <c r="MP35" s="1186">
        <f t="shared" si="671"/>
        <v>0</v>
      </c>
      <c r="MQ35" s="1186">
        <f t="shared" si="672"/>
        <v>0</v>
      </c>
      <c r="MR35" s="1186">
        <f t="shared" si="672"/>
        <v>0</v>
      </c>
    </row>
    <row r="36" spans="1:356" ht="14.25" customHeight="1" x14ac:dyDescent="0.25">
      <c r="A36" s="764">
        <v>5</v>
      </c>
      <c r="B36" s="7" t="s">
        <v>161</v>
      </c>
      <c r="C36" s="9"/>
      <c r="D36" s="449"/>
      <c r="E36" s="450"/>
      <c r="F36" s="450"/>
      <c r="G36" s="450"/>
      <c r="H36" s="170"/>
      <c r="I36" s="67"/>
      <c r="K36" s="67"/>
      <c r="M36" s="67"/>
      <c r="O36" s="67"/>
      <c r="P36" s="394"/>
      <c r="Q36" s="67"/>
      <c r="S36" s="67"/>
      <c r="T36" s="137"/>
      <c r="U36" s="157"/>
      <c r="V36" s="170"/>
      <c r="W36" s="67"/>
      <c r="Y36" s="67"/>
      <c r="AA36" s="67"/>
      <c r="AC36" s="67"/>
      <c r="AD36" s="394"/>
      <c r="AE36" s="67"/>
      <c r="AG36" s="67"/>
      <c r="AH36" s="137"/>
      <c r="AI36" s="157"/>
      <c r="AJ36" s="170"/>
      <c r="AK36" s="67"/>
      <c r="AM36" s="67"/>
      <c r="AO36" s="67"/>
      <c r="AP36" s="27"/>
      <c r="AQ36" s="67"/>
      <c r="AR36" s="631"/>
      <c r="AS36" s="67"/>
      <c r="AT36" s="27"/>
      <c r="AU36" s="67"/>
      <c r="AV36" s="137"/>
      <c r="AW36" s="157"/>
      <c r="AX36" s="170"/>
      <c r="AY36" s="67"/>
      <c r="BA36" s="67"/>
      <c r="BC36" s="67"/>
      <c r="BD36" s="27"/>
      <c r="BE36" s="67"/>
      <c r="BF36" s="27"/>
      <c r="BG36" s="67"/>
      <c r="BH36" s="27"/>
      <c r="BI36" s="67"/>
      <c r="BJ36" s="137"/>
      <c r="BK36" s="157"/>
      <c r="BL36" s="170"/>
      <c r="BM36" s="67"/>
      <c r="BO36" s="67"/>
      <c r="BQ36" s="67"/>
      <c r="BR36" s="27"/>
      <c r="BS36" s="67"/>
      <c r="BT36" s="27"/>
      <c r="BV36" s="27"/>
      <c r="BX36" s="137"/>
      <c r="BY36" s="157"/>
      <c r="BZ36" s="27"/>
      <c r="CA36" s="67"/>
      <c r="CC36" s="67"/>
      <c r="CE36" s="67"/>
      <c r="CF36" s="27"/>
      <c r="CG36" s="67"/>
      <c r="CH36" s="27"/>
      <c r="CJ36" s="27"/>
      <c r="CL36" s="137"/>
      <c r="CM36" s="157"/>
      <c r="CN36" s="27"/>
      <c r="CO36" s="67"/>
      <c r="CQ36" s="67"/>
      <c r="CS36" s="67"/>
      <c r="CT36" s="37"/>
      <c r="CU36" s="67"/>
      <c r="CV36" s="27"/>
      <c r="CW36" s="1066"/>
      <c r="CX36" s="27"/>
      <c r="CY36" s="67"/>
      <c r="CZ36" s="137"/>
      <c r="DA36" s="157"/>
      <c r="DB36" s="27"/>
      <c r="DC36" s="67"/>
      <c r="DE36" s="67"/>
      <c r="DG36" s="67"/>
      <c r="DH36" s="37"/>
      <c r="DI36" s="67"/>
      <c r="DJ36" s="27"/>
      <c r="DK36" s="67"/>
      <c r="DL36" s="27"/>
      <c r="DM36" s="67"/>
      <c r="DN36" s="137"/>
      <c r="DO36" s="157"/>
      <c r="DP36" s="27"/>
      <c r="DQ36" s="67"/>
      <c r="DS36" s="67"/>
      <c r="DU36" s="67"/>
      <c r="DV36" s="37"/>
      <c r="DW36" s="67"/>
      <c r="DX36" s="27"/>
      <c r="DY36" s="67"/>
      <c r="DZ36" s="27"/>
      <c r="EA36" s="67"/>
      <c r="EB36" s="137"/>
      <c r="EC36" s="157"/>
      <c r="ED36" s="118"/>
      <c r="EE36" s="663"/>
      <c r="EF36" s="118"/>
      <c r="EG36" s="663"/>
      <c r="EH36" s="118"/>
      <c r="EI36" s="663"/>
      <c r="EJ36" s="118"/>
      <c r="EK36" s="663"/>
      <c r="EL36" s="118"/>
      <c r="EM36" s="663"/>
      <c r="EN36" s="118"/>
      <c r="EO36" s="663"/>
      <c r="EP36" s="118"/>
      <c r="EQ36" s="663"/>
      <c r="ER36" s="118"/>
      <c r="ES36" s="663"/>
      <c r="ET36" s="118"/>
      <c r="EU36" s="663"/>
      <c r="EV36" s="118"/>
      <c r="EW36" s="109"/>
      <c r="EX36" s="118"/>
      <c r="EY36" s="663"/>
      <c r="EZ36" s="118"/>
      <c r="FA36" s="663"/>
      <c r="FB36" s="118"/>
      <c r="FC36" s="663"/>
      <c r="FD36" s="319"/>
      <c r="FE36" s="402"/>
      <c r="FF36" s="319"/>
      <c r="FG36" s="402"/>
      <c r="FH36" s="319"/>
      <c r="FI36" s="402"/>
      <c r="FJ36" s="319"/>
      <c r="FK36" s="402"/>
      <c r="FL36" s="319"/>
      <c r="FM36" s="402"/>
      <c r="FN36" s="319"/>
      <c r="FO36" s="402"/>
      <c r="FP36" s="319"/>
      <c r="FQ36" s="402"/>
      <c r="FR36" s="319"/>
      <c r="FS36" s="402"/>
      <c r="FT36" s="319"/>
      <c r="FU36" s="402"/>
      <c r="FV36" s="319"/>
      <c r="FW36" s="402"/>
      <c r="FX36" s="319"/>
      <c r="FY36" s="402"/>
      <c r="FZ36" s="319"/>
      <c r="GA36" s="402"/>
      <c r="GB36" s="319"/>
      <c r="GC36" s="402"/>
      <c r="GD36" s="319"/>
      <c r="GE36" s="402"/>
      <c r="GF36" s="319"/>
      <c r="GG36" s="402"/>
      <c r="GH36" s="319"/>
      <c r="GI36" s="402"/>
      <c r="GJ36" s="319"/>
      <c r="GK36" s="402"/>
      <c r="GL36" s="319"/>
      <c r="GM36" s="402"/>
      <c r="GN36" s="319"/>
      <c r="GO36" s="402"/>
      <c r="GP36" s="319"/>
      <c r="GQ36" s="402"/>
      <c r="GR36" s="319"/>
      <c r="GS36" s="402"/>
      <c r="GT36" s="319"/>
      <c r="GU36" s="402"/>
      <c r="GV36" s="319"/>
      <c r="GW36" s="402"/>
      <c r="GX36" s="319"/>
      <c r="GY36" s="402"/>
      <c r="GZ36" s="319"/>
      <c r="HA36" s="402"/>
      <c r="HB36" s="319"/>
      <c r="HC36" s="402"/>
      <c r="HD36" s="319"/>
      <c r="HE36" s="402"/>
      <c r="HF36" s="319"/>
      <c r="HG36" s="402"/>
      <c r="HH36" s="319"/>
      <c r="HI36" s="402"/>
      <c r="HJ36" s="319"/>
      <c r="HK36" s="402"/>
      <c r="HL36" s="319"/>
      <c r="HM36" s="402"/>
      <c r="HN36" s="319"/>
      <c r="HO36" s="402"/>
      <c r="HP36" s="319"/>
      <c r="HQ36" s="402"/>
      <c r="HR36" s="319"/>
      <c r="HS36" s="402"/>
      <c r="HT36" s="319"/>
      <c r="HU36" s="402"/>
      <c r="HV36" s="319"/>
      <c r="HW36" s="402"/>
      <c r="HX36" s="319"/>
      <c r="HY36" s="402"/>
      <c r="HZ36" s="319"/>
      <c r="IA36" s="402"/>
      <c r="IB36" s="319"/>
      <c r="IC36" s="402"/>
      <c r="ID36" s="319"/>
      <c r="IE36" s="402"/>
      <c r="IF36" s="319"/>
      <c r="IG36" s="402"/>
      <c r="IH36" s="319"/>
      <c r="II36" s="402"/>
      <c r="IJ36" s="319"/>
      <c r="IK36" s="402"/>
      <c r="IL36" s="319"/>
      <c r="IM36" s="402"/>
      <c r="IN36" s="319"/>
      <c r="IO36" s="402"/>
      <c r="IP36" s="319"/>
      <c r="IQ36" s="402"/>
      <c r="IR36" s="319"/>
      <c r="IS36" s="402"/>
      <c r="IT36" s="27"/>
      <c r="IU36" s="1066"/>
      <c r="IV36" s="111"/>
      <c r="IW36" s="109"/>
      <c r="IX36" s="698"/>
      <c r="IY36" s="698"/>
      <c r="IZ36" s="698"/>
      <c r="JB36" s="282"/>
      <c r="JC36" s="282"/>
      <c r="JD36" s="282"/>
      <c r="JE36" s="282"/>
      <c r="JF36" s="282"/>
      <c r="JG36" s="282"/>
      <c r="JH36" s="282"/>
      <c r="JI36" s="282"/>
      <c r="JJ36" s="282"/>
      <c r="JK36" s="282"/>
      <c r="JL36" s="282"/>
      <c r="JM36" s="283"/>
      <c r="JN36" s="283"/>
      <c r="JO36" s="283"/>
      <c r="JP36" s="283"/>
      <c r="JQ36" s="283"/>
      <c r="JR36" s="283"/>
      <c r="JS36" s="283"/>
      <c r="JT36" s="283"/>
      <c r="JU36" s="283"/>
      <c r="JV36" s="283"/>
      <c r="JW36" s="283"/>
      <c r="JX36" s="283"/>
      <c r="JY36" s="283"/>
      <c r="JZ36" s="283"/>
      <c r="KA36" s="283"/>
      <c r="KB36" s="283"/>
      <c r="KC36" s="283"/>
      <c r="KD36" s="283"/>
      <c r="KE36" s="283"/>
      <c r="KF36" s="283"/>
      <c r="KG36" s="283"/>
      <c r="KH36" s="283"/>
      <c r="KI36" s="283"/>
      <c r="KJ36" s="283"/>
      <c r="KK36" s="798"/>
      <c r="KL36" s="798"/>
      <c r="KM36" s="798"/>
      <c r="KN36" s="798"/>
      <c r="KO36" s="798"/>
      <c r="KP36" s="798"/>
      <c r="KQ36" s="798"/>
      <c r="KR36" s="798"/>
      <c r="KS36" s="798"/>
      <c r="KT36" s="798"/>
      <c r="KU36" s="798"/>
      <c r="KV36" s="798"/>
      <c r="KW36" s="910"/>
      <c r="KX36" s="910"/>
      <c r="KY36" s="910"/>
      <c r="KZ36" s="910"/>
      <c r="LA36" s="910"/>
      <c r="LB36" s="910"/>
      <c r="LC36" s="910"/>
      <c r="LD36" s="910"/>
      <c r="LE36" s="910"/>
      <c r="LF36" s="910"/>
      <c r="LG36" s="910"/>
      <c r="LH36" s="910"/>
      <c r="LI36" s="969"/>
      <c r="LJ36" s="969"/>
      <c r="LK36" s="969"/>
      <c r="LL36" s="969"/>
      <c r="LM36" s="969"/>
      <c r="LN36" s="969"/>
      <c r="LO36" s="969"/>
      <c r="LP36" s="969"/>
      <c r="LQ36" s="969"/>
      <c r="LR36" s="969"/>
      <c r="LS36" s="969"/>
      <c r="LT36" s="969"/>
      <c r="LU36" s="1165"/>
      <c r="LV36" s="1165"/>
      <c r="LW36" s="1165"/>
      <c r="LX36" s="1165"/>
      <c r="LY36" s="1165"/>
      <c r="LZ36" s="1165"/>
      <c r="MA36" s="1165"/>
      <c r="MB36" s="1165"/>
      <c r="MC36" s="1165"/>
      <c r="MD36" s="1165"/>
      <c r="ME36" s="1165"/>
      <c r="MF36" s="1165"/>
      <c r="MG36" s="1187"/>
      <c r="MH36" s="1187"/>
      <c r="MI36" s="1187"/>
      <c r="MJ36" s="1187"/>
      <c r="MK36" s="1187"/>
      <c r="ML36" s="1187"/>
      <c r="MM36" s="1187"/>
      <c r="MN36" s="1187"/>
      <c r="MO36" s="1187"/>
      <c r="MP36" s="1187"/>
      <c r="MQ36" s="1187"/>
      <c r="MR36" s="1187"/>
    </row>
    <row r="37" spans="1:356" x14ac:dyDescent="0.25">
      <c r="A37" s="764"/>
      <c r="B37" s="56">
        <v>5.0999999999999996</v>
      </c>
      <c r="C37" s="7"/>
      <c r="D37" s="119"/>
      <c r="E37" s="1217" t="s">
        <v>232</v>
      </c>
      <c r="F37" s="1217"/>
      <c r="G37" s="1218"/>
      <c r="H37" s="368">
        <v>59966</v>
      </c>
      <c r="I37" s="70">
        <v>60026</v>
      </c>
      <c r="J37" s="23">
        <v>59647</v>
      </c>
      <c r="K37" s="70">
        <v>59726</v>
      </c>
      <c r="L37" s="23">
        <v>59905</v>
      </c>
      <c r="M37" s="70">
        <v>59823</v>
      </c>
      <c r="N37" s="23">
        <v>59417</v>
      </c>
      <c r="O37" s="70">
        <v>59116</v>
      </c>
      <c r="P37" s="23">
        <v>88984</v>
      </c>
      <c r="Q37" s="70">
        <v>59509</v>
      </c>
      <c r="R37" s="23">
        <v>59962</v>
      </c>
      <c r="S37" s="70">
        <v>59607</v>
      </c>
      <c r="T37" s="137">
        <v>745688</v>
      </c>
      <c r="U37" s="163">
        <v>62140.666666666664</v>
      </c>
      <c r="V37" s="368">
        <f>29935+30133+1</f>
        <v>60069</v>
      </c>
      <c r="W37" s="70">
        <f>30317+31306+31410+1</f>
        <v>93034</v>
      </c>
      <c r="X37" s="23">
        <f>31522+31413</f>
        <v>62935</v>
      </c>
      <c r="Y37" s="70">
        <f>31409+31354+1</f>
        <v>62764</v>
      </c>
      <c r="Z37" s="23">
        <v>62785</v>
      </c>
      <c r="AA37" s="70">
        <v>63000</v>
      </c>
      <c r="AB37" s="23">
        <v>95432</v>
      </c>
      <c r="AC37" s="70">
        <v>59971</v>
      </c>
      <c r="AD37" s="23">
        <v>60295</v>
      </c>
      <c r="AE37" s="70">
        <v>60522</v>
      </c>
      <c r="AF37" s="23">
        <v>37409</v>
      </c>
      <c r="AG37" s="70">
        <v>40405</v>
      </c>
      <c r="AH37" s="137">
        <v>758621</v>
      </c>
      <c r="AI37" s="163">
        <v>63218.416666666664</v>
      </c>
      <c r="AJ37" s="33">
        <f>22176+22431+3</f>
        <v>44610</v>
      </c>
      <c r="AK37" s="70">
        <f>22462+22963+22370+7</f>
        <v>67802</v>
      </c>
      <c r="AL37" s="23">
        <f>22201+22212+2</f>
        <v>44415</v>
      </c>
      <c r="AM37" s="70">
        <f>22145+22184+11</f>
        <v>44340</v>
      </c>
      <c r="AN37" s="23">
        <f>22079+22121+7</f>
        <v>44207</v>
      </c>
      <c r="AO37" s="70">
        <f>21979+21938+2</f>
        <v>43919</v>
      </c>
      <c r="AP37" s="650">
        <f>43533+6</f>
        <v>43539</v>
      </c>
      <c r="AQ37" s="70">
        <f>65107+3</f>
        <v>65110</v>
      </c>
      <c r="AR37" s="625">
        <f>43433+1</f>
        <v>43434</v>
      </c>
      <c r="AS37" s="70">
        <f>43740+4</f>
        <v>43744</v>
      </c>
      <c r="AT37" s="625">
        <f>44087+3</f>
        <v>44090</v>
      </c>
      <c r="AU37" s="70">
        <f>45031+17</f>
        <v>45048</v>
      </c>
      <c r="AV37" s="137">
        <f>SUM(AJ37:AU37)</f>
        <v>574258</v>
      </c>
      <c r="AW37" s="163">
        <f>SUM(AJ37:AU37)/$AV$4</f>
        <v>47854.833333333336</v>
      </c>
      <c r="AX37" s="33">
        <f>45084+10</f>
        <v>45094</v>
      </c>
      <c r="AY37" s="70">
        <f>66650+13</f>
        <v>66663</v>
      </c>
      <c r="AZ37" s="23">
        <f>43619+41</f>
        <v>43660</v>
      </c>
      <c r="BA37" s="70">
        <f>43675+78</f>
        <v>43753</v>
      </c>
      <c r="BB37" s="23">
        <f>43342+7</f>
        <v>43349</v>
      </c>
      <c r="BC37" s="70">
        <f>43071+34</f>
        <v>43105</v>
      </c>
      <c r="BD37" s="650">
        <f>56522+13</f>
        <v>56535</v>
      </c>
      <c r="BE37" s="70">
        <f>42998+12</f>
        <v>43010</v>
      </c>
      <c r="BF37" s="650">
        <f>43223+15</f>
        <v>43238</v>
      </c>
      <c r="BG37" s="70">
        <f>43834+16</f>
        <v>43850</v>
      </c>
      <c r="BH37" s="650">
        <f>44693+17</f>
        <v>44710</v>
      </c>
      <c r="BI37" s="70">
        <f>69474+16+10</f>
        <v>69500</v>
      </c>
      <c r="BJ37" s="137">
        <f>SUM(AX37:BI37)</f>
        <v>586467</v>
      </c>
      <c r="BK37" s="163">
        <f>SUM(AX37:BI37)/$BJ$4</f>
        <v>48872.25</v>
      </c>
      <c r="BL37" s="859">
        <f>23623+23515+13+100</f>
        <v>47251</v>
      </c>
      <c r="BM37" s="70">
        <f>24029+24480+17</f>
        <v>48526</v>
      </c>
      <c r="BN37" s="23">
        <f>24401+24849+33+6</f>
        <v>49289</v>
      </c>
      <c r="BO37" s="70">
        <f>24734+25229+6+8</f>
        <v>49977</v>
      </c>
      <c r="BP37" s="23">
        <f>25474+25546+6+8</f>
        <v>51034</v>
      </c>
      <c r="BQ37" s="70">
        <f>25509+25406+9+10</f>
        <v>50934</v>
      </c>
      <c r="BR37" s="650">
        <f>25406+25320+25299+8+4</f>
        <v>76037</v>
      </c>
      <c r="BS37" s="70">
        <f>25260+25381+42+12</f>
        <v>50695</v>
      </c>
      <c r="BT37" s="650">
        <f>25479+25470+156</f>
        <v>51105</v>
      </c>
      <c r="BU37" s="650">
        <f>26014+26476+8+1</f>
        <v>52499</v>
      </c>
      <c r="BV37" s="650">
        <f>26539+26764+0</f>
        <v>53303</v>
      </c>
      <c r="BW37" s="650">
        <f>26977+27203+2+2</f>
        <v>54184</v>
      </c>
      <c r="BX37" s="137">
        <f>SUM(BL37:BW37)</f>
        <v>634834</v>
      </c>
      <c r="BY37" s="163">
        <f>SUM(BL37:BW37)/$BX$4</f>
        <v>52902.833333333336</v>
      </c>
      <c r="BZ37" s="650">
        <f>27264+27234+27141+4+2</f>
        <v>81645</v>
      </c>
      <c r="CA37" s="70">
        <f>27089+26999+5+1</f>
        <v>54094</v>
      </c>
      <c r="CB37" s="23">
        <f>26840+26799+7+5</f>
        <v>53651</v>
      </c>
      <c r="CC37" s="70">
        <f>26672+27059+4+7</f>
        <v>53742</v>
      </c>
      <c r="CD37" s="23">
        <f>26628+26682+136+2</f>
        <v>53448</v>
      </c>
      <c r="CE37" s="70">
        <f>26350+26558+26430+2+7</f>
        <v>79347</v>
      </c>
      <c r="CF37" s="650">
        <f>27268+28098+3+2</f>
        <v>55371</v>
      </c>
      <c r="CG37" s="70">
        <f>25696+25533+6+6</f>
        <v>51241</v>
      </c>
      <c r="CH37" s="650">
        <f>25275+25366+12+11</f>
        <v>50664</v>
      </c>
      <c r="CI37" s="650">
        <f>25568+13+25748+4</f>
        <v>51333</v>
      </c>
      <c r="CJ37" s="650">
        <f>25729+25890</f>
        <v>51619</v>
      </c>
      <c r="CK37" s="650">
        <f>25923+25936+25+10</f>
        <v>51894</v>
      </c>
      <c r="CL37" s="137">
        <f>SUM(BZ37:CK37)</f>
        <v>688049</v>
      </c>
      <c r="CM37" s="163">
        <f>SUM(BZ37:CK37)/$CL$4</f>
        <v>57337.416666666664</v>
      </c>
      <c r="CN37" s="650">
        <f>25987+26314+26264+48</f>
        <v>78613</v>
      </c>
      <c r="CO37" s="70">
        <f>26233+22761+17+16</f>
        <v>49027</v>
      </c>
      <c r="CP37" s="23">
        <f>25815+22103+9+18</f>
        <v>47945</v>
      </c>
      <c r="CQ37" s="70">
        <f>25680+25819+10+16</f>
        <v>51525</v>
      </c>
      <c r="CR37" s="23">
        <f>25698+25559+9+8</f>
        <v>51274</v>
      </c>
      <c r="CS37" s="70">
        <f>25440+22794+22668+12+26</f>
        <v>70940</v>
      </c>
      <c r="CT37" s="207">
        <f>27268+28098+3+2</f>
        <v>55371</v>
      </c>
      <c r="CU37" s="70">
        <f>25170+25253+57+35</f>
        <v>50515</v>
      </c>
      <c r="CV37" s="650">
        <f>25315+25476+7+2</f>
        <v>50800</v>
      </c>
      <c r="CW37" s="1062">
        <f>25485+25494+14+2</f>
        <v>50995</v>
      </c>
      <c r="CX37" s="650">
        <f>25525+25526+11+13</f>
        <v>51075</v>
      </c>
      <c r="CY37" s="70">
        <f>25700+26057+26032+9+6</f>
        <v>77804</v>
      </c>
      <c r="CZ37" s="137">
        <f>SUM(CN37:CY37)</f>
        <v>685884</v>
      </c>
      <c r="DA37" s="163">
        <f>SUM(CN37:CY37)/$CZ$4</f>
        <v>57157</v>
      </c>
      <c r="DB37" s="650">
        <f>26150+26087+22+5</f>
        <v>52264</v>
      </c>
      <c r="DC37" s="70">
        <f>26147+26081+19+3</f>
        <v>52250</v>
      </c>
      <c r="DD37" s="23">
        <f>24391+27885+3+4</f>
        <v>52283</v>
      </c>
      <c r="DE37" s="70">
        <f>27782+27685+8+9</f>
        <v>55484</v>
      </c>
      <c r="DF37" s="23">
        <f>27559+27318+5+4</f>
        <v>54886</v>
      </c>
      <c r="DG37" s="70">
        <f>27250+27318+27253+3+15</f>
        <v>81839</v>
      </c>
      <c r="DH37" s="207">
        <f>27171+27227+23+19</f>
        <v>54440</v>
      </c>
      <c r="DI37" s="70">
        <f>27029+27017+15+5</f>
        <v>54066</v>
      </c>
      <c r="DJ37" s="650">
        <f>27000+27166+7+6</f>
        <v>54179</v>
      </c>
      <c r="DK37" s="70">
        <f>27343+27578+16+25</f>
        <v>54962</v>
      </c>
      <c r="DL37" s="650"/>
      <c r="DM37" s="70"/>
      <c r="DN37" s="137">
        <f>SUM(DB37:DM37)</f>
        <v>566653</v>
      </c>
      <c r="DO37" s="163">
        <f>SUM(DB37:DM37)/$DN$4</f>
        <v>56665.3</v>
      </c>
      <c r="DP37" s="650"/>
      <c r="DQ37" s="70"/>
      <c r="DR37" s="23"/>
      <c r="DS37" s="70"/>
      <c r="DT37" s="23"/>
      <c r="DU37" s="70"/>
      <c r="DV37" s="207"/>
      <c r="DW37" s="70"/>
      <c r="DX37" s="650"/>
      <c r="DY37" s="70"/>
      <c r="DZ37" s="650"/>
      <c r="EA37" s="70"/>
      <c r="EB37" s="137">
        <f>SUM(DP37:EA37)</f>
        <v>0</v>
      </c>
      <c r="EC37" s="163" t="e">
        <f>SUM(DP37:EA37)/$EB$4</f>
        <v>#DIV/0!</v>
      </c>
      <c r="ED37" s="674">
        <f>AX37-AU37</f>
        <v>46</v>
      </c>
      <c r="EE37" s="663">
        <f>ED37/AU37</f>
        <v>1.021133013674303E-3</v>
      </c>
      <c r="EF37" s="674">
        <f>AY37-AX37</f>
        <v>21569</v>
      </c>
      <c r="EG37" s="663">
        <f>EF37/AX37</f>
        <v>0.47831197055040581</v>
      </c>
      <c r="EH37" s="674">
        <f>AZ37-AY37</f>
        <v>-23003</v>
      </c>
      <c r="EI37" s="663">
        <f>EH37/AY37</f>
        <v>-0.34506397851881854</v>
      </c>
      <c r="EJ37" s="674">
        <f>BA37-AZ37</f>
        <v>93</v>
      </c>
      <c r="EK37" s="663">
        <f>EJ37/AZ37</f>
        <v>2.1300961978928082E-3</v>
      </c>
      <c r="EL37" s="674">
        <f>BB37-BA37</f>
        <v>-404</v>
      </c>
      <c r="EM37" s="663">
        <f>EL37/BA37</f>
        <v>-9.233652549539461E-3</v>
      </c>
      <c r="EN37" s="674">
        <f>BC37-BB37</f>
        <v>-244</v>
      </c>
      <c r="EO37" s="663">
        <f>EN37/BB37</f>
        <v>-5.628734226856444E-3</v>
      </c>
      <c r="EP37" s="674">
        <f>BD37-BC37</f>
        <v>13430</v>
      </c>
      <c r="EQ37" s="663">
        <f>EP37/BC37</f>
        <v>0.31156478366778795</v>
      </c>
      <c r="ER37" s="674">
        <f>BE37-BD37</f>
        <v>-13525</v>
      </c>
      <c r="ES37" s="663">
        <f>ER37/BD37</f>
        <v>-0.23923233395241886</v>
      </c>
      <c r="ET37" s="674">
        <f>BF37-BE37</f>
        <v>228</v>
      </c>
      <c r="EU37" s="663">
        <f>ET37/BE37</f>
        <v>5.3010927691234597E-3</v>
      </c>
      <c r="EV37" s="674">
        <f>BG37-BF37</f>
        <v>612</v>
      </c>
      <c r="EW37" s="109">
        <f>EV37/BF37</f>
        <v>1.4154216198714095E-2</v>
      </c>
      <c r="EX37" s="674">
        <f>BH37-BG37</f>
        <v>860</v>
      </c>
      <c r="EY37" s="663">
        <f>EX37/BG37</f>
        <v>1.9612314709236033E-2</v>
      </c>
      <c r="EZ37" s="674">
        <f>BI37-BH37</f>
        <v>24790</v>
      </c>
      <c r="FA37" s="663">
        <f>EZ37/BH37</f>
        <v>0.55446208901811678</v>
      </c>
      <c r="FB37" s="674">
        <f>BL37-BI37</f>
        <v>-22249</v>
      </c>
      <c r="FC37" s="663">
        <f>FB37/BI37</f>
        <v>-0.32012949640287769</v>
      </c>
      <c r="FD37" s="324">
        <f>BM37-BL37</f>
        <v>1275</v>
      </c>
      <c r="FE37" s="402">
        <f>FD37/BL37</f>
        <v>2.698355590357876E-2</v>
      </c>
      <c r="FF37" s="324">
        <f>BN37-BM37</f>
        <v>763</v>
      </c>
      <c r="FG37" s="402">
        <f>FF37/BM37</f>
        <v>1.5723529654205991E-2</v>
      </c>
      <c r="FH37" s="324">
        <f>BO37-BN37</f>
        <v>688</v>
      </c>
      <c r="FI37" s="402">
        <f>FH37/BN37</f>
        <v>1.3958489723873481E-2</v>
      </c>
      <c r="FJ37" s="324">
        <f>BP37-BO37</f>
        <v>1057</v>
      </c>
      <c r="FK37" s="402">
        <f>FJ37/BO37</f>
        <v>2.1149728875282631E-2</v>
      </c>
      <c r="FL37" s="324">
        <f>BQ37-BP37</f>
        <v>-100</v>
      </c>
      <c r="FM37" s="402">
        <f>FL37/BP37</f>
        <v>-1.9594779950621154E-3</v>
      </c>
      <c r="FN37" s="324">
        <f>BR37-BQ37</f>
        <v>25103</v>
      </c>
      <c r="FO37" s="402">
        <f>FN37/BQ37</f>
        <v>0.49285349668198059</v>
      </c>
      <c r="FP37" s="324">
        <f>BS37-BR37</f>
        <v>-25342</v>
      </c>
      <c r="FQ37" s="402">
        <f>FP37/BR37</f>
        <v>-0.33328511119586518</v>
      </c>
      <c r="FR37" s="324">
        <f>BT37-BS37</f>
        <v>410</v>
      </c>
      <c r="FS37" s="402">
        <f>FR37/BS37</f>
        <v>8.0875826018345E-3</v>
      </c>
      <c r="FT37" s="324">
        <f>BU37-BT37</f>
        <v>1394</v>
      </c>
      <c r="FU37" s="402">
        <f>FT37/BT37</f>
        <v>2.7277174444770569E-2</v>
      </c>
      <c r="FV37" s="324">
        <f>BV37-BU37</f>
        <v>804</v>
      </c>
      <c r="FW37" s="402">
        <f>FV37/BU37</f>
        <v>1.5314577420522295E-2</v>
      </c>
      <c r="FX37" s="324">
        <f>BW37-BV37</f>
        <v>881</v>
      </c>
      <c r="FY37" s="402">
        <f>FX37/BV37</f>
        <v>1.6528150385531772E-2</v>
      </c>
      <c r="FZ37" s="324">
        <f>BZ37-BW37</f>
        <v>27461</v>
      </c>
      <c r="GA37" s="402">
        <f>FZ37/BW37</f>
        <v>0.50681012845120332</v>
      </c>
      <c r="GB37" s="324">
        <f>CA37-BZ37</f>
        <v>-27551</v>
      </c>
      <c r="GC37" s="402">
        <f>GB37/BZ37</f>
        <v>-0.33744871088247902</v>
      </c>
      <c r="GD37" s="324">
        <f>CB37-CA37</f>
        <v>-443</v>
      </c>
      <c r="GE37" s="402">
        <f>GD37/CA37</f>
        <v>-8.1894479979295297E-3</v>
      </c>
      <c r="GF37" s="324">
        <f>CC37-CB37</f>
        <v>91</v>
      </c>
      <c r="GG37" s="402">
        <f>GF37/CB37</f>
        <v>1.696147322510298E-3</v>
      </c>
      <c r="GH37" s="324">
        <f>CD37-CC37</f>
        <v>-294</v>
      </c>
      <c r="GI37" s="402">
        <f>GH37/CC37</f>
        <v>-5.4705816679691864E-3</v>
      </c>
      <c r="GJ37" s="324">
        <f>CE37-CD37</f>
        <v>25899</v>
      </c>
      <c r="GK37" s="402">
        <f>GJ37/CD37</f>
        <v>0.48456443646160752</v>
      </c>
      <c r="GL37" s="324">
        <f>CF37-CE37</f>
        <v>-23976</v>
      </c>
      <c r="GM37" s="402">
        <f>GL37/CE37</f>
        <v>-0.30216643351355438</v>
      </c>
      <c r="GN37" s="324">
        <f>CG37-CF37</f>
        <v>-4130</v>
      </c>
      <c r="GO37" s="402">
        <f>GN37/CF37</f>
        <v>-7.4587780607177037E-2</v>
      </c>
      <c r="GP37" s="324">
        <f>CH37-CG37</f>
        <v>-577</v>
      </c>
      <c r="GQ37" s="402">
        <f>GP37/CG37</f>
        <v>-1.1260514041490213E-2</v>
      </c>
      <c r="GR37" s="324">
        <f>CI37-CH37</f>
        <v>669</v>
      </c>
      <c r="GS37" s="402">
        <f>GR37/CH37</f>
        <v>1.3204642349597347E-2</v>
      </c>
      <c r="GT37" s="324">
        <f>CJ37-CI37</f>
        <v>286</v>
      </c>
      <c r="GU37" s="402">
        <f>GT37/CI37</f>
        <v>5.5714647497711028E-3</v>
      </c>
      <c r="GV37" s="324">
        <f>CK37-CJ37</f>
        <v>275</v>
      </c>
      <c r="GW37" s="402">
        <f>GV37/CJ37</f>
        <v>5.3274956895716695E-3</v>
      </c>
      <c r="GX37" s="324">
        <f>CN37-CK37</f>
        <v>26719</v>
      </c>
      <c r="GY37" s="402">
        <f>GX37/CK37</f>
        <v>0.5148764789763749</v>
      </c>
      <c r="GZ37" s="324">
        <f>CO37-CN37</f>
        <v>-29586</v>
      </c>
      <c r="HA37" s="402">
        <f>GZ37/CN37</f>
        <v>-0.37634996756261685</v>
      </c>
      <c r="HB37" s="324">
        <f>CP37-CO37</f>
        <v>-1082</v>
      </c>
      <c r="HC37" s="402">
        <f>HB37/CO37</f>
        <v>-2.2069471923633916E-2</v>
      </c>
      <c r="HD37" s="324">
        <f>CQ37-CP37</f>
        <v>3580</v>
      </c>
      <c r="HE37" s="402">
        <f>HD37/CP37</f>
        <v>7.4668891438106164E-2</v>
      </c>
      <c r="HF37" s="324">
        <f>CR37-CQ37</f>
        <v>-251</v>
      </c>
      <c r="HG37" s="402">
        <f>HF37/CQ37</f>
        <v>-4.8714216399805919E-3</v>
      </c>
      <c r="HH37" s="324">
        <f>CS37-CR37</f>
        <v>19666</v>
      </c>
      <c r="HI37" s="402">
        <f>HH37/CR37</f>
        <v>0.38354721691305532</v>
      </c>
      <c r="HJ37" s="324">
        <f>CT37-CS37</f>
        <v>-15569</v>
      </c>
      <c r="HK37" s="402">
        <f>HJ37/CS37</f>
        <v>-0.21946715534254299</v>
      </c>
      <c r="HL37" s="324">
        <f t="shared" ref="HL37:HL43" si="728">CU37-CT37</f>
        <v>-4856</v>
      </c>
      <c r="HM37" s="402">
        <f>HL37/CT37</f>
        <v>-8.7699337198172328E-2</v>
      </c>
      <c r="HN37" s="324">
        <f t="shared" ref="HN37:HN43" si="729">CV37-CU37</f>
        <v>285</v>
      </c>
      <c r="HO37" s="402">
        <f>HN37/CU37</f>
        <v>5.6418885479560523E-3</v>
      </c>
      <c r="HP37" s="324">
        <f>CW37-CV37</f>
        <v>195</v>
      </c>
      <c r="HQ37" s="402">
        <f>HP37/CV37</f>
        <v>3.8385826771653543E-3</v>
      </c>
      <c r="HR37" s="324">
        <f>CX37-CW37</f>
        <v>80</v>
      </c>
      <c r="HS37" s="402">
        <f>HR37/CW37</f>
        <v>1.5687812530640259E-3</v>
      </c>
      <c r="HT37" s="324">
        <f>CY37-CX37</f>
        <v>26729</v>
      </c>
      <c r="HU37" s="402">
        <f>HT37/CX37</f>
        <v>0.5233284385707293</v>
      </c>
      <c r="HV37" s="324">
        <f>DB37-CY37</f>
        <v>-25540</v>
      </c>
      <c r="HW37" s="402">
        <f>HV37/CY37</f>
        <v>-0.32826075780165542</v>
      </c>
      <c r="HX37" s="324">
        <f>DC37-DB37</f>
        <v>-14</v>
      </c>
      <c r="HY37" s="402">
        <f>HX37/DB37</f>
        <v>-2.678708097351906E-4</v>
      </c>
      <c r="HZ37" s="324">
        <f>DD37-DC37</f>
        <v>33</v>
      </c>
      <c r="IA37" s="402">
        <f>HZ37/DD37</f>
        <v>6.3118030717441618E-4</v>
      </c>
      <c r="IB37" s="324">
        <f>DE37-DD37</f>
        <v>3201</v>
      </c>
      <c r="IC37" s="402">
        <f>IB37/DD37</f>
        <v>6.1224489795918366E-2</v>
      </c>
      <c r="ID37" s="324">
        <f>DF37-DE37</f>
        <v>-598</v>
      </c>
      <c r="IE37" s="402">
        <f>ID37/DO37</f>
        <v>-1.0553195694719696E-2</v>
      </c>
      <c r="IF37" s="324">
        <f>DG37-DF37</f>
        <v>26953</v>
      </c>
      <c r="IG37" s="402">
        <f>IF37/DF37</f>
        <v>0.49107240462048612</v>
      </c>
      <c r="IH37" s="324">
        <f>DH37-DG37</f>
        <v>-27399</v>
      </c>
      <c r="II37" s="402">
        <f>IH37/DG37</f>
        <v>-0.33479148083432103</v>
      </c>
      <c r="IJ37" s="324">
        <f>DI37-DH37</f>
        <v>-374</v>
      </c>
      <c r="IK37" s="402">
        <f>IJ37/DH37</f>
        <v>-6.8699485672299781E-3</v>
      </c>
      <c r="IL37" s="324">
        <f>DJ37-DI37</f>
        <v>113</v>
      </c>
      <c r="IM37" s="402">
        <f>IL37/DI37</f>
        <v>2.090038101579551E-3</v>
      </c>
      <c r="IN37" s="324">
        <f>DK37-DJ37</f>
        <v>783</v>
      </c>
      <c r="IO37" s="402">
        <f>IN37/DJ37</f>
        <v>1.4452093984754241E-2</v>
      </c>
      <c r="IP37" s="324">
        <f>DL37-DK37</f>
        <v>-54962</v>
      </c>
      <c r="IQ37" s="402">
        <f t="shared" ref="IQ37:IQ40" si="730">IP37/EI37</f>
        <v>159280.60713819935</v>
      </c>
      <c r="IR37" s="324">
        <f t="shared" ref="IR37:IR43" si="731">EK37-EJ37</f>
        <v>-92.997869903802112</v>
      </c>
      <c r="IS37" s="402">
        <f>IR37/EJ37</f>
        <v>-0.99997709573980764</v>
      </c>
      <c r="IT37" s="650">
        <f>CW37</f>
        <v>50995</v>
      </c>
      <c r="IU37" s="1070">
        <f>DK37</f>
        <v>54962</v>
      </c>
      <c r="IV37" s="122">
        <f>IU37-IT37</f>
        <v>3967</v>
      </c>
      <c r="IW37" s="109">
        <f>IF(ISERROR(IV37/IT37),0,IV37/IT37)</f>
        <v>7.7791940386312389E-2</v>
      </c>
      <c r="IX37" s="698"/>
      <c r="IY37" s="698"/>
      <c r="IZ37" s="698"/>
      <c r="JA37" t="str">
        <f>E37</f>
        <v>Bi Weekly Payrolls</v>
      </c>
      <c r="JB37" s="262" t="e">
        <f>#REF!</f>
        <v>#REF!</v>
      </c>
      <c r="JC37" s="262" t="e">
        <f>#REF!</f>
        <v>#REF!</v>
      </c>
      <c r="JD37" s="262" t="e">
        <f>#REF!</f>
        <v>#REF!</v>
      </c>
      <c r="JE37" s="262" t="e">
        <f>#REF!</f>
        <v>#REF!</v>
      </c>
      <c r="JF37" s="262" t="e">
        <f>#REF!</f>
        <v>#REF!</v>
      </c>
      <c r="JG37" s="262" t="e">
        <f>#REF!</f>
        <v>#REF!</v>
      </c>
      <c r="JH37" s="262" t="e">
        <f>#REF!</f>
        <v>#REF!</v>
      </c>
      <c r="JI37" s="262" t="e">
        <f>#REF!</f>
        <v>#REF!</v>
      </c>
      <c r="JJ37" s="262" t="e">
        <f>#REF!</f>
        <v>#REF!</v>
      </c>
      <c r="JK37" s="262" t="e">
        <f>#REF!</f>
        <v>#REF!</v>
      </c>
      <c r="JL37" s="262" t="e">
        <f>#REF!</f>
        <v>#REF!</v>
      </c>
      <c r="JM37" s="263">
        <f t="shared" ref="JM37:JX40" si="732">AJ37</f>
        <v>44610</v>
      </c>
      <c r="JN37" s="263">
        <f t="shared" si="732"/>
        <v>67802</v>
      </c>
      <c r="JO37" s="263">
        <f t="shared" si="732"/>
        <v>44415</v>
      </c>
      <c r="JP37" s="263">
        <f t="shared" si="732"/>
        <v>44340</v>
      </c>
      <c r="JQ37" s="263">
        <f t="shared" si="732"/>
        <v>44207</v>
      </c>
      <c r="JR37" s="263">
        <f t="shared" si="732"/>
        <v>43919</v>
      </c>
      <c r="JS37" s="263">
        <f t="shared" si="732"/>
        <v>43539</v>
      </c>
      <c r="JT37" s="263">
        <f t="shared" si="732"/>
        <v>65110</v>
      </c>
      <c r="JU37" s="263">
        <f t="shared" si="732"/>
        <v>43434</v>
      </c>
      <c r="JV37" s="263">
        <f t="shared" si="732"/>
        <v>43744</v>
      </c>
      <c r="JW37" s="263">
        <f t="shared" si="732"/>
        <v>44090</v>
      </c>
      <c r="JX37" s="263">
        <f t="shared" si="732"/>
        <v>45048</v>
      </c>
      <c r="JY37" s="263">
        <f t="shared" ref="JY37:KJ40" si="733">AX37</f>
        <v>45094</v>
      </c>
      <c r="JZ37" s="263">
        <f t="shared" si="733"/>
        <v>66663</v>
      </c>
      <c r="KA37" s="263">
        <f t="shared" si="733"/>
        <v>43660</v>
      </c>
      <c r="KB37" s="263">
        <f t="shared" si="733"/>
        <v>43753</v>
      </c>
      <c r="KC37" s="263">
        <f t="shared" si="733"/>
        <v>43349</v>
      </c>
      <c r="KD37" s="263">
        <f t="shared" si="733"/>
        <v>43105</v>
      </c>
      <c r="KE37" s="263">
        <f t="shared" si="733"/>
        <v>56535</v>
      </c>
      <c r="KF37" s="263">
        <f t="shared" si="733"/>
        <v>43010</v>
      </c>
      <c r="KG37" s="263">
        <f t="shared" si="733"/>
        <v>43238</v>
      </c>
      <c r="KH37" s="263">
        <f t="shared" si="733"/>
        <v>43850</v>
      </c>
      <c r="KI37" s="263">
        <f t="shared" si="733"/>
        <v>44710</v>
      </c>
      <c r="KJ37" s="263">
        <f t="shared" si="733"/>
        <v>69500</v>
      </c>
      <c r="KK37" s="788">
        <f t="shared" ref="KK37:KV40" si="734">BL37</f>
        <v>47251</v>
      </c>
      <c r="KL37" s="788">
        <f t="shared" si="734"/>
        <v>48526</v>
      </c>
      <c r="KM37" s="788">
        <f t="shared" si="734"/>
        <v>49289</v>
      </c>
      <c r="KN37" s="788">
        <f t="shared" si="734"/>
        <v>49977</v>
      </c>
      <c r="KO37" s="788">
        <f t="shared" si="734"/>
        <v>51034</v>
      </c>
      <c r="KP37" s="788">
        <f t="shared" si="734"/>
        <v>50934</v>
      </c>
      <c r="KQ37" s="788">
        <f t="shared" si="734"/>
        <v>76037</v>
      </c>
      <c r="KR37" s="788">
        <f t="shared" si="734"/>
        <v>50695</v>
      </c>
      <c r="KS37" s="788">
        <f t="shared" si="734"/>
        <v>51105</v>
      </c>
      <c r="KT37" s="788">
        <f t="shared" si="734"/>
        <v>52499</v>
      </c>
      <c r="KU37" s="788">
        <f t="shared" si="734"/>
        <v>53303</v>
      </c>
      <c r="KV37" s="788">
        <f t="shared" si="734"/>
        <v>54184</v>
      </c>
      <c r="KW37" s="900">
        <f t="shared" ref="KW37:LH40" si="735">BZ37</f>
        <v>81645</v>
      </c>
      <c r="KX37" s="900">
        <f t="shared" si="735"/>
        <v>54094</v>
      </c>
      <c r="KY37" s="900">
        <f t="shared" si="735"/>
        <v>53651</v>
      </c>
      <c r="KZ37" s="900">
        <f t="shared" si="735"/>
        <v>53742</v>
      </c>
      <c r="LA37" s="900">
        <f t="shared" si="735"/>
        <v>53448</v>
      </c>
      <c r="LB37" s="900">
        <f t="shared" si="735"/>
        <v>79347</v>
      </c>
      <c r="LC37" s="900">
        <f t="shared" si="735"/>
        <v>55371</v>
      </c>
      <c r="LD37" s="900">
        <f t="shared" si="735"/>
        <v>51241</v>
      </c>
      <c r="LE37" s="900">
        <f t="shared" si="735"/>
        <v>50664</v>
      </c>
      <c r="LF37" s="900">
        <f t="shared" si="735"/>
        <v>51333</v>
      </c>
      <c r="LG37" s="900">
        <f t="shared" si="735"/>
        <v>51619</v>
      </c>
      <c r="LH37" s="900">
        <f t="shared" si="735"/>
        <v>51894</v>
      </c>
      <c r="LI37" s="959">
        <f t="shared" ref="LI37:LT40" si="736">CN37</f>
        <v>78613</v>
      </c>
      <c r="LJ37" s="959">
        <f t="shared" si="736"/>
        <v>49027</v>
      </c>
      <c r="LK37" s="959">
        <f t="shared" si="736"/>
        <v>47945</v>
      </c>
      <c r="LL37" s="959">
        <f t="shared" si="736"/>
        <v>51525</v>
      </c>
      <c r="LM37" s="959">
        <f t="shared" si="736"/>
        <v>51274</v>
      </c>
      <c r="LN37" s="959">
        <f t="shared" si="736"/>
        <v>70940</v>
      </c>
      <c r="LO37" s="959">
        <f t="shared" si="736"/>
        <v>55371</v>
      </c>
      <c r="LP37" s="959">
        <f t="shared" si="736"/>
        <v>50515</v>
      </c>
      <c r="LQ37" s="959">
        <f t="shared" si="736"/>
        <v>50800</v>
      </c>
      <c r="LR37" s="959">
        <f t="shared" si="736"/>
        <v>50995</v>
      </c>
      <c r="LS37" s="959">
        <f t="shared" si="736"/>
        <v>51075</v>
      </c>
      <c r="LT37" s="959">
        <f t="shared" si="736"/>
        <v>77804</v>
      </c>
      <c r="LU37" s="1155">
        <f t="shared" ref="LU37:MF40" si="737">DB37</f>
        <v>52264</v>
      </c>
      <c r="LV37" s="1155">
        <f t="shared" si="737"/>
        <v>52250</v>
      </c>
      <c r="LW37" s="1155">
        <f t="shared" si="737"/>
        <v>52283</v>
      </c>
      <c r="LX37" s="1155">
        <f t="shared" si="737"/>
        <v>55484</v>
      </c>
      <c r="LY37" s="1155">
        <f t="shared" si="737"/>
        <v>54886</v>
      </c>
      <c r="LZ37" s="1155">
        <f t="shared" si="737"/>
        <v>81839</v>
      </c>
      <c r="MA37" s="1155">
        <f t="shared" si="737"/>
        <v>54440</v>
      </c>
      <c r="MB37" s="1155">
        <f t="shared" si="737"/>
        <v>54066</v>
      </c>
      <c r="MC37" s="1155">
        <f t="shared" si="737"/>
        <v>54179</v>
      </c>
      <c r="MD37" s="1155">
        <f t="shared" si="737"/>
        <v>54962</v>
      </c>
      <c r="ME37" s="1155">
        <f t="shared" si="737"/>
        <v>0</v>
      </c>
      <c r="MF37" s="1155">
        <f t="shared" si="737"/>
        <v>0</v>
      </c>
      <c r="MG37" s="1177">
        <f t="shared" ref="MG37:MP40" si="738">DP37</f>
        <v>0</v>
      </c>
      <c r="MH37" s="1177">
        <f t="shared" si="738"/>
        <v>0</v>
      </c>
      <c r="MI37" s="1177">
        <f t="shared" si="738"/>
        <v>0</v>
      </c>
      <c r="MJ37" s="1177">
        <f t="shared" si="738"/>
        <v>0</v>
      </c>
      <c r="MK37" s="1177">
        <f t="shared" si="738"/>
        <v>0</v>
      </c>
      <c r="ML37" s="1177">
        <f t="shared" si="738"/>
        <v>0</v>
      </c>
      <c r="MM37" s="1177">
        <f t="shared" si="738"/>
        <v>0</v>
      </c>
      <c r="MN37" s="1177">
        <f t="shared" si="738"/>
        <v>0</v>
      </c>
      <c r="MO37" s="1177">
        <f t="shared" si="738"/>
        <v>0</v>
      </c>
      <c r="MP37" s="1177">
        <f t="shared" si="738"/>
        <v>0</v>
      </c>
      <c r="MQ37" s="1177">
        <f t="shared" ref="MQ37:MR40" si="739">DZ37</f>
        <v>0</v>
      </c>
      <c r="MR37" s="1177">
        <f t="shared" si="739"/>
        <v>0</v>
      </c>
    </row>
    <row r="38" spans="1:356" s="2" customFormat="1" x14ac:dyDescent="0.25">
      <c r="A38" s="764"/>
      <c r="B38" s="56">
        <v>5.2</v>
      </c>
      <c r="C38" s="7"/>
      <c r="D38" s="119"/>
      <c r="E38" s="1217" t="s">
        <v>233</v>
      </c>
      <c r="F38" s="1217"/>
      <c r="G38" s="1218"/>
      <c r="H38" s="368">
        <v>66733</v>
      </c>
      <c r="I38" s="70">
        <v>66715</v>
      </c>
      <c r="J38" s="23">
        <v>67191</v>
      </c>
      <c r="K38" s="70">
        <v>66846</v>
      </c>
      <c r="L38" s="23">
        <v>67040</v>
      </c>
      <c r="M38" s="70">
        <v>66917</v>
      </c>
      <c r="N38" s="23">
        <v>67098</v>
      </c>
      <c r="O38" s="70">
        <v>66733</v>
      </c>
      <c r="P38" s="23">
        <v>67200</v>
      </c>
      <c r="Q38" s="70">
        <v>67343</v>
      </c>
      <c r="R38" s="23">
        <v>66228</v>
      </c>
      <c r="S38" s="70">
        <v>65584</v>
      </c>
      <c r="T38" s="137">
        <v>801628</v>
      </c>
      <c r="U38" s="163">
        <v>66802.333333333328</v>
      </c>
      <c r="V38" s="368">
        <f>65706+31</f>
        <v>65737</v>
      </c>
      <c r="W38" s="70">
        <f>65039+20</f>
        <v>65059</v>
      </c>
      <c r="X38" s="23">
        <f>64599+67</f>
        <v>64666</v>
      </c>
      <c r="Y38" s="70">
        <f>64358+4</f>
        <v>64362</v>
      </c>
      <c r="Z38" s="23">
        <v>64525</v>
      </c>
      <c r="AA38" s="70">
        <v>63982</v>
      </c>
      <c r="AB38" s="23">
        <v>63928</v>
      </c>
      <c r="AC38" s="70">
        <v>66882</v>
      </c>
      <c r="AD38" s="23">
        <v>64031</v>
      </c>
      <c r="AE38" s="70">
        <v>63748</v>
      </c>
      <c r="AF38" s="23">
        <v>63745</v>
      </c>
      <c r="AG38" s="70">
        <v>67045</v>
      </c>
      <c r="AH38" s="137">
        <v>777710</v>
      </c>
      <c r="AI38" s="163">
        <v>64809.166666666664</v>
      </c>
      <c r="AJ38" s="368">
        <f>66922+17</f>
        <v>66939</v>
      </c>
      <c r="AK38" s="70">
        <f>67074+13</f>
        <v>67087</v>
      </c>
      <c r="AL38" s="23">
        <f>66956+19</f>
        <v>66975</v>
      </c>
      <c r="AM38" s="70">
        <f>67117+10</f>
        <v>67127</v>
      </c>
      <c r="AN38" s="23">
        <f>67077+13</f>
        <v>67090</v>
      </c>
      <c r="AO38" s="70">
        <f>67166+21</f>
        <v>67187</v>
      </c>
      <c r="AP38" s="625">
        <f>67462+19</f>
        <v>67481</v>
      </c>
      <c r="AQ38" s="70">
        <f>67387+11</f>
        <v>67398</v>
      </c>
      <c r="AR38" s="625">
        <f>67501+9</f>
        <v>67510</v>
      </c>
      <c r="AS38" s="70">
        <f>67557+15</f>
        <v>67572</v>
      </c>
      <c r="AT38" s="625">
        <f>67496+17</f>
        <v>67513</v>
      </c>
      <c r="AU38" s="70">
        <f>67373+15</f>
        <v>67388</v>
      </c>
      <c r="AV38" s="137">
        <f>SUM(AJ38:AU38)</f>
        <v>807267</v>
      </c>
      <c r="AW38" s="163">
        <f>SUM(AJ38:AU38)/$AV$4</f>
        <v>67272.25</v>
      </c>
      <c r="AX38" s="368">
        <f>67288+17</f>
        <v>67305</v>
      </c>
      <c r="AY38" s="70">
        <f>67171+9</f>
        <v>67180</v>
      </c>
      <c r="AZ38" s="23">
        <f>67029+27</f>
        <v>67056</v>
      </c>
      <c r="BA38" s="70">
        <f>66890+8</f>
        <v>66898</v>
      </c>
      <c r="BB38" s="23">
        <f>66764+6</f>
        <v>66770</v>
      </c>
      <c r="BC38" s="70">
        <f>66681+8</f>
        <v>66689</v>
      </c>
      <c r="BD38" s="625">
        <f>66719+14</f>
        <v>66733</v>
      </c>
      <c r="BE38" s="70">
        <f>66521+9</f>
        <v>66530</v>
      </c>
      <c r="BF38" s="625">
        <f>66520+17</f>
        <v>66537</v>
      </c>
      <c r="BG38" s="70">
        <f>66589+16</f>
        <v>66605</v>
      </c>
      <c r="BH38" s="625">
        <f>66585+8</f>
        <v>66593</v>
      </c>
      <c r="BI38" s="70">
        <f>66693+10</f>
        <v>66703</v>
      </c>
      <c r="BJ38" s="137">
        <f>SUM(AX38:BI38)</f>
        <v>801599</v>
      </c>
      <c r="BK38" s="163">
        <f>SUM(AX38:BI38)/$BJ$4</f>
        <v>66799.916666666672</v>
      </c>
      <c r="BL38" s="368">
        <f>66572+11</f>
        <v>66583</v>
      </c>
      <c r="BM38" s="70">
        <f>66873+15</f>
        <v>66888</v>
      </c>
      <c r="BN38" s="23">
        <f>66551+35</f>
        <v>66586</v>
      </c>
      <c r="BO38" s="70">
        <f>66612+11</f>
        <v>66623</v>
      </c>
      <c r="BP38" s="23">
        <f>66427+3</f>
        <v>66430</v>
      </c>
      <c r="BQ38" s="70">
        <f>66332+27</f>
        <v>66359</v>
      </c>
      <c r="BR38" s="625">
        <f>66523+7</f>
        <v>66530</v>
      </c>
      <c r="BS38" s="70">
        <f>66345+12</f>
        <v>66357</v>
      </c>
      <c r="BT38" s="625">
        <f>66366+0</f>
        <v>66366</v>
      </c>
      <c r="BU38" s="625">
        <f>66482+8</f>
        <v>66490</v>
      </c>
      <c r="BV38" s="625">
        <f>66527+6</f>
        <v>66533</v>
      </c>
      <c r="BW38" s="625">
        <f>66927+23</f>
        <v>66950</v>
      </c>
      <c r="BX38" s="137">
        <f>SUM(BL38:BW38)</f>
        <v>798695</v>
      </c>
      <c r="BY38" s="163">
        <f>SUM(BL38:BW38)/$BX$4</f>
        <v>66557.916666666672</v>
      </c>
      <c r="BZ38" s="625">
        <f>66954+18</f>
        <v>66972</v>
      </c>
      <c r="CA38" s="70">
        <f>67062+25</f>
        <v>67087</v>
      </c>
      <c r="CB38" s="23">
        <f>66988+16</f>
        <v>67004</v>
      </c>
      <c r="CC38" s="70">
        <f>66969+14</f>
        <v>66983</v>
      </c>
      <c r="CD38" s="23">
        <f>67009+27</f>
        <v>67036</v>
      </c>
      <c r="CE38" s="70">
        <f>67538+45</f>
        <v>67583</v>
      </c>
      <c r="CF38" s="625">
        <f>67300+6</f>
        <v>67306</v>
      </c>
      <c r="CG38" s="70">
        <f>67336+36</f>
        <v>67372</v>
      </c>
      <c r="CH38" s="625">
        <f>67304+25</f>
        <v>67329</v>
      </c>
      <c r="CI38" s="625">
        <f>67231+27</f>
        <v>67258</v>
      </c>
      <c r="CJ38" s="625">
        <f>67189+24</f>
        <v>67213</v>
      </c>
      <c r="CK38" s="625">
        <f>67388+16</f>
        <v>67404</v>
      </c>
      <c r="CL38" s="137">
        <f>SUM(BZ38:CK38)</f>
        <v>806547</v>
      </c>
      <c r="CM38" s="163">
        <f>SUM(BZ38:CK38)/$CL$4</f>
        <v>67212.25</v>
      </c>
      <c r="CN38" s="625">
        <f>67161+16</f>
        <v>67177</v>
      </c>
      <c r="CO38" s="70">
        <f>67163+16</f>
        <v>67179</v>
      </c>
      <c r="CP38" s="23">
        <f>67074+10</f>
        <v>67084</v>
      </c>
      <c r="CQ38" s="70">
        <f>67612+16</f>
        <v>67628</v>
      </c>
      <c r="CR38" s="23">
        <f>67316+18</f>
        <v>67334</v>
      </c>
      <c r="CS38" s="70">
        <f>67503+20</f>
        <v>67523</v>
      </c>
      <c r="CT38" s="207">
        <f>67300+6</f>
        <v>67306</v>
      </c>
      <c r="CU38" s="70">
        <f>67826+10</f>
        <v>67836</v>
      </c>
      <c r="CV38" s="625">
        <f>67885+9</f>
        <v>67894</v>
      </c>
      <c r="CW38" s="1062">
        <f>67938+15</f>
        <v>67953</v>
      </c>
      <c r="CX38" s="625">
        <f>68036+23</f>
        <v>68059</v>
      </c>
      <c r="CY38" s="70">
        <f>68086+12</f>
        <v>68098</v>
      </c>
      <c r="CZ38" s="137">
        <f>SUM(CN38:CY38)</f>
        <v>811071</v>
      </c>
      <c r="DA38" s="163">
        <f>SUM(CN38:CY38)/$CZ$4</f>
        <v>67589.25</v>
      </c>
      <c r="DB38" s="625">
        <f>68057+12</f>
        <v>68069</v>
      </c>
      <c r="DC38" s="70">
        <f>68169+20</f>
        <v>68189</v>
      </c>
      <c r="DD38" s="23">
        <f>68135+39</f>
        <v>68174</v>
      </c>
      <c r="DE38" s="70">
        <f>68188+24</f>
        <v>68212</v>
      </c>
      <c r="DF38" s="23">
        <f>68206+20</f>
        <v>68226</v>
      </c>
      <c r="DG38" s="70">
        <f>68814+21</f>
        <v>68835</v>
      </c>
      <c r="DH38" s="207">
        <f>68303+6</f>
        <v>68309</v>
      </c>
      <c r="DI38" s="70">
        <f>68345+15</f>
        <v>68360</v>
      </c>
      <c r="DJ38" s="625">
        <f>68243+10</f>
        <v>68253</v>
      </c>
      <c r="DK38" s="70">
        <f>68227+15</f>
        <v>68242</v>
      </c>
      <c r="DL38" s="625"/>
      <c r="DM38" s="70"/>
      <c r="DN38" s="137">
        <f>SUM(DB38:DM38)</f>
        <v>682869</v>
      </c>
      <c r="DO38" s="163">
        <f>SUM(DB38:DM38)/$DN$4</f>
        <v>68286.899999999994</v>
      </c>
      <c r="DP38" s="625"/>
      <c r="DQ38" s="70"/>
      <c r="DR38" s="23"/>
      <c r="DS38" s="70"/>
      <c r="DT38" s="23"/>
      <c r="DU38" s="70"/>
      <c r="DV38" s="207"/>
      <c r="DW38" s="70"/>
      <c r="DX38" s="625"/>
      <c r="DY38" s="70"/>
      <c r="DZ38" s="625"/>
      <c r="EA38" s="70"/>
      <c r="EB38" s="137">
        <f>SUM(DP38:EA38)</f>
        <v>0</v>
      </c>
      <c r="EC38" s="163" t="e">
        <f>SUM(DP38:EA38)/$EB$4</f>
        <v>#DIV/0!</v>
      </c>
      <c r="ED38" s="674">
        <f>AX38-AU38</f>
        <v>-83</v>
      </c>
      <c r="EE38" s="663">
        <f>ED38/AU38</f>
        <v>-1.2316732949486555E-3</v>
      </c>
      <c r="EF38" s="674">
        <f>AY38-AX38</f>
        <v>-125</v>
      </c>
      <c r="EG38" s="663">
        <f>EF38/AX38</f>
        <v>-1.8572171458286903E-3</v>
      </c>
      <c r="EH38" s="674">
        <f>AZ38-AY38</f>
        <v>-124</v>
      </c>
      <c r="EI38" s="663">
        <f>EH38/AY38</f>
        <v>-1.8457874367371241E-3</v>
      </c>
      <c r="EJ38" s="674">
        <f>BA38-AZ38</f>
        <v>-158</v>
      </c>
      <c r="EK38" s="663">
        <f>EJ38/AZ38</f>
        <v>-2.3562395609639706E-3</v>
      </c>
      <c r="EL38" s="674">
        <f>BB38-BA38</f>
        <v>-128</v>
      </c>
      <c r="EM38" s="663">
        <f>EL38/BA38</f>
        <v>-1.9133606385841131E-3</v>
      </c>
      <c r="EN38" s="674">
        <f>BC38-BB38</f>
        <v>-81</v>
      </c>
      <c r="EO38" s="663">
        <f>EN38/BB38</f>
        <v>-1.2131196645199941E-3</v>
      </c>
      <c r="EP38" s="674">
        <f>BD38-BC38</f>
        <v>44</v>
      </c>
      <c r="EQ38" s="663">
        <f>EP38/BC38</f>
        <v>6.5977897404369539E-4</v>
      </c>
      <c r="ER38" s="674">
        <f>BE38-BD38</f>
        <v>-203</v>
      </c>
      <c r="ES38" s="663">
        <f>ER38/BD38</f>
        <v>-3.0419732366295535E-3</v>
      </c>
      <c r="ET38" s="674">
        <f>BF38-BE38</f>
        <v>7</v>
      </c>
      <c r="EU38" s="663">
        <f>ET38/BE38</f>
        <v>1.0521569216894635E-4</v>
      </c>
      <c r="EV38" s="674">
        <f>BG38-BF38</f>
        <v>68</v>
      </c>
      <c r="EW38" s="109">
        <f>EV38/BF38</f>
        <v>1.0219877662052692E-3</v>
      </c>
      <c r="EX38" s="674">
        <f>BH38-BG38</f>
        <v>-12</v>
      </c>
      <c r="EY38" s="663">
        <f>EX38/BG38</f>
        <v>-1.8016665415509345E-4</v>
      </c>
      <c r="EZ38" s="674">
        <f>BI38-BH38</f>
        <v>110</v>
      </c>
      <c r="FA38" s="663">
        <f>EZ38/BH38</f>
        <v>1.6518252669199466E-3</v>
      </c>
      <c r="FB38" s="674">
        <f>BL38-BI38</f>
        <v>-120</v>
      </c>
      <c r="FC38" s="663">
        <f>FB38/BI38</f>
        <v>-1.7990195343537772E-3</v>
      </c>
      <c r="FD38" s="324">
        <f>BM38-BL38</f>
        <v>305</v>
      </c>
      <c r="FE38" s="402">
        <f>FD38/BL38</f>
        <v>4.5807488397939418E-3</v>
      </c>
      <c r="FF38" s="324">
        <f>BN38-BM38</f>
        <v>-302</v>
      </c>
      <c r="FG38" s="402">
        <f>FF38/BM38</f>
        <v>-4.5150101662480568E-3</v>
      </c>
      <c r="FH38" s="324">
        <f>BO38-BN38</f>
        <v>37</v>
      </c>
      <c r="FI38" s="402">
        <f>FH38/BN38</f>
        <v>5.5567236355990744E-4</v>
      </c>
      <c r="FJ38" s="324">
        <f>BP38-BO38</f>
        <v>-193</v>
      </c>
      <c r="FK38" s="402">
        <f>FJ38/BO38</f>
        <v>-2.896897467841436E-3</v>
      </c>
      <c r="FL38" s="324">
        <f>BQ38-BP38</f>
        <v>-71</v>
      </c>
      <c r="FM38" s="402">
        <f>FL38/BP38</f>
        <v>-1.0687942194791511E-3</v>
      </c>
      <c r="FN38" s="324">
        <f>BR38-BQ38</f>
        <v>171</v>
      </c>
      <c r="FO38" s="402">
        <f>FN38/BQ38</f>
        <v>2.5768923582332464E-3</v>
      </c>
      <c r="FP38" s="324">
        <f>BS38-BR38</f>
        <v>-173</v>
      </c>
      <c r="FQ38" s="402">
        <f>FP38/BR38</f>
        <v>-2.6003306778896737E-3</v>
      </c>
      <c r="FR38" s="324">
        <f>BT38-BS38</f>
        <v>9</v>
      </c>
      <c r="FS38" s="402">
        <f>FR38/BS38</f>
        <v>1.356300013563E-4</v>
      </c>
      <c r="FT38" s="324">
        <f>BU38-BT38</f>
        <v>124</v>
      </c>
      <c r="FU38" s="402">
        <f>FT38/BT38</f>
        <v>1.8684266039839677E-3</v>
      </c>
      <c r="FV38" s="324">
        <f>BV38-BU38</f>
        <v>43</v>
      </c>
      <c r="FW38" s="402">
        <f>FV38/BU38</f>
        <v>6.4671379154760116E-4</v>
      </c>
      <c r="FX38" s="324">
        <f>BW38-BV38</f>
        <v>417</v>
      </c>
      <c r="FY38" s="402">
        <f>FX38/BV38</f>
        <v>6.2675664707739021E-3</v>
      </c>
      <c r="FZ38" s="324">
        <f>BZ38-BW38</f>
        <v>22</v>
      </c>
      <c r="GA38" s="402">
        <f>FZ38/BW38</f>
        <v>3.2860343539955193E-4</v>
      </c>
      <c r="GB38" s="324">
        <f>CA38-BZ38</f>
        <v>115</v>
      </c>
      <c r="GC38" s="402">
        <f>GB38/BZ38</f>
        <v>1.7171355193215075E-3</v>
      </c>
      <c r="GD38" s="324">
        <f>CB38-CA38</f>
        <v>-83</v>
      </c>
      <c r="GE38" s="402">
        <f>GD38/CA38</f>
        <v>-1.2371994574209609E-3</v>
      </c>
      <c r="GF38" s="324">
        <f>CC38-CB38</f>
        <v>-21</v>
      </c>
      <c r="GG38" s="402">
        <f>GF38/CB38</f>
        <v>-3.1341412452987879E-4</v>
      </c>
      <c r="GH38" s="324">
        <f>CD38-CC38</f>
        <v>53</v>
      </c>
      <c r="GI38" s="402">
        <f>GH38/CC38</f>
        <v>7.9124553991311226E-4</v>
      </c>
      <c r="GJ38" s="324">
        <f>CE38-CD38</f>
        <v>547</v>
      </c>
      <c r="GK38" s="402">
        <f>GJ38/CD38</f>
        <v>8.1597947371561553E-3</v>
      </c>
      <c r="GL38" s="324">
        <f>CF38-CE38</f>
        <v>-277</v>
      </c>
      <c r="GM38" s="402">
        <f>GL38/CE38</f>
        <v>-4.0986638651731942E-3</v>
      </c>
      <c r="GN38" s="324">
        <f>CG38-CF38</f>
        <v>66</v>
      </c>
      <c r="GO38" s="402">
        <f>GN38/CF38</f>
        <v>9.8059608355867238E-4</v>
      </c>
      <c r="GP38" s="324">
        <f>CH38-CG38</f>
        <v>-43</v>
      </c>
      <c r="GQ38" s="402">
        <f>GP38/CG38</f>
        <v>-6.3824734310989725E-4</v>
      </c>
      <c r="GR38" s="324">
        <f>CI38-CH38</f>
        <v>-71</v>
      </c>
      <c r="GS38" s="402">
        <f>GR38/CH38</f>
        <v>-1.0545233109061473E-3</v>
      </c>
      <c r="GT38" s="324">
        <f>CJ38-CI38</f>
        <v>-45</v>
      </c>
      <c r="GU38" s="402">
        <f>GT38/CI38</f>
        <v>-6.6906538999078179E-4</v>
      </c>
      <c r="GV38" s="324">
        <f>CK38-CJ38</f>
        <v>191</v>
      </c>
      <c r="GW38" s="402">
        <f>GV38/CJ38</f>
        <v>2.8417121687768737E-3</v>
      </c>
      <c r="GX38" s="324">
        <f>CN38-CK38</f>
        <v>-227</v>
      </c>
      <c r="GY38" s="402">
        <f>GX38/CK38</f>
        <v>-3.3677526556287461E-3</v>
      </c>
      <c r="GZ38" s="324">
        <f>CO38-CN38</f>
        <v>2</v>
      </c>
      <c r="HA38" s="402">
        <f>GZ38/CN38</f>
        <v>2.9772094615716689E-5</v>
      </c>
      <c r="HB38" s="324">
        <f>CP38-CO38</f>
        <v>-95</v>
      </c>
      <c r="HC38" s="402">
        <f>HB38/CO38</f>
        <v>-1.4141323925631521E-3</v>
      </c>
      <c r="HD38" s="324">
        <f>CQ38-CP38</f>
        <v>544</v>
      </c>
      <c r="HE38" s="402">
        <f>HD38/CP38</f>
        <v>8.1092361815037865E-3</v>
      </c>
      <c r="HF38" s="324">
        <f>CR38-CQ38</f>
        <v>-294</v>
      </c>
      <c r="HG38" s="402">
        <f>HF38/CQ38</f>
        <v>-4.3473117643579584E-3</v>
      </c>
      <c r="HH38" s="324">
        <f>CS38-CR38</f>
        <v>189</v>
      </c>
      <c r="HI38" s="402">
        <f>HH38/CR38</f>
        <v>2.8069029019514658E-3</v>
      </c>
      <c r="HJ38" s="324">
        <f>CT38-CS38</f>
        <v>-217</v>
      </c>
      <c r="HK38" s="402">
        <f>HJ38/CS38</f>
        <v>-3.213719769560002E-3</v>
      </c>
      <c r="HL38" s="324">
        <f t="shared" si="728"/>
        <v>530</v>
      </c>
      <c r="HM38" s="402">
        <f>HL38/CT38</f>
        <v>7.87448370130449E-3</v>
      </c>
      <c r="HN38" s="324">
        <f t="shared" si="729"/>
        <v>58</v>
      </c>
      <c r="HO38" s="402">
        <f>HN38/CU38</f>
        <v>8.5500324311574977E-4</v>
      </c>
      <c r="HP38" s="324">
        <f>CW38-CV38</f>
        <v>59</v>
      </c>
      <c r="HQ38" s="402">
        <f>HP38/CV38</f>
        <v>8.6900167908799016E-4</v>
      </c>
      <c r="HR38" s="324">
        <f>CX38-CW38</f>
        <v>106</v>
      </c>
      <c r="HS38" s="402">
        <f>HR38/CW38</f>
        <v>1.5599016967609966E-3</v>
      </c>
      <c r="HT38" s="324">
        <f>CY38-CX38</f>
        <v>39</v>
      </c>
      <c r="HU38" s="402">
        <f>HT38/CX38</f>
        <v>5.730322220426395E-4</v>
      </c>
      <c r="HV38" s="324">
        <f>DB38-CY38</f>
        <v>-29</v>
      </c>
      <c r="HW38" s="402">
        <f>HV38/CY38</f>
        <v>-4.2585685335839524E-4</v>
      </c>
      <c r="HX38" s="324">
        <f>DC38-DB38</f>
        <v>120</v>
      </c>
      <c r="HY38" s="402">
        <f>HX38/DB38</f>
        <v>1.7629170400622898E-3</v>
      </c>
      <c r="HZ38" s="324">
        <f>DD38-DC38</f>
        <v>-15</v>
      </c>
      <c r="IA38" s="402">
        <f>HZ38/DD38</f>
        <v>-2.2002522955965616E-4</v>
      </c>
      <c r="IB38" s="324">
        <f>DE38-DD38</f>
        <v>38</v>
      </c>
      <c r="IC38" s="402">
        <f>IB38/DD38</f>
        <v>5.5739724821779566E-4</v>
      </c>
      <c r="ID38" s="324">
        <f>DF38-DE38</f>
        <v>14</v>
      </c>
      <c r="IE38" s="402">
        <f>ID38/DO38</f>
        <v>2.0501736057721174E-4</v>
      </c>
      <c r="IF38" s="324">
        <f>DG38-DF38</f>
        <v>609</v>
      </c>
      <c r="IG38" s="402">
        <f>IF38/DF38</f>
        <v>8.926215812153724E-3</v>
      </c>
      <c r="IH38" s="324">
        <f>DH38-DG38</f>
        <v>-526</v>
      </c>
      <c r="II38" s="402">
        <f>IH38/DG38</f>
        <v>-7.6414614658240725E-3</v>
      </c>
      <c r="IJ38" s="324">
        <f>DI38-DH38</f>
        <v>51</v>
      </c>
      <c r="IK38" s="402">
        <f>IJ38/DH38</f>
        <v>7.466073284633064E-4</v>
      </c>
      <c r="IL38" s="324">
        <f>DJ38-DI38</f>
        <v>-107</v>
      </c>
      <c r="IM38" s="402">
        <f>IL38/DI38</f>
        <v>-1.5652428320655355E-3</v>
      </c>
      <c r="IN38" s="324">
        <f>DK38-DJ38</f>
        <v>-11</v>
      </c>
      <c r="IO38" s="402">
        <f>IN38/DJ38</f>
        <v>-1.6116507699295268E-4</v>
      </c>
      <c r="IP38" s="324">
        <f>DL38-DK38</f>
        <v>-68242</v>
      </c>
      <c r="IQ38" s="402">
        <f t="shared" si="730"/>
        <v>36971754.516129032</v>
      </c>
      <c r="IR38" s="324">
        <f t="shared" si="731"/>
        <v>157.99764376043905</v>
      </c>
      <c r="IS38" s="402">
        <f>IR38/EJ38</f>
        <v>-0.99998508709138634</v>
      </c>
      <c r="IT38" s="625">
        <f>CW38</f>
        <v>67953</v>
      </c>
      <c r="IU38" s="1062">
        <f>DK38</f>
        <v>68242</v>
      </c>
      <c r="IV38" s="122">
        <f>IU38-IT38</f>
        <v>289</v>
      </c>
      <c r="IW38" s="109">
        <f>IF(ISERROR(IV38/IT38),0,IV38/IT38)</f>
        <v>4.2529395317351696E-3</v>
      </c>
      <c r="IX38" s="698"/>
      <c r="IY38" s="698"/>
      <c r="IZ38" s="698"/>
      <c r="JA38" s="2" t="str">
        <f>E38</f>
        <v>Monthly Payrolls</v>
      </c>
      <c r="JB38" s="262" t="e">
        <f>#REF!</f>
        <v>#REF!</v>
      </c>
      <c r="JC38" s="262" t="e">
        <f>#REF!</f>
        <v>#REF!</v>
      </c>
      <c r="JD38" s="262" t="e">
        <f>#REF!</f>
        <v>#REF!</v>
      </c>
      <c r="JE38" s="262" t="e">
        <f>#REF!</f>
        <v>#REF!</v>
      </c>
      <c r="JF38" s="262" t="e">
        <f>#REF!</f>
        <v>#REF!</v>
      </c>
      <c r="JG38" s="262" t="e">
        <f>#REF!</f>
        <v>#REF!</v>
      </c>
      <c r="JH38" s="262" t="e">
        <f>#REF!</f>
        <v>#REF!</v>
      </c>
      <c r="JI38" s="262" t="e">
        <f>#REF!</f>
        <v>#REF!</v>
      </c>
      <c r="JJ38" s="262" t="e">
        <f>#REF!</f>
        <v>#REF!</v>
      </c>
      <c r="JK38" s="262" t="e">
        <f>#REF!</f>
        <v>#REF!</v>
      </c>
      <c r="JL38" s="262" t="e">
        <f>#REF!</f>
        <v>#REF!</v>
      </c>
      <c r="JM38" s="263">
        <f t="shared" si="732"/>
        <v>66939</v>
      </c>
      <c r="JN38" s="263">
        <f t="shared" si="732"/>
        <v>67087</v>
      </c>
      <c r="JO38" s="263">
        <f t="shared" si="732"/>
        <v>66975</v>
      </c>
      <c r="JP38" s="263">
        <f t="shared" si="732"/>
        <v>67127</v>
      </c>
      <c r="JQ38" s="263">
        <f t="shared" si="732"/>
        <v>67090</v>
      </c>
      <c r="JR38" s="263">
        <f t="shared" si="732"/>
        <v>67187</v>
      </c>
      <c r="JS38" s="263">
        <f t="shared" si="732"/>
        <v>67481</v>
      </c>
      <c r="JT38" s="263">
        <f t="shared" si="732"/>
        <v>67398</v>
      </c>
      <c r="JU38" s="263">
        <f t="shared" si="732"/>
        <v>67510</v>
      </c>
      <c r="JV38" s="263">
        <f t="shared" si="732"/>
        <v>67572</v>
      </c>
      <c r="JW38" s="263">
        <f t="shared" si="732"/>
        <v>67513</v>
      </c>
      <c r="JX38" s="263">
        <f t="shared" si="732"/>
        <v>67388</v>
      </c>
      <c r="JY38" s="263">
        <f t="shared" si="733"/>
        <v>67305</v>
      </c>
      <c r="JZ38" s="263">
        <f t="shared" si="733"/>
        <v>67180</v>
      </c>
      <c r="KA38" s="263">
        <f t="shared" si="733"/>
        <v>67056</v>
      </c>
      <c r="KB38" s="263">
        <f t="shared" si="733"/>
        <v>66898</v>
      </c>
      <c r="KC38" s="263">
        <f t="shared" si="733"/>
        <v>66770</v>
      </c>
      <c r="KD38" s="263">
        <f t="shared" si="733"/>
        <v>66689</v>
      </c>
      <c r="KE38" s="263">
        <f t="shared" si="733"/>
        <v>66733</v>
      </c>
      <c r="KF38" s="263">
        <f t="shared" si="733"/>
        <v>66530</v>
      </c>
      <c r="KG38" s="263">
        <f t="shared" si="733"/>
        <v>66537</v>
      </c>
      <c r="KH38" s="263">
        <f t="shared" si="733"/>
        <v>66605</v>
      </c>
      <c r="KI38" s="263">
        <f t="shared" si="733"/>
        <v>66593</v>
      </c>
      <c r="KJ38" s="263">
        <f t="shared" si="733"/>
        <v>66703</v>
      </c>
      <c r="KK38" s="788">
        <f t="shared" si="734"/>
        <v>66583</v>
      </c>
      <c r="KL38" s="788">
        <f t="shared" si="734"/>
        <v>66888</v>
      </c>
      <c r="KM38" s="788">
        <f t="shared" si="734"/>
        <v>66586</v>
      </c>
      <c r="KN38" s="788">
        <f t="shared" si="734"/>
        <v>66623</v>
      </c>
      <c r="KO38" s="788">
        <f t="shared" si="734"/>
        <v>66430</v>
      </c>
      <c r="KP38" s="788">
        <f t="shared" si="734"/>
        <v>66359</v>
      </c>
      <c r="KQ38" s="788">
        <f t="shared" si="734"/>
        <v>66530</v>
      </c>
      <c r="KR38" s="788">
        <f t="shared" si="734"/>
        <v>66357</v>
      </c>
      <c r="KS38" s="788">
        <f t="shared" si="734"/>
        <v>66366</v>
      </c>
      <c r="KT38" s="788">
        <f t="shared" si="734"/>
        <v>66490</v>
      </c>
      <c r="KU38" s="788">
        <f t="shared" si="734"/>
        <v>66533</v>
      </c>
      <c r="KV38" s="788">
        <f t="shared" si="734"/>
        <v>66950</v>
      </c>
      <c r="KW38" s="900">
        <f t="shared" si="735"/>
        <v>66972</v>
      </c>
      <c r="KX38" s="900">
        <f t="shared" si="735"/>
        <v>67087</v>
      </c>
      <c r="KY38" s="900">
        <f t="shared" si="735"/>
        <v>67004</v>
      </c>
      <c r="KZ38" s="900">
        <f t="shared" si="735"/>
        <v>66983</v>
      </c>
      <c r="LA38" s="900">
        <f t="shared" si="735"/>
        <v>67036</v>
      </c>
      <c r="LB38" s="900">
        <f t="shared" si="735"/>
        <v>67583</v>
      </c>
      <c r="LC38" s="900">
        <f t="shared" si="735"/>
        <v>67306</v>
      </c>
      <c r="LD38" s="900">
        <f t="shared" si="735"/>
        <v>67372</v>
      </c>
      <c r="LE38" s="900">
        <f t="shared" si="735"/>
        <v>67329</v>
      </c>
      <c r="LF38" s="900">
        <f t="shared" si="735"/>
        <v>67258</v>
      </c>
      <c r="LG38" s="900">
        <f t="shared" si="735"/>
        <v>67213</v>
      </c>
      <c r="LH38" s="900">
        <f t="shared" si="735"/>
        <v>67404</v>
      </c>
      <c r="LI38" s="959">
        <f t="shared" si="736"/>
        <v>67177</v>
      </c>
      <c r="LJ38" s="959">
        <f t="shared" si="736"/>
        <v>67179</v>
      </c>
      <c r="LK38" s="959">
        <f t="shared" si="736"/>
        <v>67084</v>
      </c>
      <c r="LL38" s="959">
        <f t="shared" si="736"/>
        <v>67628</v>
      </c>
      <c r="LM38" s="959">
        <f t="shared" si="736"/>
        <v>67334</v>
      </c>
      <c r="LN38" s="959">
        <f t="shared" si="736"/>
        <v>67523</v>
      </c>
      <c r="LO38" s="959">
        <f t="shared" si="736"/>
        <v>67306</v>
      </c>
      <c r="LP38" s="959">
        <f t="shared" si="736"/>
        <v>67836</v>
      </c>
      <c r="LQ38" s="959">
        <f t="shared" si="736"/>
        <v>67894</v>
      </c>
      <c r="LR38" s="959">
        <f t="shared" si="736"/>
        <v>67953</v>
      </c>
      <c r="LS38" s="959">
        <f t="shared" si="736"/>
        <v>68059</v>
      </c>
      <c r="LT38" s="959">
        <f t="shared" si="736"/>
        <v>68098</v>
      </c>
      <c r="LU38" s="1155">
        <f t="shared" si="737"/>
        <v>68069</v>
      </c>
      <c r="LV38" s="1155">
        <f t="shared" si="737"/>
        <v>68189</v>
      </c>
      <c r="LW38" s="1155">
        <f t="shared" si="737"/>
        <v>68174</v>
      </c>
      <c r="LX38" s="1155">
        <f t="shared" si="737"/>
        <v>68212</v>
      </c>
      <c r="LY38" s="1155">
        <f t="shared" si="737"/>
        <v>68226</v>
      </c>
      <c r="LZ38" s="1155">
        <f t="shared" si="737"/>
        <v>68835</v>
      </c>
      <c r="MA38" s="1155">
        <f t="shared" si="737"/>
        <v>68309</v>
      </c>
      <c r="MB38" s="1155">
        <f t="shared" si="737"/>
        <v>68360</v>
      </c>
      <c r="MC38" s="1155">
        <f t="shared" si="737"/>
        <v>68253</v>
      </c>
      <c r="MD38" s="1155">
        <f t="shared" si="737"/>
        <v>68242</v>
      </c>
      <c r="ME38" s="1155">
        <f t="shared" si="737"/>
        <v>0</v>
      </c>
      <c r="MF38" s="1155">
        <f t="shared" si="737"/>
        <v>0</v>
      </c>
      <c r="MG38" s="1177">
        <f t="shared" si="738"/>
        <v>0</v>
      </c>
      <c r="MH38" s="1177">
        <f t="shared" si="738"/>
        <v>0</v>
      </c>
      <c r="MI38" s="1177">
        <f t="shared" si="738"/>
        <v>0</v>
      </c>
      <c r="MJ38" s="1177">
        <f t="shared" si="738"/>
        <v>0</v>
      </c>
      <c r="MK38" s="1177">
        <f t="shared" si="738"/>
        <v>0</v>
      </c>
      <c r="ML38" s="1177">
        <f t="shared" si="738"/>
        <v>0</v>
      </c>
      <c r="MM38" s="1177">
        <f t="shared" si="738"/>
        <v>0</v>
      </c>
      <c r="MN38" s="1177">
        <f t="shared" si="738"/>
        <v>0</v>
      </c>
      <c r="MO38" s="1177">
        <f t="shared" si="738"/>
        <v>0</v>
      </c>
      <c r="MP38" s="1177">
        <f t="shared" si="738"/>
        <v>0</v>
      </c>
      <c r="MQ38" s="1177">
        <f t="shared" si="739"/>
        <v>0</v>
      </c>
      <c r="MR38" s="1177">
        <f t="shared" si="739"/>
        <v>0</v>
      </c>
    </row>
    <row r="39" spans="1:356" s="29" customFormat="1" x14ac:dyDescent="0.25">
      <c r="A39" s="764"/>
      <c r="B39" s="58">
        <v>5.3</v>
      </c>
      <c r="C39" s="28"/>
      <c r="D39" s="120"/>
      <c r="E39" s="1227" t="s">
        <v>162</v>
      </c>
      <c r="F39" s="1227"/>
      <c r="G39" s="1228"/>
      <c r="H39" s="382">
        <v>126699</v>
      </c>
      <c r="I39" s="71">
        <v>126741</v>
      </c>
      <c r="J39" s="34">
        <v>126838</v>
      </c>
      <c r="K39" s="71">
        <v>126572</v>
      </c>
      <c r="L39" s="34">
        <v>126945</v>
      </c>
      <c r="M39" s="71">
        <v>126740</v>
      </c>
      <c r="N39" s="34">
        <v>126515</v>
      </c>
      <c r="O39" s="71">
        <v>125849</v>
      </c>
      <c r="P39" s="34">
        <v>156184</v>
      </c>
      <c r="Q39" s="71">
        <v>126852</v>
      </c>
      <c r="R39" s="34">
        <v>126190</v>
      </c>
      <c r="S39" s="71">
        <v>125191</v>
      </c>
      <c r="T39" s="138">
        <v>1547316</v>
      </c>
      <c r="U39" s="158">
        <v>128943</v>
      </c>
      <c r="V39" s="382">
        <f t="shared" ref="V39:Y39" si="740">SUM(V37:V38)</f>
        <v>125806</v>
      </c>
      <c r="W39" s="71">
        <f t="shared" si="740"/>
        <v>158093</v>
      </c>
      <c r="X39" s="34">
        <f t="shared" si="740"/>
        <v>127601</v>
      </c>
      <c r="Y39" s="71">
        <f t="shared" si="740"/>
        <v>127126</v>
      </c>
      <c r="Z39" s="34">
        <v>127310</v>
      </c>
      <c r="AA39" s="71">
        <v>126982</v>
      </c>
      <c r="AB39" s="34">
        <v>159360</v>
      </c>
      <c r="AC39" s="71">
        <v>126853</v>
      </c>
      <c r="AD39" s="34">
        <v>124326</v>
      </c>
      <c r="AE39" s="71">
        <v>124270</v>
      </c>
      <c r="AF39" s="34">
        <v>101154</v>
      </c>
      <c r="AG39" s="71">
        <v>107450</v>
      </c>
      <c r="AH39" s="138">
        <v>1536331</v>
      </c>
      <c r="AI39" s="158">
        <v>128027.58333333333</v>
      </c>
      <c r="AJ39" s="382">
        <f>SUM(AJ37:AJ38)</f>
        <v>111549</v>
      </c>
      <c r="AK39" s="71">
        <f t="shared" ref="AK39:AU39" si="741">SUM(AK37:AK38)</f>
        <v>134889</v>
      </c>
      <c r="AL39" s="34">
        <f t="shared" si="741"/>
        <v>111390</v>
      </c>
      <c r="AM39" s="71">
        <f t="shared" si="741"/>
        <v>111467</v>
      </c>
      <c r="AN39" s="34">
        <f t="shared" si="741"/>
        <v>111297</v>
      </c>
      <c r="AO39" s="71">
        <f t="shared" si="741"/>
        <v>111106</v>
      </c>
      <c r="AP39" s="632">
        <f t="shared" si="741"/>
        <v>111020</v>
      </c>
      <c r="AQ39" s="71">
        <f t="shared" si="741"/>
        <v>132508</v>
      </c>
      <c r="AR39" s="632">
        <f t="shared" si="741"/>
        <v>110944</v>
      </c>
      <c r="AS39" s="71">
        <f t="shared" si="741"/>
        <v>111316</v>
      </c>
      <c r="AT39" s="632">
        <f t="shared" si="741"/>
        <v>111603</v>
      </c>
      <c r="AU39" s="71">
        <f t="shared" si="741"/>
        <v>112436</v>
      </c>
      <c r="AV39" s="138">
        <f>SUM(AJ39:AU39)</f>
        <v>1381525</v>
      </c>
      <c r="AW39" s="158">
        <f>SUM(AJ39:AU39)/$AV$4</f>
        <v>115127.08333333333</v>
      </c>
      <c r="AX39" s="382">
        <f t="shared" ref="AX39:BC39" si="742">SUM(AX37:AX38)</f>
        <v>112399</v>
      </c>
      <c r="AY39" s="71">
        <f t="shared" si="742"/>
        <v>133843</v>
      </c>
      <c r="AZ39" s="34">
        <f t="shared" si="742"/>
        <v>110716</v>
      </c>
      <c r="BA39" s="71">
        <f t="shared" si="742"/>
        <v>110651</v>
      </c>
      <c r="BB39" s="34">
        <f t="shared" si="742"/>
        <v>110119</v>
      </c>
      <c r="BC39" s="71">
        <f t="shared" si="742"/>
        <v>109794</v>
      </c>
      <c r="BD39" s="632">
        <f t="shared" ref="BD39:BI39" si="743">SUM(BD37:BD38)</f>
        <v>123268</v>
      </c>
      <c r="BE39" s="71">
        <f t="shared" si="743"/>
        <v>109540</v>
      </c>
      <c r="BF39" s="632">
        <f t="shared" si="743"/>
        <v>109775</v>
      </c>
      <c r="BG39" s="71">
        <f t="shared" si="743"/>
        <v>110455</v>
      </c>
      <c r="BH39" s="632">
        <f t="shared" si="743"/>
        <v>111303</v>
      </c>
      <c r="BI39" s="71">
        <f t="shared" si="743"/>
        <v>136203</v>
      </c>
      <c r="BJ39" s="138">
        <f>SUM(AX39:BI39)</f>
        <v>1388066</v>
      </c>
      <c r="BK39" s="158">
        <f>SUM(AX39:BI39)/$BJ$4</f>
        <v>115672.16666666667</v>
      </c>
      <c r="BL39" s="382">
        <f t="shared" ref="BL39" si="744">SUM(BL37:BL38)</f>
        <v>113834</v>
      </c>
      <c r="BM39" s="71">
        <f t="shared" ref="BM39:BN39" si="745">SUM(BM37:BM38)</f>
        <v>115414</v>
      </c>
      <c r="BN39" s="34">
        <f t="shared" si="745"/>
        <v>115875</v>
      </c>
      <c r="BO39" s="71">
        <f t="shared" ref="BO39" si="746">SUM(BO37:BO38)</f>
        <v>116600</v>
      </c>
      <c r="BP39" s="34">
        <f t="shared" ref="BP39:BQ39" si="747">SUM(BP37:BP38)</f>
        <v>117464</v>
      </c>
      <c r="BQ39" s="71">
        <f t="shared" si="747"/>
        <v>117293</v>
      </c>
      <c r="BR39" s="632">
        <f t="shared" ref="BR39" si="748">SUM(BR37:BR38)</f>
        <v>142567</v>
      </c>
      <c r="BS39" s="71">
        <f t="shared" ref="BS39:BT39" si="749">SUM(BS37:BS38)</f>
        <v>117052</v>
      </c>
      <c r="BT39" s="632">
        <f t="shared" si="749"/>
        <v>117471</v>
      </c>
      <c r="BU39" s="632">
        <f t="shared" ref="BU39" si="750">SUM(BU37:BU38)</f>
        <v>118989</v>
      </c>
      <c r="BV39" s="632">
        <f t="shared" ref="BV39:BW39" si="751">SUM(BV37:BV38)</f>
        <v>119836</v>
      </c>
      <c r="BW39" s="632">
        <f t="shared" si="751"/>
        <v>121134</v>
      </c>
      <c r="BX39" s="138">
        <f>SUM(BL39:BW39)</f>
        <v>1433529</v>
      </c>
      <c r="BY39" s="158">
        <f>SUM(BL39:BW39)/$BX$4</f>
        <v>119460.75</v>
      </c>
      <c r="BZ39" s="632">
        <f t="shared" ref="BZ39:CA39" si="752">SUM(BZ37:BZ38)</f>
        <v>148617</v>
      </c>
      <c r="CA39" s="71">
        <f t="shared" si="752"/>
        <v>121181</v>
      </c>
      <c r="CB39" s="34">
        <f t="shared" ref="CB39:CC39" si="753">SUM(CB37:CB38)</f>
        <v>120655</v>
      </c>
      <c r="CC39" s="71">
        <f t="shared" si="753"/>
        <v>120725</v>
      </c>
      <c r="CD39" s="34">
        <f t="shared" ref="CD39:CE39" si="754">SUM(CD37:CD38)</f>
        <v>120484</v>
      </c>
      <c r="CE39" s="71">
        <f t="shared" si="754"/>
        <v>146930</v>
      </c>
      <c r="CF39" s="632">
        <f t="shared" ref="CF39:CG39" si="755">SUM(CF37:CF38)</f>
        <v>122677</v>
      </c>
      <c r="CG39" s="71">
        <f t="shared" si="755"/>
        <v>118613</v>
      </c>
      <c r="CH39" s="632">
        <f t="shared" ref="CH39:CI39" si="756">SUM(CH37:CH38)</f>
        <v>117993</v>
      </c>
      <c r="CI39" s="632">
        <f t="shared" si="756"/>
        <v>118591</v>
      </c>
      <c r="CJ39" s="632">
        <f t="shared" ref="CJ39:CK39" si="757">SUM(CJ37:CJ38)</f>
        <v>118832</v>
      </c>
      <c r="CK39" s="632">
        <f t="shared" si="757"/>
        <v>119298</v>
      </c>
      <c r="CL39" s="138">
        <f>SUM(BZ39:CK39)</f>
        <v>1494596</v>
      </c>
      <c r="CM39" s="158">
        <f>SUM(BZ39:CK39)/$CL$4</f>
        <v>124549.66666666667</v>
      </c>
      <c r="CN39" s="632">
        <f t="shared" ref="CN39:CO39" si="758">SUM(CN37:CN38)</f>
        <v>145790</v>
      </c>
      <c r="CO39" s="71">
        <f t="shared" si="758"/>
        <v>116206</v>
      </c>
      <c r="CP39" s="34">
        <f t="shared" ref="CP39:CQ39" si="759">SUM(CP37:CP38)</f>
        <v>115029</v>
      </c>
      <c r="CQ39" s="71">
        <f t="shared" si="759"/>
        <v>119153</v>
      </c>
      <c r="CR39" s="34">
        <f t="shared" ref="CR39:CS39" si="760">SUM(CR37:CR38)</f>
        <v>118608</v>
      </c>
      <c r="CS39" s="71">
        <f t="shared" si="760"/>
        <v>138463</v>
      </c>
      <c r="CT39" s="218">
        <f t="shared" ref="CT39:CU39" si="761">SUM(CT37:CT38)</f>
        <v>122677</v>
      </c>
      <c r="CU39" s="71">
        <f t="shared" si="761"/>
        <v>118351</v>
      </c>
      <c r="CV39" s="632">
        <f t="shared" ref="CV39:CW39" si="762">SUM(CV37:CV38)</f>
        <v>118694</v>
      </c>
      <c r="CW39" s="1071">
        <f t="shared" si="762"/>
        <v>118948</v>
      </c>
      <c r="CX39" s="632">
        <f t="shared" ref="CX39:CY39" si="763">SUM(CX37:CX38)</f>
        <v>119134</v>
      </c>
      <c r="CY39" s="71">
        <f t="shared" si="763"/>
        <v>145902</v>
      </c>
      <c r="CZ39" s="138">
        <f>SUM(CN39:CY39)</f>
        <v>1496955</v>
      </c>
      <c r="DA39" s="158">
        <f>SUM(CN39:CY39)/$CZ$4</f>
        <v>124746.25</v>
      </c>
      <c r="DB39" s="632">
        <f t="shared" ref="DB39:DC39" si="764">SUM(DB37:DB38)</f>
        <v>120333</v>
      </c>
      <c r="DC39" s="71">
        <f t="shared" si="764"/>
        <v>120439</v>
      </c>
      <c r="DD39" s="34">
        <f t="shared" ref="DD39:DE39" si="765">SUM(DD37:DD38)</f>
        <v>120457</v>
      </c>
      <c r="DE39" s="71">
        <f t="shared" si="765"/>
        <v>123696</v>
      </c>
      <c r="DF39" s="34">
        <f t="shared" ref="DF39:DG39" si="766">SUM(DF37:DF38)</f>
        <v>123112</v>
      </c>
      <c r="DG39" s="71">
        <f t="shared" si="766"/>
        <v>150674</v>
      </c>
      <c r="DH39" s="218">
        <f t="shared" ref="DH39:DI39" si="767">SUM(DH37:DH38)</f>
        <v>122749</v>
      </c>
      <c r="DI39" s="71">
        <f t="shared" si="767"/>
        <v>122426</v>
      </c>
      <c r="DJ39" s="632">
        <f t="shared" ref="DJ39:DK39" si="768">SUM(DJ37:DJ38)</f>
        <v>122432</v>
      </c>
      <c r="DK39" s="71">
        <f t="shared" si="768"/>
        <v>123204</v>
      </c>
      <c r="DL39" s="632"/>
      <c r="DM39" s="71"/>
      <c r="DN39" s="138">
        <f>SUM(DB39:DM39)</f>
        <v>1249522</v>
      </c>
      <c r="DO39" s="158">
        <f>SUM(DB39:DM39)/$DN$4</f>
        <v>124952.2</v>
      </c>
      <c r="DP39" s="632"/>
      <c r="DQ39" s="71"/>
      <c r="DR39" s="34"/>
      <c r="DS39" s="71"/>
      <c r="DT39" s="34"/>
      <c r="DU39" s="71"/>
      <c r="DV39" s="218"/>
      <c r="DW39" s="71"/>
      <c r="DX39" s="632"/>
      <c r="DY39" s="71"/>
      <c r="DZ39" s="632"/>
      <c r="EA39" s="71"/>
      <c r="EB39" s="138">
        <f>SUM(DP39:EA39)</f>
        <v>0</v>
      </c>
      <c r="EC39" s="158" t="e">
        <f>SUM(DP39:EA39)/$EB$4</f>
        <v>#DIV/0!</v>
      </c>
      <c r="ED39" s="675">
        <f>AX39-AU39</f>
        <v>-37</v>
      </c>
      <c r="EE39" s="676">
        <f>ED39/AU39</f>
        <v>-3.2907609662385711E-4</v>
      </c>
      <c r="EF39" s="675">
        <f>AY39-AX39</f>
        <v>21444</v>
      </c>
      <c r="EG39" s="676">
        <f>EF39/AX39</f>
        <v>0.1907846155214904</v>
      </c>
      <c r="EH39" s="675">
        <f>AZ39-AY39</f>
        <v>-23127</v>
      </c>
      <c r="EI39" s="676">
        <f>EH39/AY39</f>
        <v>-0.17279200257017552</v>
      </c>
      <c r="EJ39" s="675">
        <f>BA39-AZ39</f>
        <v>-65</v>
      </c>
      <c r="EK39" s="676">
        <f>EJ39/AZ39</f>
        <v>-5.8708768380360567E-4</v>
      </c>
      <c r="EL39" s="675">
        <f>BB39-BA39</f>
        <v>-532</v>
      </c>
      <c r="EM39" s="676">
        <f>EL39/BA39</f>
        <v>-4.8079095534608813E-3</v>
      </c>
      <c r="EN39" s="675">
        <f>BC39-BB39</f>
        <v>-325</v>
      </c>
      <c r="EO39" s="676">
        <f>EN39/BB39</f>
        <v>-2.9513526276119472E-3</v>
      </c>
      <c r="EP39" s="675">
        <f>BD39-BC39</f>
        <v>13474</v>
      </c>
      <c r="EQ39" s="676">
        <f>EP39/BC39</f>
        <v>0.12272073155181522</v>
      </c>
      <c r="ER39" s="675">
        <f>BE39-BD39</f>
        <v>-13728</v>
      </c>
      <c r="ES39" s="676">
        <f>ER39/BD39</f>
        <v>-0.11136710257325502</v>
      </c>
      <c r="ET39" s="675">
        <f>BF39-BE39</f>
        <v>235</v>
      </c>
      <c r="EU39" s="676">
        <f>ET39/BE39</f>
        <v>2.1453350374292498E-3</v>
      </c>
      <c r="EV39" s="675">
        <f>BG39-BF39</f>
        <v>680</v>
      </c>
      <c r="EW39" s="112">
        <f>EV39/BF39</f>
        <v>6.1944887269414712E-3</v>
      </c>
      <c r="EX39" s="675">
        <f>BH39-BG39</f>
        <v>848</v>
      </c>
      <c r="EY39" s="676">
        <f>EX39/BG39</f>
        <v>7.6773346611742335E-3</v>
      </c>
      <c r="EZ39" s="675">
        <f>BI39-BH39</f>
        <v>24900</v>
      </c>
      <c r="FA39" s="676">
        <f>EZ39/BH39</f>
        <v>0.22371364653243847</v>
      </c>
      <c r="FB39" s="675">
        <f>BL39-BI39</f>
        <v>-22369</v>
      </c>
      <c r="FC39" s="676">
        <f>FB39/BI39</f>
        <v>-0.16423279957122824</v>
      </c>
      <c r="FD39" s="325">
        <f>BM39-BL39</f>
        <v>1580</v>
      </c>
      <c r="FE39" s="406">
        <f>FD39/BL39</f>
        <v>1.3879860147231934E-2</v>
      </c>
      <c r="FF39" s="325">
        <f>BN39-BM39</f>
        <v>461</v>
      </c>
      <c r="FG39" s="406">
        <f>FF39/BM39</f>
        <v>3.9943161141629269E-3</v>
      </c>
      <c r="FH39" s="325">
        <f>BO39-BN39</f>
        <v>725</v>
      </c>
      <c r="FI39" s="406">
        <f>FH39/BN39</f>
        <v>6.2567421790722761E-3</v>
      </c>
      <c r="FJ39" s="325">
        <f>BP39-BO39</f>
        <v>864</v>
      </c>
      <c r="FK39" s="406">
        <f>FJ39/BO39</f>
        <v>7.4099485420240137E-3</v>
      </c>
      <c r="FL39" s="325">
        <f>BQ39-BP39</f>
        <v>-171</v>
      </c>
      <c r="FM39" s="406">
        <f>FL39/BP39</f>
        <v>-1.4557651706054622E-3</v>
      </c>
      <c r="FN39" s="325">
        <f>BR39-BQ39</f>
        <v>25274</v>
      </c>
      <c r="FO39" s="406">
        <f>FN39/BQ39</f>
        <v>0.21547747947447846</v>
      </c>
      <c r="FP39" s="325">
        <f>BS39-BR39</f>
        <v>-25515</v>
      </c>
      <c r="FQ39" s="406">
        <f>FP39/BR39</f>
        <v>-0.17896848499302082</v>
      </c>
      <c r="FR39" s="325">
        <f>BT39-BS39</f>
        <v>419</v>
      </c>
      <c r="FS39" s="406">
        <f>FR39/BS39</f>
        <v>3.5796056453542015E-3</v>
      </c>
      <c r="FT39" s="325">
        <f>BU39-BT39</f>
        <v>1518</v>
      </c>
      <c r="FU39" s="406">
        <f>FT39/BT39</f>
        <v>1.2922338279234875E-2</v>
      </c>
      <c r="FV39" s="325">
        <f>BV39-BU39</f>
        <v>847</v>
      </c>
      <c r="FW39" s="406">
        <f>FV39/BU39</f>
        <v>7.1183050534082979E-3</v>
      </c>
      <c r="FX39" s="325">
        <f>BW39-BV39</f>
        <v>1298</v>
      </c>
      <c r="FY39" s="406">
        <f>FX39/BV39</f>
        <v>1.0831469675222805E-2</v>
      </c>
      <c r="FZ39" s="325">
        <f>BZ39-BW39</f>
        <v>27483</v>
      </c>
      <c r="GA39" s="406">
        <f>FZ39/BW39</f>
        <v>0.22688097478825103</v>
      </c>
      <c r="GB39" s="325">
        <f>CA39-BZ39</f>
        <v>-27436</v>
      </c>
      <c r="GC39" s="406">
        <f>GB39/BZ39</f>
        <v>-0.18460875942859833</v>
      </c>
      <c r="GD39" s="325">
        <f>CB39-CA39</f>
        <v>-526</v>
      </c>
      <c r="GE39" s="406">
        <f>GD39/CA39</f>
        <v>-4.340614452760746E-3</v>
      </c>
      <c r="GF39" s="325">
        <f>CC39-CB39</f>
        <v>70</v>
      </c>
      <c r="GG39" s="406">
        <f>GF39/CB39</f>
        <v>5.8016659069247021E-4</v>
      </c>
      <c r="GH39" s="325">
        <f>CD39-CC39</f>
        <v>-241</v>
      </c>
      <c r="GI39" s="406">
        <f>GH39/CC39</f>
        <v>-1.9962725201905156E-3</v>
      </c>
      <c r="GJ39" s="325">
        <f>CE39-CD39</f>
        <v>26446</v>
      </c>
      <c r="GK39" s="406">
        <f>GJ39/CD39</f>
        <v>0.2194980246339763</v>
      </c>
      <c r="GL39" s="325">
        <f>CF39-CE39</f>
        <v>-24253</v>
      </c>
      <c r="GM39" s="406">
        <f>GL39/CE39</f>
        <v>-0.16506499693731708</v>
      </c>
      <c r="GN39" s="325">
        <f>CG39-CF39</f>
        <v>-4064</v>
      </c>
      <c r="GO39" s="406">
        <f>GN39/CF39</f>
        <v>-3.3127644138673099E-2</v>
      </c>
      <c r="GP39" s="325">
        <f>CH39-CG39</f>
        <v>-620</v>
      </c>
      <c r="GQ39" s="406">
        <f>GP39/CG39</f>
        <v>-5.2270830347432408E-3</v>
      </c>
      <c r="GR39" s="325">
        <f>CI39-CH39</f>
        <v>598</v>
      </c>
      <c r="GS39" s="406">
        <f>GR39/CH39</f>
        <v>5.0680972600069497E-3</v>
      </c>
      <c r="GT39" s="325">
        <f>CJ39-CI39</f>
        <v>241</v>
      </c>
      <c r="GU39" s="406">
        <f>GT39/CI39</f>
        <v>2.0321946859373813E-3</v>
      </c>
      <c r="GV39" s="325">
        <f>CK39-CJ39</f>
        <v>466</v>
      </c>
      <c r="GW39" s="406">
        <f>GV39/CJ39</f>
        <v>3.9215026255554055E-3</v>
      </c>
      <c r="GX39" s="325">
        <f>CN39-CK39</f>
        <v>26492</v>
      </c>
      <c r="GY39" s="406">
        <f>GX39/CK39</f>
        <v>0.22206575131184095</v>
      </c>
      <c r="GZ39" s="325">
        <f>CO39-CN39</f>
        <v>-29584</v>
      </c>
      <c r="HA39" s="406">
        <f>GZ39/CN39</f>
        <v>-0.20292201111187325</v>
      </c>
      <c r="HB39" s="325">
        <f>CP39-CO39</f>
        <v>-1177</v>
      </c>
      <c r="HC39" s="406">
        <f>HB39/CO39</f>
        <v>-1.0128564790114107E-2</v>
      </c>
      <c r="HD39" s="325">
        <f>CQ39-CP39</f>
        <v>4124</v>
      </c>
      <c r="HE39" s="406">
        <f>HD39/CP39</f>
        <v>3.5851828669292089E-2</v>
      </c>
      <c r="HF39" s="325">
        <f>CR39-CQ39</f>
        <v>-545</v>
      </c>
      <c r="HG39" s="406">
        <f>HF39/CQ39</f>
        <v>-4.5739511384522424E-3</v>
      </c>
      <c r="HH39" s="325">
        <f>CS39-CR39</f>
        <v>19855</v>
      </c>
      <c r="HI39" s="406">
        <f>HH39/CR39</f>
        <v>0.16740017536759746</v>
      </c>
      <c r="HJ39" s="325">
        <f>CT39-CS39</f>
        <v>-15786</v>
      </c>
      <c r="HK39" s="406">
        <f>HJ39/CS39</f>
        <v>-0.11400879657381394</v>
      </c>
      <c r="HL39" s="325">
        <f t="shared" si="728"/>
        <v>-4326</v>
      </c>
      <c r="HM39" s="406">
        <f>HL39/CT39</f>
        <v>-3.5263333795250942E-2</v>
      </c>
      <c r="HN39" s="325">
        <f t="shared" si="729"/>
        <v>343</v>
      </c>
      <c r="HO39" s="406">
        <f>HN39/CU39</f>
        <v>2.8981588664227596E-3</v>
      </c>
      <c r="HP39" s="325">
        <f>CW39-CV39</f>
        <v>254</v>
      </c>
      <c r="HQ39" s="406">
        <f>HP39/CV39</f>
        <v>2.1399565268674071E-3</v>
      </c>
      <c r="HR39" s="325">
        <f>CX39-CW39</f>
        <v>186</v>
      </c>
      <c r="HS39" s="406">
        <f>HR39/CW39</f>
        <v>1.563708511282241E-3</v>
      </c>
      <c r="HT39" s="325">
        <f>CY39-CX39</f>
        <v>26768</v>
      </c>
      <c r="HU39" s="406">
        <f>HT39/CX39</f>
        <v>0.22468816626655699</v>
      </c>
      <c r="HV39" s="325">
        <f>DB39-CY39</f>
        <v>-25569</v>
      </c>
      <c r="HW39" s="406">
        <f>HV39/CY39</f>
        <v>-0.17524776905045852</v>
      </c>
      <c r="HX39" s="325">
        <f>DC39-DB39</f>
        <v>106</v>
      </c>
      <c r="HY39" s="406">
        <f>HX39/DB39</f>
        <v>8.8088886672816268E-4</v>
      </c>
      <c r="HZ39" s="325">
        <f>DD39-DC39</f>
        <v>18</v>
      </c>
      <c r="IA39" s="406">
        <f>HZ39/DD39</f>
        <v>1.4943091725678042E-4</v>
      </c>
      <c r="IB39" s="325">
        <f>DE39-DD39</f>
        <v>3239</v>
      </c>
      <c r="IC39" s="406">
        <f>IB39/DD39</f>
        <v>2.6889263388595101E-2</v>
      </c>
      <c r="ID39" s="325">
        <f>DF39-DE39</f>
        <v>-584</v>
      </c>
      <c r="IE39" s="406">
        <f>ID39/DO39</f>
        <v>-4.673787256246789E-3</v>
      </c>
      <c r="IF39" s="325">
        <f>DG39-DF39</f>
        <v>27562</v>
      </c>
      <c r="IG39" s="406">
        <f>IF39/DF39</f>
        <v>0.22387744492819547</v>
      </c>
      <c r="IH39" s="325">
        <f>DH39-DG39</f>
        <v>-27925</v>
      </c>
      <c r="II39" s="406">
        <f>IH39/DG39</f>
        <v>-0.18533389967744932</v>
      </c>
      <c r="IJ39" s="325">
        <f>DI39-DH39</f>
        <v>-323</v>
      </c>
      <c r="IK39" s="406">
        <f>IJ39/DH39</f>
        <v>-2.6313859990712753E-3</v>
      </c>
      <c r="IL39" s="325">
        <f>DJ39-DI39</f>
        <v>6</v>
      </c>
      <c r="IM39" s="406">
        <f>IL39/DI39</f>
        <v>4.9009197392710702E-5</v>
      </c>
      <c r="IN39" s="325">
        <f>DK39-DJ39</f>
        <v>772</v>
      </c>
      <c r="IO39" s="406">
        <f>IN39/DJ39</f>
        <v>6.3055410350235236E-3</v>
      </c>
      <c r="IP39" s="325">
        <f>DL39-DK39</f>
        <v>-123204</v>
      </c>
      <c r="IQ39" s="406">
        <f t="shared" si="730"/>
        <v>713019.11064988968</v>
      </c>
      <c r="IR39" s="325">
        <f t="shared" si="731"/>
        <v>64.999412912316203</v>
      </c>
      <c r="IS39" s="406">
        <f>IR39/EJ39</f>
        <v>-0.99999096788178776</v>
      </c>
      <c r="IT39" s="632">
        <f>CW39</f>
        <v>118948</v>
      </c>
      <c r="IU39" s="1071">
        <f>DK39</f>
        <v>123204</v>
      </c>
      <c r="IV39" s="223">
        <f>IU39-IT39</f>
        <v>4256</v>
      </c>
      <c r="IW39" s="112">
        <f>IF(ISERROR(IV39/IT39),0,IV39/IT39)</f>
        <v>3.5780340989339882E-2</v>
      </c>
      <c r="IX39" s="700"/>
      <c r="IY39" s="700"/>
      <c r="IZ39" s="700"/>
      <c r="JA39" s="29" t="str">
        <f>E39</f>
        <v>Total Payrolls Processed</v>
      </c>
      <c r="JB39" s="284" t="e">
        <f>#REF!</f>
        <v>#REF!</v>
      </c>
      <c r="JC39" s="284" t="e">
        <f>#REF!</f>
        <v>#REF!</v>
      </c>
      <c r="JD39" s="284" t="e">
        <f>#REF!</f>
        <v>#REF!</v>
      </c>
      <c r="JE39" s="284" t="e">
        <f>#REF!</f>
        <v>#REF!</v>
      </c>
      <c r="JF39" s="284" t="e">
        <f>#REF!</f>
        <v>#REF!</v>
      </c>
      <c r="JG39" s="284" t="e">
        <f>#REF!</f>
        <v>#REF!</v>
      </c>
      <c r="JH39" s="284" t="e">
        <f>#REF!</f>
        <v>#REF!</v>
      </c>
      <c r="JI39" s="284" t="e">
        <f>#REF!</f>
        <v>#REF!</v>
      </c>
      <c r="JJ39" s="284" t="e">
        <f>#REF!</f>
        <v>#REF!</v>
      </c>
      <c r="JK39" s="284" t="e">
        <f>#REF!</f>
        <v>#REF!</v>
      </c>
      <c r="JL39" s="284" t="e">
        <f>#REF!</f>
        <v>#REF!</v>
      </c>
      <c r="JM39" s="285">
        <f t="shared" si="732"/>
        <v>111549</v>
      </c>
      <c r="JN39" s="285">
        <f t="shared" si="732"/>
        <v>134889</v>
      </c>
      <c r="JO39" s="285">
        <f t="shared" si="732"/>
        <v>111390</v>
      </c>
      <c r="JP39" s="285">
        <f t="shared" si="732"/>
        <v>111467</v>
      </c>
      <c r="JQ39" s="285">
        <f t="shared" si="732"/>
        <v>111297</v>
      </c>
      <c r="JR39" s="285">
        <f t="shared" si="732"/>
        <v>111106</v>
      </c>
      <c r="JS39" s="285">
        <f t="shared" si="732"/>
        <v>111020</v>
      </c>
      <c r="JT39" s="285">
        <f t="shared" si="732"/>
        <v>132508</v>
      </c>
      <c r="JU39" s="285">
        <f t="shared" si="732"/>
        <v>110944</v>
      </c>
      <c r="JV39" s="285">
        <f t="shared" si="732"/>
        <v>111316</v>
      </c>
      <c r="JW39" s="285">
        <f t="shared" si="732"/>
        <v>111603</v>
      </c>
      <c r="JX39" s="285">
        <f t="shared" si="732"/>
        <v>112436</v>
      </c>
      <c r="JY39" s="285">
        <f t="shared" si="733"/>
        <v>112399</v>
      </c>
      <c r="JZ39" s="285">
        <f t="shared" si="733"/>
        <v>133843</v>
      </c>
      <c r="KA39" s="285">
        <f t="shared" si="733"/>
        <v>110716</v>
      </c>
      <c r="KB39" s="285">
        <f t="shared" si="733"/>
        <v>110651</v>
      </c>
      <c r="KC39" s="285">
        <f t="shared" si="733"/>
        <v>110119</v>
      </c>
      <c r="KD39" s="285">
        <f t="shared" si="733"/>
        <v>109794</v>
      </c>
      <c r="KE39" s="285">
        <f t="shared" si="733"/>
        <v>123268</v>
      </c>
      <c r="KF39" s="285">
        <f t="shared" si="733"/>
        <v>109540</v>
      </c>
      <c r="KG39" s="285">
        <f t="shared" si="733"/>
        <v>109775</v>
      </c>
      <c r="KH39" s="285">
        <f t="shared" si="733"/>
        <v>110455</v>
      </c>
      <c r="KI39" s="285">
        <f t="shared" si="733"/>
        <v>111303</v>
      </c>
      <c r="KJ39" s="285">
        <f t="shared" si="733"/>
        <v>136203</v>
      </c>
      <c r="KK39" s="799">
        <f t="shared" si="734"/>
        <v>113834</v>
      </c>
      <c r="KL39" s="799">
        <f t="shared" si="734"/>
        <v>115414</v>
      </c>
      <c r="KM39" s="799">
        <f t="shared" si="734"/>
        <v>115875</v>
      </c>
      <c r="KN39" s="799">
        <f t="shared" si="734"/>
        <v>116600</v>
      </c>
      <c r="KO39" s="799">
        <f t="shared" si="734"/>
        <v>117464</v>
      </c>
      <c r="KP39" s="799">
        <f t="shared" si="734"/>
        <v>117293</v>
      </c>
      <c r="KQ39" s="799">
        <f t="shared" si="734"/>
        <v>142567</v>
      </c>
      <c r="KR39" s="799">
        <f t="shared" si="734"/>
        <v>117052</v>
      </c>
      <c r="KS39" s="799">
        <f t="shared" si="734"/>
        <v>117471</v>
      </c>
      <c r="KT39" s="799">
        <f t="shared" si="734"/>
        <v>118989</v>
      </c>
      <c r="KU39" s="799">
        <f t="shared" si="734"/>
        <v>119836</v>
      </c>
      <c r="KV39" s="799">
        <f t="shared" si="734"/>
        <v>121134</v>
      </c>
      <c r="KW39" s="911">
        <f t="shared" si="735"/>
        <v>148617</v>
      </c>
      <c r="KX39" s="911">
        <f t="shared" si="735"/>
        <v>121181</v>
      </c>
      <c r="KY39" s="911">
        <f t="shared" si="735"/>
        <v>120655</v>
      </c>
      <c r="KZ39" s="911">
        <f t="shared" si="735"/>
        <v>120725</v>
      </c>
      <c r="LA39" s="911">
        <f t="shared" si="735"/>
        <v>120484</v>
      </c>
      <c r="LB39" s="911">
        <f t="shared" si="735"/>
        <v>146930</v>
      </c>
      <c r="LC39" s="911">
        <f t="shared" si="735"/>
        <v>122677</v>
      </c>
      <c r="LD39" s="911">
        <f t="shared" si="735"/>
        <v>118613</v>
      </c>
      <c r="LE39" s="911">
        <f t="shared" si="735"/>
        <v>117993</v>
      </c>
      <c r="LF39" s="911">
        <f t="shared" si="735"/>
        <v>118591</v>
      </c>
      <c r="LG39" s="911">
        <f t="shared" si="735"/>
        <v>118832</v>
      </c>
      <c r="LH39" s="911">
        <f t="shared" si="735"/>
        <v>119298</v>
      </c>
      <c r="LI39" s="970">
        <f t="shared" si="736"/>
        <v>145790</v>
      </c>
      <c r="LJ39" s="970">
        <f t="shared" si="736"/>
        <v>116206</v>
      </c>
      <c r="LK39" s="970">
        <f t="shared" si="736"/>
        <v>115029</v>
      </c>
      <c r="LL39" s="970">
        <f t="shared" si="736"/>
        <v>119153</v>
      </c>
      <c r="LM39" s="970">
        <f t="shared" si="736"/>
        <v>118608</v>
      </c>
      <c r="LN39" s="970">
        <f t="shared" si="736"/>
        <v>138463</v>
      </c>
      <c r="LO39" s="970">
        <f t="shared" si="736"/>
        <v>122677</v>
      </c>
      <c r="LP39" s="970">
        <f t="shared" si="736"/>
        <v>118351</v>
      </c>
      <c r="LQ39" s="970">
        <f t="shared" si="736"/>
        <v>118694</v>
      </c>
      <c r="LR39" s="970">
        <f t="shared" si="736"/>
        <v>118948</v>
      </c>
      <c r="LS39" s="970">
        <f t="shared" si="736"/>
        <v>119134</v>
      </c>
      <c r="LT39" s="970">
        <f t="shared" si="736"/>
        <v>145902</v>
      </c>
      <c r="LU39" s="1166">
        <f t="shared" si="737"/>
        <v>120333</v>
      </c>
      <c r="LV39" s="1166">
        <f t="shared" si="737"/>
        <v>120439</v>
      </c>
      <c r="LW39" s="1166">
        <f t="shared" si="737"/>
        <v>120457</v>
      </c>
      <c r="LX39" s="1166">
        <f t="shared" si="737"/>
        <v>123696</v>
      </c>
      <c r="LY39" s="1166">
        <f t="shared" si="737"/>
        <v>123112</v>
      </c>
      <c r="LZ39" s="1166">
        <f t="shared" si="737"/>
        <v>150674</v>
      </c>
      <c r="MA39" s="1166">
        <f t="shared" si="737"/>
        <v>122749</v>
      </c>
      <c r="MB39" s="1166">
        <f t="shared" si="737"/>
        <v>122426</v>
      </c>
      <c r="MC39" s="1166">
        <f t="shared" si="737"/>
        <v>122432</v>
      </c>
      <c r="MD39" s="1166">
        <f t="shared" si="737"/>
        <v>123204</v>
      </c>
      <c r="ME39" s="1166">
        <f t="shared" si="737"/>
        <v>0</v>
      </c>
      <c r="MF39" s="1166">
        <f t="shared" si="737"/>
        <v>0</v>
      </c>
      <c r="MG39" s="1188">
        <f t="shared" si="738"/>
        <v>0</v>
      </c>
      <c r="MH39" s="1188">
        <f t="shared" si="738"/>
        <v>0</v>
      </c>
      <c r="MI39" s="1188">
        <f t="shared" si="738"/>
        <v>0</v>
      </c>
      <c r="MJ39" s="1188">
        <f t="shared" si="738"/>
        <v>0</v>
      </c>
      <c r="MK39" s="1188">
        <f t="shared" si="738"/>
        <v>0</v>
      </c>
      <c r="ML39" s="1188">
        <f t="shared" si="738"/>
        <v>0</v>
      </c>
      <c r="MM39" s="1188">
        <f t="shared" si="738"/>
        <v>0</v>
      </c>
      <c r="MN39" s="1188">
        <f t="shared" si="738"/>
        <v>0</v>
      </c>
      <c r="MO39" s="1188">
        <f t="shared" si="738"/>
        <v>0</v>
      </c>
      <c r="MP39" s="1188">
        <f t="shared" si="738"/>
        <v>0</v>
      </c>
      <c r="MQ39" s="1188">
        <f t="shared" si="739"/>
        <v>0</v>
      </c>
      <c r="MR39" s="1188">
        <f t="shared" si="739"/>
        <v>0</v>
      </c>
    </row>
    <row r="40" spans="1:356" s="193" customFormat="1" ht="15.75" thickBot="1" x14ac:dyDescent="0.3">
      <c r="A40" s="765"/>
      <c r="B40" s="57">
        <v>5.4</v>
      </c>
      <c r="C40" s="4"/>
      <c r="D40" s="448"/>
      <c r="E40" s="1223" t="s">
        <v>18</v>
      </c>
      <c r="F40" s="1223"/>
      <c r="G40" s="1224"/>
      <c r="H40" s="383">
        <v>1.4996172029771348E-4</v>
      </c>
      <c r="I40" s="188">
        <v>4.4184596933904578E-4</v>
      </c>
      <c r="J40" s="311">
        <v>3.9420362982702345E-5</v>
      </c>
      <c r="K40" s="188">
        <v>2.7336219701039723E-3</v>
      </c>
      <c r="L40" s="189">
        <v>7.5623301429753043E-4</v>
      </c>
      <c r="M40" s="188">
        <v>2.9193624743569511E-4</v>
      </c>
      <c r="N40" s="189">
        <v>7.1137809745879934E-5</v>
      </c>
      <c r="O40" s="188">
        <v>1.1124442784606949E-4</v>
      </c>
      <c r="P40" s="189">
        <v>1.6647031706192695E-4</v>
      </c>
      <c r="Q40" s="188">
        <v>8.6715227193895247E-5</v>
      </c>
      <c r="R40" s="189">
        <v>1.1094381488232031E-4</v>
      </c>
      <c r="S40" s="188">
        <v>4.1536532178830749E-4</v>
      </c>
      <c r="T40" s="144">
        <v>4.4270207249197965E-4</v>
      </c>
      <c r="U40" s="191">
        <v>4.4270207249197965E-4</v>
      </c>
      <c r="V40" s="383">
        <f>V5/V39</f>
        <v>2.5435988744574982E-4</v>
      </c>
      <c r="W40" s="188">
        <f>W5/W39</f>
        <v>1.3283320577128652E-4</v>
      </c>
      <c r="X40" s="189">
        <f>X5/X39</f>
        <v>5.2507425490395845E-4</v>
      </c>
      <c r="Y40" s="190">
        <f>Y5/Y39</f>
        <v>3.9331057376146498E-5</v>
      </c>
      <c r="Z40" s="189">
        <v>8.7974236116565867E-4</v>
      </c>
      <c r="AA40" s="188">
        <v>3.3626813249121924E-3</v>
      </c>
      <c r="AB40" s="189">
        <v>1.5687751004016064E-4</v>
      </c>
      <c r="AC40" s="188">
        <v>1.261302452444956E-4</v>
      </c>
      <c r="AD40" s="189">
        <v>8.0433698502324538E-5</v>
      </c>
      <c r="AE40" s="188">
        <v>1.6898688339905046E-4</v>
      </c>
      <c r="AF40" s="189">
        <v>2.4714791308302192E-4</v>
      </c>
      <c r="AG40" s="188">
        <v>1.3959981386691485E-4</v>
      </c>
      <c r="AH40" s="144">
        <v>5.0509948702460604E-4</v>
      </c>
      <c r="AI40" s="191">
        <v>5.0509948702460604E-4</v>
      </c>
      <c r="AJ40" s="383">
        <f t="shared" ref="AJ40:AV40" si="769">AJ5/AJ39</f>
        <v>1.792934046921084E-4</v>
      </c>
      <c r="AK40" s="188">
        <f t="shared" si="769"/>
        <v>1.4827005908561855E-4</v>
      </c>
      <c r="AL40" s="189">
        <f t="shared" si="769"/>
        <v>1.8852679773767844E-4</v>
      </c>
      <c r="AM40" s="190">
        <f t="shared" si="769"/>
        <v>1.8839656579974342E-4</v>
      </c>
      <c r="AN40" s="189">
        <f t="shared" si="769"/>
        <v>1.7969936296575829E-4</v>
      </c>
      <c r="AO40" s="618">
        <f t="shared" si="769"/>
        <v>2.0700952243803215E-4</v>
      </c>
      <c r="AP40" s="633">
        <f t="shared" si="769"/>
        <v>2.5220680958385876E-4</v>
      </c>
      <c r="AQ40" s="618">
        <f t="shared" si="769"/>
        <v>1.0565399824916231E-4</v>
      </c>
      <c r="AR40" s="633">
        <f t="shared" si="769"/>
        <v>9.0135563888087689E-5</v>
      </c>
      <c r="AS40" s="618">
        <f t="shared" si="769"/>
        <v>1.7068525638722196E-4</v>
      </c>
      <c r="AT40" s="633">
        <f t="shared" si="769"/>
        <v>1.7920665215092783E-4</v>
      </c>
      <c r="AU40" s="618">
        <f t="shared" si="769"/>
        <v>2.8460635383684943E-4</v>
      </c>
      <c r="AV40" s="144">
        <f t="shared" si="769"/>
        <v>1.7951177141202655E-4</v>
      </c>
      <c r="AW40" s="191">
        <f>SUM(AJ40:AU40)/$AV$4</f>
        <v>1.8114086223458724E-4</v>
      </c>
      <c r="AX40" s="383">
        <f t="shared" ref="AX40:BH40" si="770">AX5/AX39</f>
        <v>2.402156602816751E-4</v>
      </c>
      <c r="AY40" s="188">
        <f t="shared" si="770"/>
        <v>1.6437168921796432E-4</v>
      </c>
      <c r="AZ40" s="189">
        <f t="shared" si="770"/>
        <v>6.1418403844069511E-4</v>
      </c>
      <c r="BA40" s="190">
        <f t="shared" si="770"/>
        <v>7.7721846164969133E-4</v>
      </c>
      <c r="BB40" s="189">
        <f t="shared" si="770"/>
        <v>1.1805410510447789E-4</v>
      </c>
      <c r="BC40" s="618">
        <f t="shared" si="770"/>
        <v>3.8253456473031315E-4</v>
      </c>
      <c r="BD40" s="633">
        <f t="shared" si="770"/>
        <v>2.1903494824285298E-4</v>
      </c>
      <c r="BE40" s="618">
        <f t="shared" si="770"/>
        <v>1.9171079057878402E-4</v>
      </c>
      <c r="BF40" s="633">
        <f t="shared" si="770"/>
        <v>2.9150535185606925E-4</v>
      </c>
      <c r="BG40" s="618">
        <f t="shared" si="770"/>
        <v>2.8971074193110319E-4</v>
      </c>
      <c r="BH40" s="633">
        <f t="shared" si="770"/>
        <v>2.2461209491208683E-4</v>
      </c>
      <c r="BI40" s="618">
        <f t="shared" ref="BI40" si="771">BI5/BI39</f>
        <v>2.6431135878064358E-4</v>
      </c>
      <c r="BJ40" s="144">
        <f>BJ5/BJ39</f>
        <v>3.105039673905996E-4</v>
      </c>
      <c r="BK40" s="191">
        <f>SUM(AX40:BI40)/$BJ$4</f>
        <v>3.1478865047719645E-4</v>
      </c>
      <c r="BL40" s="383">
        <f t="shared" ref="BL40:BX40" si="772">BL5/BL39</f>
        <v>1.0893054799093417E-3</v>
      </c>
      <c r="BM40" s="188">
        <f t="shared" ref="BM40:BN40" si="773">BM5/BM39</f>
        <v>2.7726272375968252E-4</v>
      </c>
      <c r="BN40" s="189">
        <f t="shared" si="773"/>
        <v>6.3861920172599788E-4</v>
      </c>
      <c r="BO40" s="190">
        <f t="shared" ref="BO40" si="774">BO5/BO39</f>
        <v>2.144082332761578E-4</v>
      </c>
      <c r="BP40" s="189">
        <f t="shared" ref="BP40:BQ40" si="775">BP5/BP39</f>
        <v>1.4472519239937343E-4</v>
      </c>
      <c r="BQ40" s="618">
        <f t="shared" si="775"/>
        <v>3.9218026651206806E-4</v>
      </c>
      <c r="BR40" s="633">
        <f t="shared" ref="BR40" si="776">BR5/BR39</f>
        <v>1.3327067273632748E-4</v>
      </c>
      <c r="BS40" s="618">
        <f t="shared" ref="BS40:BU40" si="777">BS5/BS39</f>
        <v>5.6385196323001743E-4</v>
      </c>
      <c r="BT40" s="633">
        <f t="shared" si="777"/>
        <v>1.3279873330439003E-3</v>
      </c>
      <c r="BU40" s="633">
        <f t="shared" si="777"/>
        <v>1.4287034936002487E-4</v>
      </c>
      <c r="BV40" s="633">
        <f t="shared" ref="BV40:BW40" si="778">BV5/BV39</f>
        <v>5.0068426850028375E-5</v>
      </c>
      <c r="BW40" s="633">
        <f t="shared" si="778"/>
        <v>2.2289365496062211E-4</v>
      </c>
      <c r="BX40" s="144">
        <f t="shared" si="772"/>
        <v>4.24825727278625E-4</v>
      </c>
      <c r="BY40" s="191">
        <f>SUM(BL40:BW40)/$BX$4</f>
        <v>4.331202914802952E-4</v>
      </c>
      <c r="BZ40" s="633">
        <f t="shared" ref="BZ40:CA40" si="779">BZ5/BZ39</f>
        <v>1.6148892791537981E-4</v>
      </c>
      <c r="CA40" s="188">
        <f t="shared" si="779"/>
        <v>2.5581568067601355E-4</v>
      </c>
      <c r="CB40" s="189">
        <f t="shared" ref="CB40:CC40" si="780">CB5/CB39</f>
        <v>2.3206663627698811E-4</v>
      </c>
      <c r="CC40" s="190">
        <f t="shared" si="780"/>
        <v>2.0708221163802029E-4</v>
      </c>
      <c r="CD40" s="189">
        <f t="shared" ref="CD40:CE40" si="781">CD5/CD39</f>
        <v>1.3694764450051459E-3</v>
      </c>
      <c r="CE40" s="618">
        <f t="shared" si="781"/>
        <v>3.6752194922752329E-4</v>
      </c>
      <c r="CF40" s="633">
        <f t="shared" ref="CF40:CG40" si="782">CF5/CF39</f>
        <v>8.9666359627314004E-5</v>
      </c>
      <c r="CG40" s="618">
        <f t="shared" si="782"/>
        <v>3.0350804717863976E-4</v>
      </c>
      <c r="CH40" s="633">
        <f t="shared" ref="CH40:CI40" si="783">CH5/CH39</f>
        <v>4.0680379344537387E-4</v>
      </c>
      <c r="CI40" s="633">
        <f t="shared" si="783"/>
        <v>3.7102309618773768E-4</v>
      </c>
      <c r="CJ40" s="633">
        <f t="shared" ref="CJ40:CK40" si="784">CJ5/CJ39</f>
        <v>2.0196580045778916E-4</v>
      </c>
      <c r="CK40" s="633">
        <f t="shared" si="784"/>
        <v>4.2750088014887087E-4</v>
      </c>
      <c r="CL40" s="144">
        <f t="shared" ref="CL40" si="785">CL5/CL39</f>
        <v>3.6197072653747231E-4</v>
      </c>
      <c r="CM40" s="191">
        <f>SUM(BZ40:CK40)/$CL$4</f>
        <v>3.6615998564873306E-4</v>
      </c>
      <c r="CN40" s="633">
        <f t="shared" ref="CN40:CO40" si="786">CN5/CN39</f>
        <v>4.3898758488236504E-4</v>
      </c>
      <c r="CO40" s="188">
        <f t="shared" si="786"/>
        <v>4.2166497426983119E-4</v>
      </c>
      <c r="CP40" s="189">
        <f t="shared" ref="CP40:CQ40" si="787">CP5/CP39</f>
        <v>3.2165801667405613E-4</v>
      </c>
      <c r="CQ40" s="190">
        <f t="shared" si="787"/>
        <v>3.5248797764219112E-4</v>
      </c>
      <c r="CR40" s="189">
        <f t="shared" ref="CR40:CS40" si="788">CR5/CR39</f>
        <v>2.9508970727101037E-4</v>
      </c>
      <c r="CS40" s="618">
        <f t="shared" si="788"/>
        <v>4.1888446733062261E-4</v>
      </c>
      <c r="CT40" s="1028">
        <f t="shared" ref="CT40:CU40" si="789">CT5/CT39</f>
        <v>8.9666359627314004E-5</v>
      </c>
      <c r="CU40" s="618">
        <f t="shared" si="789"/>
        <v>8.6184316144350282E-4</v>
      </c>
      <c r="CV40" s="633">
        <f t="shared" ref="CV40:CW40" si="790">CV5/CV39</f>
        <v>1.5165046253391072E-4</v>
      </c>
      <c r="CW40" s="1099">
        <f t="shared" si="790"/>
        <v>2.6061808521370681E-4</v>
      </c>
      <c r="CX40" s="633">
        <f t="shared" ref="CX40:CY40" si="791">CX5/CX39</f>
        <v>3.9451374082965401E-4</v>
      </c>
      <c r="CY40" s="188">
        <f t="shared" si="791"/>
        <v>1.850557223341695E-4</v>
      </c>
      <c r="CZ40" s="144">
        <f t="shared" ref="CZ40" si="792">CZ5/CZ39</f>
        <v>3.4803985423743531E-4</v>
      </c>
      <c r="DA40" s="191">
        <f>SUM(CN40:CY40)/$CZ$4</f>
        <v>3.493433550043612E-4</v>
      </c>
      <c r="DB40" s="633">
        <f t="shared" ref="DB40:DC40" si="793">DB5/DB39</f>
        <v>3.2410062077734285E-4</v>
      </c>
      <c r="DC40" s="188">
        <f t="shared" si="793"/>
        <v>3.4872425045043547E-4</v>
      </c>
      <c r="DD40" s="189">
        <f t="shared" ref="DD40:DE40" si="794">DD5/DD39</f>
        <v>3.8187901076732774E-4</v>
      </c>
      <c r="DE40" s="190">
        <f t="shared" si="794"/>
        <v>3.3145776742982797E-4</v>
      </c>
      <c r="DF40" s="189">
        <f t="shared" ref="DF40:DG40" si="795">DF5/DF39</f>
        <v>2.3555786600818767E-4</v>
      </c>
      <c r="DG40" s="618">
        <f t="shared" si="795"/>
        <v>2.5883695926304473E-4</v>
      </c>
      <c r="DH40" s="1028">
        <f t="shared" ref="DH40:DI40" si="796">DH5/DH39</f>
        <v>3.910418822149264E-4</v>
      </c>
      <c r="DI40" s="618">
        <f t="shared" si="796"/>
        <v>2.8588698479081243E-4</v>
      </c>
      <c r="DJ40" s="633">
        <f t="shared" ref="DJ40:DK40" si="797">DJ5/DJ39</f>
        <v>1.8785938316779927E-4</v>
      </c>
      <c r="DK40" s="618">
        <f t="shared" si="797"/>
        <v>4.5453069705529041E-4</v>
      </c>
      <c r="DL40" s="633"/>
      <c r="DM40" s="618"/>
      <c r="DN40" s="144">
        <f t="shared" ref="DN40" si="798">DN5/DN39</f>
        <v>3.1852180273736675E-4</v>
      </c>
      <c r="DO40" s="191">
        <f>SUM(DB40:DM40)/$DN$4</f>
        <v>3.1998754219249954E-4</v>
      </c>
      <c r="DP40" s="633"/>
      <c r="DQ40" s="188"/>
      <c r="DR40" s="189"/>
      <c r="DS40" s="190"/>
      <c r="DT40" s="189"/>
      <c r="DU40" s="618"/>
      <c r="DV40" s="1028"/>
      <c r="DW40" s="618"/>
      <c r="DX40" s="633"/>
      <c r="DY40" s="618"/>
      <c r="DZ40" s="633"/>
      <c r="EA40" s="618"/>
      <c r="EB40" s="144" t="e">
        <f t="shared" ref="EB40" si="799">EB5/EB39</f>
        <v>#DIV/0!</v>
      </c>
      <c r="EC40" s="191" t="e">
        <f>SUM(DP40:EA40)/$EB$4</f>
        <v>#DIV/0!</v>
      </c>
      <c r="ED40" s="677">
        <f>AX40-AU40</f>
        <v>-4.4390693555174338E-5</v>
      </c>
      <c r="EE40" s="678">
        <f>ED40/AU40</f>
        <v>-0.15597225064279943</v>
      </c>
      <c r="EF40" s="677">
        <f>AY40-AX40</f>
        <v>-7.5843971063710777E-5</v>
      </c>
      <c r="EG40" s="678">
        <f>EF40/AX40</f>
        <v>-0.31573283346629732</v>
      </c>
      <c r="EH40" s="677">
        <f>AZ40-AY40</f>
        <v>4.4981234922273077E-4</v>
      </c>
      <c r="EI40" s="678">
        <f>EH40/AY40</f>
        <v>2.7365561025917255</v>
      </c>
      <c r="EJ40" s="677">
        <f>BA40-AZ40</f>
        <v>1.6303442320899622E-4</v>
      </c>
      <c r="EK40" s="678">
        <f>EJ40/AZ40</f>
        <v>0.26544881176481216</v>
      </c>
      <c r="EL40" s="677">
        <f>BB40-BA40</f>
        <v>-6.5916435654521344E-4</v>
      </c>
      <c r="EM40" s="678">
        <f>EL40/BA40</f>
        <v>-0.8481069211172606</v>
      </c>
      <c r="EN40" s="677">
        <f>BC40-BB40</f>
        <v>2.6448045962583526E-4</v>
      </c>
      <c r="EO40" s="678">
        <f>EN40/BB40</f>
        <v>2.2403325948874886</v>
      </c>
      <c r="EP40" s="677">
        <f>BD40-BC40</f>
        <v>-1.6349961648746018E-4</v>
      </c>
      <c r="EQ40" s="678">
        <f>EP40/BC40</f>
        <v>-0.42741135458629054</v>
      </c>
      <c r="ER40" s="677">
        <f>BE40-BD40</f>
        <v>-2.7324157664068959E-5</v>
      </c>
      <c r="ES40" s="678">
        <f>ER40/BD40</f>
        <v>-0.12474793581238712</v>
      </c>
      <c r="ET40" s="677">
        <f>BF40-BE40</f>
        <v>9.9794561277285229E-5</v>
      </c>
      <c r="EU40" s="678">
        <f>ET40/BE40</f>
        <v>0.52054744011018206</v>
      </c>
      <c r="EV40" s="677">
        <f>BG40-BF40</f>
        <v>-1.7946099249660594E-6</v>
      </c>
      <c r="EW40" s="242">
        <f>EV40/BF40</f>
        <v>-6.156353266035911E-3</v>
      </c>
      <c r="EX40" s="677">
        <f>BH40-BG40</f>
        <v>-6.509864701901636E-5</v>
      </c>
      <c r="EY40" s="678">
        <f>EX40/BG40</f>
        <v>-0.22470222051517036</v>
      </c>
      <c r="EZ40" s="677">
        <f>BI40-BH40</f>
        <v>3.9699263868556752E-5</v>
      </c>
      <c r="FA40" s="678">
        <f>EZ40/BH40</f>
        <v>0.17674588665447888</v>
      </c>
      <c r="FB40" s="677">
        <f>BL40-BI40</f>
        <v>8.2499412112869812E-4</v>
      </c>
      <c r="FC40" s="678">
        <f>FB40/BI40</f>
        <v>3.1212965077803356</v>
      </c>
      <c r="FD40" s="397">
        <f>BM40-BL40</f>
        <v>-8.1204275614965918E-4</v>
      </c>
      <c r="FE40" s="407">
        <f>FD40/BL40</f>
        <v>-0.745468347609196</v>
      </c>
      <c r="FF40" s="397">
        <f>BN40-BM40</f>
        <v>3.6135647796631536E-4</v>
      </c>
      <c r="FG40" s="407">
        <f>FF40/BM40</f>
        <v>1.3032998921251351</v>
      </c>
      <c r="FH40" s="397">
        <f>BO40-BN40</f>
        <v>-4.2421096844984008E-4</v>
      </c>
      <c r="FI40" s="407">
        <f>FH40/BN40</f>
        <v>-0.66426278336655697</v>
      </c>
      <c r="FJ40" s="397">
        <f>BP40-BO40</f>
        <v>-6.9683040876784369E-5</v>
      </c>
      <c r="FK40" s="407">
        <f>FJ40/BO40</f>
        <v>-0.32500170264932232</v>
      </c>
      <c r="FL40" s="397">
        <f>BQ40-BP40</f>
        <v>2.4745507411269465E-4</v>
      </c>
      <c r="FM40" s="407">
        <f>FL40/BP40</f>
        <v>1.709827225033739</v>
      </c>
      <c r="FN40" s="397">
        <f>BR40-BQ40</f>
        <v>-2.5890959377574058E-4</v>
      </c>
      <c r="FO40" s="407">
        <f>FN40/BQ40</f>
        <v>-0.6601800648421291</v>
      </c>
      <c r="FP40" s="397">
        <f>BS40-BR40</f>
        <v>4.3058129049368995E-4</v>
      </c>
      <c r="FQ40" s="407">
        <f>FP40/BR40</f>
        <v>3.2308780443059946</v>
      </c>
      <c r="FR40" s="397">
        <f>BT40-BS40</f>
        <v>7.6413536981388285E-4</v>
      </c>
      <c r="FS40" s="407">
        <f>FR40/BS40</f>
        <v>1.3552056561735548</v>
      </c>
      <c r="FT40" s="397">
        <f>BU40-BT40</f>
        <v>-1.1851169836838754E-3</v>
      </c>
      <c r="FU40" s="407">
        <f>FT40/BT40</f>
        <v>-0.89241587942518286</v>
      </c>
      <c r="FV40" s="397">
        <f>BV40-BU40</f>
        <v>-9.2801922509996501E-5</v>
      </c>
      <c r="FW40" s="407">
        <f>FV40/BU40</f>
        <v>-0.64955340926717497</v>
      </c>
      <c r="FX40" s="946">
        <f>BW40-BV40</f>
        <v>1.7282522811059374E-4</v>
      </c>
      <c r="FY40" s="407">
        <f>FX40/BV40</f>
        <v>3.4517806726435185</v>
      </c>
      <c r="FZ40" s="397">
        <f>BZ40-BW40</f>
        <v>-6.1404727045242299E-5</v>
      </c>
      <c r="GA40" s="407">
        <f>FZ40/BW40</f>
        <v>-0.27548889651475483</v>
      </c>
      <c r="GB40" s="397">
        <f>CA40-BZ40</f>
        <v>9.4326752760633738E-5</v>
      </c>
      <c r="GC40" s="407">
        <f>GB40/BZ40</f>
        <v>0.58410662562612936</v>
      </c>
      <c r="GD40" s="397">
        <f>CB40-CA40</f>
        <v>-2.3749044399025437E-5</v>
      </c>
      <c r="GE40" s="407">
        <f>GD40/CA40</f>
        <v>-9.2836546752203278E-2</v>
      </c>
      <c r="GF40" s="397">
        <f>CC40-CB40</f>
        <v>-2.4984424638967818E-5</v>
      </c>
      <c r="GG40" s="407">
        <f>GF40/CB40</f>
        <v>-0.10766056267195222</v>
      </c>
      <c r="GH40" s="397">
        <f>CD40-CC40</f>
        <v>1.1623942333671257E-3</v>
      </c>
      <c r="GI40" s="407">
        <f>GH40/CC40</f>
        <v>5.6132017529298501</v>
      </c>
      <c r="GJ40" s="397">
        <f>CE40-CD40</f>
        <v>-1.0019544957776227E-3</v>
      </c>
      <c r="GK40" s="407">
        <f>GJ40/CD40</f>
        <v>-0.73163324526830964</v>
      </c>
      <c r="GL40" s="397">
        <f>CF40-CE40</f>
        <v>-2.7785558960020929E-4</v>
      </c>
      <c r="GM40" s="407">
        <f>GL40/CE40</f>
        <v>-0.75602447740664358</v>
      </c>
      <c r="GN40" s="397">
        <f>CG40-CF40</f>
        <v>2.1384168755132576E-4</v>
      </c>
      <c r="GO40" s="407">
        <f>GN40/CF40</f>
        <v>2.3848597003394536</v>
      </c>
      <c r="GP40" s="397">
        <f>CH40-CG40</f>
        <v>1.0329574626673411E-4</v>
      </c>
      <c r="GQ40" s="407">
        <f>GP40/CG40</f>
        <v>0.3403393986648926</v>
      </c>
      <c r="GR40" s="397">
        <f>CI40-CH40</f>
        <v>-3.578069725763619E-5</v>
      </c>
      <c r="GS40" s="407">
        <f>GR40/CH40</f>
        <v>-8.7955662740005561E-2</v>
      </c>
      <c r="GT40" s="397">
        <f>CJ40-CI40</f>
        <v>-1.6905729572994852E-4</v>
      </c>
      <c r="GU40" s="407">
        <f>GT40/CI40</f>
        <v>-0.45565167631614378</v>
      </c>
      <c r="GV40" s="397">
        <f>CK40-CJ40</f>
        <v>2.2553507969108171E-4</v>
      </c>
      <c r="GW40" s="407">
        <f>GV40/CJ40</f>
        <v>1.1166993579104425</v>
      </c>
      <c r="GX40" s="397">
        <f>CN40-CK40</f>
        <v>1.1486704733494168E-5</v>
      </c>
      <c r="GY40" s="407">
        <f>GX40/CK40</f>
        <v>2.6869429437184067E-2</v>
      </c>
      <c r="GZ40" s="397">
        <f>CO40-CN40</f>
        <v>-1.7322610612533851E-5</v>
      </c>
      <c r="HA40" s="407">
        <f>GZ40/CN40</f>
        <v>-3.9460365643770472E-2</v>
      </c>
      <c r="HB40" s="397">
        <f>CP40-CO40</f>
        <v>-1.0000695759577506E-4</v>
      </c>
      <c r="HC40" s="407">
        <f>HB40/CO40</f>
        <v>-0.23717160233417625</v>
      </c>
      <c r="HD40" s="397">
        <f>CQ40-CP40</f>
        <v>3.0829960968134994E-5</v>
      </c>
      <c r="HE40" s="407">
        <f>HD40/CP40</f>
        <v>9.5847015681178385E-2</v>
      </c>
      <c r="HF40" s="397">
        <f>CR40-CQ40</f>
        <v>-5.7398270371180748E-5</v>
      </c>
      <c r="HG40" s="407">
        <f>HF40/CQ40</f>
        <v>-0.16283752641755475</v>
      </c>
      <c r="HH40" s="397">
        <f>CS40-CR40</f>
        <v>1.2379476005961224E-4</v>
      </c>
      <c r="HI40" s="407">
        <f>HH40/CR40</f>
        <v>0.41951568289001395</v>
      </c>
      <c r="HJ40" s="397">
        <f>CT40-CS40</f>
        <v>-3.2921810770330861E-4</v>
      </c>
      <c r="HK40" s="407">
        <f>HJ40/CS40</f>
        <v>-0.78594011805040032</v>
      </c>
      <c r="HL40" s="397">
        <f t="shared" si="728"/>
        <v>7.7217680181618882E-4</v>
      </c>
      <c r="HM40" s="407">
        <f>HL40/CT40</f>
        <v>8.6116666833095081</v>
      </c>
      <c r="HN40" s="397">
        <f t="shared" si="729"/>
        <v>-7.101926989095921E-4</v>
      </c>
      <c r="HO40" s="407">
        <f>HN40/CU40</f>
        <v>-0.8240393736142072</v>
      </c>
      <c r="HP40" s="397">
        <f>CW40-CV40</f>
        <v>1.0896762267979609E-4</v>
      </c>
      <c r="HQ40" s="407">
        <f>HP40/CV40</f>
        <v>0.71854461146420656</v>
      </c>
      <c r="HR40" s="397">
        <f>CX40-CW40</f>
        <v>1.338956556159472E-4</v>
      </c>
      <c r="HS40" s="407">
        <f>HR40/CW40</f>
        <v>0.51376194981308676</v>
      </c>
      <c r="HT40" s="397">
        <f>CY40-CX40</f>
        <v>-2.0945801849548451E-4</v>
      </c>
      <c r="HU40" s="407">
        <f>HT40/CX40</f>
        <v>-0.53092705479661806</v>
      </c>
      <c r="HV40" s="397">
        <f>DB40-CY40</f>
        <v>1.3904489844317335E-4</v>
      </c>
      <c r="HW40" s="407">
        <f>HV40/CY40</f>
        <v>0.75136773232058818</v>
      </c>
      <c r="HX40" s="397">
        <f>DC40-DB40</f>
        <v>2.4623629673092623E-5</v>
      </c>
      <c r="HY40" s="407">
        <f>HX40/DB40</f>
        <v>7.5975262293647552E-2</v>
      </c>
      <c r="HZ40" s="397">
        <f>DD40-DC40</f>
        <v>3.3154760316892265E-5</v>
      </c>
      <c r="IA40" s="407">
        <f>HZ40/DD40</f>
        <v>8.6820064423736784E-2</v>
      </c>
      <c r="IB40" s="397">
        <f>DE40-DD40</f>
        <v>-5.0421243337499765E-5</v>
      </c>
      <c r="IC40" s="407">
        <f>IB40/DD40</f>
        <v>-0.13203460236315673</v>
      </c>
      <c r="ID40" s="397">
        <f>DF40-DE40</f>
        <v>-9.5899901421640305E-5</v>
      </c>
      <c r="IE40" s="407">
        <f>ID40/DO40</f>
        <v>-0.29969885941355934</v>
      </c>
      <c r="IF40" s="397">
        <f>DG40-DF40</f>
        <v>2.3279093254857062E-5</v>
      </c>
      <c r="IG40" s="407">
        <f>IF40/DF40</f>
        <v>9.882536995834354E-2</v>
      </c>
      <c r="IH40" s="397">
        <f>DH40-DG40</f>
        <v>1.3220492295188167E-4</v>
      </c>
      <c r="II40" s="407">
        <f>IH40/DG40</f>
        <v>0.51076524515004662</v>
      </c>
      <c r="IJ40" s="397">
        <f>DI40-DH40</f>
        <v>-1.0515489742411396E-4</v>
      </c>
      <c r="IK40" s="407">
        <f>IJ40/DH40</f>
        <v>-0.26890955216484508</v>
      </c>
      <c r="IL40" s="397">
        <f>DJ40-DI40</f>
        <v>-9.8027601623013169E-5</v>
      </c>
      <c r="IM40" s="407">
        <f>IL40/DI40</f>
        <v>-0.34288934732282883</v>
      </c>
      <c r="IN40" s="397">
        <f>DK40-DJ40</f>
        <v>2.6667131388749115E-4</v>
      </c>
      <c r="IO40" s="407">
        <f>IN40/DJ40</f>
        <v>1.4195261870379703</v>
      </c>
      <c r="IP40" s="397">
        <f>DL40-DK40</f>
        <v>-4.5453069705529041E-4</v>
      </c>
      <c r="IQ40" s="407">
        <f t="shared" si="730"/>
        <v>-1.6609588110575021E-4</v>
      </c>
      <c r="IR40" s="397">
        <f t="shared" si="731"/>
        <v>0.26528577734160319</v>
      </c>
      <c r="IS40" s="407">
        <f>IR40/EJ40</f>
        <v>1627.1764705882356</v>
      </c>
      <c r="IT40" s="633">
        <f>CW40</f>
        <v>2.6061808521370681E-4</v>
      </c>
      <c r="IU40" s="1072">
        <f>DK40</f>
        <v>4.5453069705529041E-4</v>
      </c>
      <c r="IV40" s="677">
        <f>(IU40-IT40)*100</f>
        <v>1.9391261184158362E-2</v>
      </c>
      <c r="IW40" s="242">
        <f>IF(ISERROR((IV40/IT40)/100),0,(IV40/IT40)/100)</f>
        <v>0.74404894688169976</v>
      </c>
      <c r="IX40" s="696"/>
      <c r="IY40" s="696"/>
      <c r="IZ40" s="696"/>
      <c r="JA40" s="931" t="str">
        <f>E40</f>
        <v>Payrolls Processed Off-Cycle %</v>
      </c>
      <c r="JB40" s="286" t="e">
        <f>#REF!</f>
        <v>#REF!</v>
      </c>
      <c r="JC40" s="286" t="e">
        <f>#REF!</f>
        <v>#REF!</v>
      </c>
      <c r="JD40" s="286" t="e">
        <f>#REF!</f>
        <v>#REF!</v>
      </c>
      <c r="JE40" s="286" t="e">
        <f>#REF!</f>
        <v>#REF!</v>
      </c>
      <c r="JF40" s="286" t="e">
        <f>#REF!</f>
        <v>#REF!</v>
      </c>
      <c r="JG40" s="286" t="e">
        <f>#REF!</f>
        <v>#REF!</v>
      </c>
      <c r="JH40" s="286" t="e">
        <f>#REF!</f>
        <v>#REF!</v>
      </c>
      <c r="JI40" s="286" t="e">
        <f>#REF!</f>
        <v>#REF!</v>
      </c>
      <c r="JJ40" s="286" t="e">
        <f>#REF!</f>
        <v>#REF!</v>
      </c>
      <c r="JK40" s="286" t="e">
        <f>#REF!</f>
        <v>#REF!</v>
      </c>
      <c r="JL40" s="286" t="e">
        <f>#REF!</f>
        <v>#REF!</v>
      </c>
      <c r="JM40" s="287">
        <f t="shared" si="732"/>
        <v>1.792934046921084E-4</v>
      </c>
      <c r="JN40" s="287">
        <f t="shared" si="732"/>
        <v>1.4827005908561855E-4</v>
      </c>
      <c r="JO40" s="287">
        <f t="shared" si="732"/>
        <v>1.8852679773767844E-4</v>
      </c>
      <c r="JP40" s="287">
        <f t="shared" si="732"/>
        <v>1.8839656579974342E-4</v>
      </c>
      <c r="JQ40" s="287">
        <f t="shared" si="732"/>
        <v>1.7969936296575829E-4</v>
      </c>
      <c r="JR40" s="287">
        <f t="shared" si="732"/>
        <v>2.0700952243803215E-4</v>
      </c>
      <c r="JS40" s="287">
        <f t="shared" si="732"/>
        <v>2.5220680958385876E-4</v>
      </c>
      <c r="JT40" s="287">
        <f t="shared" si="732"/>
        <v>1.0565399824916231E-4</v>
      </c>
      <c r="JU40" s="287">
        <f t="shared" si="732"/>
        <v>9.0135563888087689E-5</v>
      </c>
      <c r="JV40" s="287">
        <f t="shared" si="732"/>
        <v>1.7068525638722196E-4</v>
      </c>
      <c r="JW40" s="287">
        <f t="shared" si="732"/>
        <v>1.7920665215092783E-4</v>
      </c>
      <c r="JX40" s="287">
        <f t="shared" si="732"/>
        <v>2.8460635383684943E-4</v>
      </c>
      <c r="JY40" s="287">
        <f t="shared" si="733"/>
        <v>2.402156602816751E-4</v>
      </c>
      <c r="JZ40" s="287">
        <f t="shared" si="733"/>
        <v>1.6437168921796432E-4</v>
      </c>
      <c r="KA40" s="287">
        <f t="shared" si="733"/>
        <v>6.1418403844069511E-4</v>
      </c>
      <c r="KB40" s="287">
        <f t="shared" si="733"/>
        <v>7.7721846164969133E-4</v>
      </c>
      <c r="KC40" s="287">
        <f t="shared" si="733"/>
        <v>1.1805410510447789E-4</v>
      </c>
      <c r="KD40" s="287">
        <f t="shared" si="733"/>
        <v>3.8253456473031315E-4</v>
      </c>
      <c r="KE40" s="287">
        <f t="shared" si="733"/>
        <v>2.1903494824285298E-4</v>
      </c>
      <c r="KF40" s="287">
        <f t="shared" si="733"/>
        <v>1.9171079057878402E-4</v>
      </c>
      <c r="KG40" s="287">
        <f t="shared" si="733"/>
        <v>2.9150535185606925E-4</v>
      </c>
      <c r="KH40" s="287">
        <f t="shared" si="733"/>
        <v>2.8971074193110319E-4</v>
      </c>
      <c r="KI40" s="287">
        <f t="shared" si="733"/>
        <v>2.2461209491208683E-4</v>
      </c>
      <c r="KJ40" s="287">
        <f t="shared" si="733"/>
        <v>2.6431135878064358E-4</v>
      </c>
      <c r="KK40" s="800">
        <f t="shared" si="734"/>
        <v>1.0893054799093417E-3</v>
      </c>
      <c r="KL40" s="800">
        <f t="shared" si="734"/>
        <v>2.7726272375968252E-4</v>
      </c>
      <c r="KM40" s="800">
        <f t="shared" si="734"/>
        <v>6.3861920172599788E-4</v>
      </c>
      <c r="KN40" s="800">
        <f t="shared" si="734"/>
        <v>2.144082332761578E-4</v>
      </c>
      <c r="KO40" s="800">
        <f t="shared" si="734"/>
        <v>1.4472519239937343E-4</v>
      </c>
      <c r="KP40" s="800">
        <f t="shared" si="734"/>
        <v>3.9218026651206806E-4</v>
      </c>
      <c r="KQ40" s="800">
        <f t="shared" si="734"/>
        <v>1.3327067273632748E-4</v>
      </c>
      <c r="KR40" s="800">
        <f t="shared" si="734"/>
        <v>5.6385196323001743E-4</v>
      </c>
      <c r="KS40" s="800">
        <f t="shared" si="734"/>
        <v>1.3279873330439003E-3</v>
      </c>
      <c r="KT40" s="800">
        <f t="shared" si="734"/>
        <v>1.4287034936002487E-4</v>
      </c>
      <c r="KU40" s="800">
        <f t="shared" si="734"/>
        <v>5.0068426850028375E-5</v>
      </c>
      <c r="KV40" s="800">
        <f t="shared" si="734"/>
        <v>2.2289365496062211E-4</v>
      </c>
      <c r="KW40" s="912">
        <f t="shared" si="735"/>
        <v>1.6148892791537981E-4</v>
      </c>
      <c r="KX40" s="912">
        <f t="shared" si="735"/>
        <v>2.5581568067601355E-4</v>
      </c>
      <c r="KY40" s="912">
        <f t="shared" si="735"/>
        <v>2.3206663627698811E-4</v>
      </c>
      <c r="KZ40" s="912">
        <f t="shared" si="735"/>
        <v>2.0708221163802029E-4</v>
      </c>
      <c r="LA40" s="912">
        <f t="shared" si="735"/>
        <v>1.3694764450051459E-3</v>
      </c>
      <c r="LB40" s="912">
        <f t="shared" si="735"/>
        <v>3.6752194922752329E-4</v>
      </c>
      <c r="LC40" s="912">
        <f t="shared" si="735"/>
        <v>8.9666359627314004E-5</v>
      </c>
      <c r="LD40" s="912">
        <f t="shared" si="735"/>
        <v>3.0350804717863976E-4</v>
      </c>
      <c r="LE40" s="912">
        <f t="shared" si="735"/>
        <v>4.0680379344537387E-4</v>
      </c>
      <c r="LF40" s="912">
        <f t="shared" si="735"/>
        <v>3.7102309618773768E-4</v>
      </c>
      <c r="LG40" s="912">
        <f t="shared" si="735"/>
        <v>2.0196580045778916E-4</v>
      </c>
      <c r="LH40" s="912">
        <f t="shared" si="735"/>
        <v>4.2750088014887087E-4</v>
      </c>
      <c r="LI40" s="971">
        <f t="shared" si="736"/>
        <v>4.3898758488236504E-4</v>
      </c>
      <c r="LJ40" s="971">
        <f t="shared" si="736"/>
        <v>4.2166497426983119E-4</v>
      </c>
      <c r="LK40" s="971">
        <f t="shared" si="736"/>
        <v>3.2165801667405613E-4</v>
      </c>
      <c r="LL40" s="971">
        <f t="shared" si="736"/>
        <v>3.5248797764219112E-4</v>
      </c>
      <c r="LM40" s="971">
        <f t="shared" si="736"/>
        <v>2.9508970727101037E-4</v>
      </c>
      <c r="LN40" s="971">
        <f t="shared" si="736"/>
        <v>4.1888446733062261E-4</v>
      </c>
      <c r="LO40" s="971">
        <f t="shared" si="736"/>
        <v>8.9666359627314004E-5</v>
      </c>
      <c r="LP40" s="971">
        <f t="shared" si="736"/>
        <v>8.6184316144350282E-4</v>
      </c>
      <c r="LQ40" s="971">
        <f t="shared" si="736"/>
        <v>1.5165046253391072E-4</v>
      </c>
      <c r="LR40" s="971">
        <f t="shared" si="736"/>
        <v>2.6061808521370681E-4</v>
      </c>
      <c r="LS40" s="971">
        <f t="shared" si="736"/>
        <v>3.9451374082965401E-4</v>
      </c>
      <c r="LT40" s="971">
        <f t="shared" si="736"/>
        <v>1.850557223341695E-4</v>
      </c>
      <c r="LU40" s="1167">
        <f t="shared" si="737"/>
        <v>3.2410062077734285E-4</v>
      </c>
      <c r="LV40" s="1167">
        <f t="shared" si="737"/>
        <v>3.4872425045043547E-4</v>
      </c>
      <c r="LW40" s="1167">
        <f t="shared" si="737"/>
        <v>3.8187901076732774E-4</v>
      </c>
      <c r="LX40" s="1167">
        <f t="shared" si="737"/>
        <v>3.3145776742982797E-4</v>
      </c>
      <c r="LY40" s="1167">
        <f t="shared" si="737"/>
        <v>2.3555786600818767E-4</v>
      </c>
      <c r="LZ40" s="1167">
        <f t="shared" si="737"/>
        <v>2.5883695926304473E-4</v>
      </c>
      <c r="MA40" s="1167">
        <f t="shared" si="737"/>
        <v>3.910418822149264E-4</v>
      </c>
      <c r="MB40" s="1167">
        <f t="shared" si="737"/>
        <v>2.8588698479081243E-4</v>
      </c>
      <c r="MC40" s="1167">
        <f t="shared" si="737"/>
        <v>1.8785938316779927E-4</v>
      </c>
      <c r="MD40" s="1167">
        <f t="shared" si="737"/>
        <v>4.5453069705529041E-4</v>
      </c>
      <c r="ME40" s="1167">
        <f t="shared" si="737"/>
        <v>0</v>
      </c>
      <c r="MF40" s="1167">
        <f t="shared" si="737"/>
        <v>0</v>
      </c>
      <c r="MG40" s="1189">
        <f t="shared" si="738"/>
        <v>0</v>
      </c>
      <c r="MH40" s="1189">
        <f t="shared" si="738"/>
        <v>0</v>
      </c>
      <c r="MI40" s="1189">
        <f t="shared" si="738"/>
        <v>0</v>
      </c>
      <c r="MJ40" s="1189">
        <f t="shared" si="738"/>
        <v>0</v>
      </c>
      <c r="MK40" s="1189">
        <f t="shared" si="738"/>
        <v>0</v>
      </c>
      <c r="ML40" s="1189">
        <f t="shared" si="738"/>
        <v>0</v>
      </c>
      <c r="MM40" s="1189">
        <f t="shared" si="738"/>
        <v>0</v>
      </c>
      <c r="MN40" s="1189">
        <f t="shared" si="738"/>
        <v>0</v>
      </c>
      <c r="MO40" s="1189">
        <f t="shared" si="738"/>
        <v>0</v>
      </c>
      <c r="MP40" s="1189">
        <f t="shared" si="738"/>
        <v>0</v>
      </c>
      <c r="MQ40" s="1189">
        <f t="shared" si="739"/>
        <v>0</v>
      </c>
      <c r="MR40" s="1189">
        <f t="shared" si="739"/>
        <v>0</v>
      </c>
    </row>
    <row r="41" spans="1:356" ht="15.75" customHeight="1" x14ac:dyDescent="0.25">
      <c r="A41" s="764">
        <v>6</v>
      </c>
      <c r="B41" s="7" t="s">
        <v>16</v>
      </c>
      <c r="C41" s="9"/>
      <c r="D41" s="449"/>
      <c r="E41" s="450"/>
      <c r="F41" s="450"/>
      <c r="G41" s="450"/>
      <c r="H41" s="170"/>
      <c r="I41" s="67"/>
      <c r="J41" s="313"/>
      <c r="K41" s="67"/>
      <c r="M41" s="67"/>
      <c r="O41" s="67"/>
      <c r="Q41" s="67"/>
      <c r="S41" s="67"/>
      <c r="T41" s="139"/>
      <c r="U41" s="154"/>
      <c r="V41" s="170"/>
      <c r="W41" s="67"/>
      <c r="X41" s="313"/>
      <c r="Y41" s="67"/>
      <c r="AA41" s="67"/>
      <c r="AC41" s="67"/>
      <c r="AE41" s="67"/>
      <c r="AG41" s="67"/>
      <c r="AH41" s="139"/>
      <c r="AI41" s="154"/>
      <c r="AJ41" s="170"/>
      <c r="AK41" s="67"/>
      <c r="AL41" s="313"/>
      <c r="AM41" s="67"/>
      <c r="AO41" s="67"/>
      <c r="AP41" s="27"/>
      <c r="AQ41" s="67"/>
      <c r="AR41" s="27"/>
      <c r="AS41" s="67"/>
      <c r="AT41" s="27"/>
      <c r="AU41" s="67"/>
      <c r="AV41" s="139"/>
      <c r="AW41" s="154"/>
      <c r="AX41" s="170"/>
      <c r="AY41" s="67"/>
      <c r="AZ41" s="313"/>
      <c r="BA41" s="67"/>
      <c r="BC41" s="67"/>
      <c r="BD41" s="27"/>
      <c r="BE41" s="67"/>
      <c r="BF41" s="27"/>
      <c r="BG41" s="67"/>
      <c r="BH41" s="27"/>
      <c r="BI41" s="67"/>
      <c r="BJ41" s="139"/>
      <c r="BK41" s="154"/>
      <c r="BL41" s="170"/>
      <c r="BM41" s="67"/>
      <c r="BN41" s="313"/>
      <c r="BO41" s="67"/>
      <c r="BQ41" s="67"/>
      <c r="BR41" s="27"/>
      <c r="BS41" s="67"/>
      <c r="BT41" s="27"/>
      <c r="BV41" s="27"/>
      <c r="BX41" s="139"/>
      <c r="BY41" s="154"/>
      <c r="BZ41" s="27"/>
      <c r="CA41" s="67"/>
      <c r="CB41" s="313"/>
      <c r="CC41" s="67"/>
      <c r="CE41" s="67"/>
      <c r="CF41" s="27"/>
      <c r="CG41" s="67"/>
      <c r="CH41" s="27"/>
      <c r="CJ41" s="27"/>
      <c r="CL41" s="139"/>
      <c r="CM41" s="154"/>
      <c r="CN41" s="27"/>
      <c r="CO41" s="67"/>
      <c r="CP41" s="313"/>
      <c r="CQ41" s="67"/>
      <c r="CS41" s="67"/>
      <c r="CT41" s="37"/>
      <c r="CU41" s="67"/>
      <c r="CV41" s="27"/>
      <c r="CW41" s="1066"/>
      <c r="CX41" s="27"/>
      <c r="CY41" s="67"/>
      <c r="CZ41" s="139"/>
      <c r="DA41" s="154"/>
      <c r="DB41" s="27"/>
      <c r="DC41" s="67"/>
      <c r="DD41" s="313"/>
      <c r="DE41" s="67"/>
      <c r="DG41" s="67"/>
      <c r="DH41" s="37"/>
      <c r="DI41" s="67"/>
      <c r="DJ41" s="27"/>
      <c r="DK41" s="67"/>
      <c r="DL41" s="27"/>
      <c r="DM41" s="67"/>
      <c r="DN41" s="139"/>
      <c r="DO41" s="154"/>
      <c r="DP41" s="27"/>
      <c r="DQ41" s="67"/>
      <c r="DR41" s="313"/>
      <c r="DS41" s="67"/>
      <c r="DU41" s="67"/>
      <c r="DV41" s="37"/>
      <c r="DW41" s="67"/>
      <c r="DX41" s="27"/>
      <c r="DY41" s="67"/>
      <c r="DZ41" s="27"/>
      <c r="EA41" s="67"/>
      <c r="EB41" s="139"/>
      <c r="EC41" s="154"/>
      <c r="ED41" s="118"/>
      <c r="EE41" s="663"/>
      <c r="EF41" s="118"/>
      <c r="EG41" s="663"/>
      <c r="EH41" s="118"/>
      <c r="EI41" s="663"/>
      <c r="EJ41" s="118"/>
      <c r="EK41" s="663"/>
      <c r="EL41" s="118"/>
      <c r="EM41" s="663"/>
      <c r="EN41" s="118"/>
      <c r="EO41" s="663"/>
      <c r="EP41" s="118"/>
      <c r="EQ41" s="663"/>
      <c r="ER41" s="118"/>
      <c r="ES41" s="663"/>
      <c r="ET41" s="118"/>
      <c r="EU41" s="663"/>
      <c r="EV41" s="118"/>
      <c r="EW41" s="109"/>
      <c r="EX41" s="118"/>
      <c r="EY41" s="663"/>
      <c r="EZ41" s="118"/>
      <c r="FA41" s="663"/>
      <c r="FB41" s="118"/>
      <c r="FC41" s="663"/>
      <c r="FD41" s="319"/>
      <c r="FE41" s="402"/>
      <c r="FF41" s="319"/>
      <c r="FG41" s="402"/>
      <c r="FH41" s="319"/>
      <c r="FI41" s="402"/>
      <c r="FJ41" s="319"/>
      <c r="FK41" s="402"/>
      <c r="FL41" s="319"/>
      <c r="FM41" s="402"/>
      <c r="FN41" s="319"/>
      <c r="FO41" s="402"/>
      <c r="FP41" s="319"/>
      <c r="FQ41" s="402"/>
      <c r="FR41" s="319"/>
      <c r="FS41" s="402"/>
      <c r="FT41" s="319"/>
      <c r="FU41" s="402"/>
      <c r="FV41" s="319"/>
      <c r="FW41" s="402"/>
      <c r="FX41" s="319"/>
      <c r="FY41" s="402"/>
      <c r="FZ41" s="319"/>
      <c r="GA41" s="402"/>
      <c r="GB41" s="319"/>
      <c r="GC41" s="402"/>
      <c r="GD41" s="319"/>
      <c r="GE41" s="402"/>
      <c r="GF41" s="319"/>
      <c r="GG41" s="402"/>
      <c r="GH41" s="319"/>
      <c r="GI41" s="402"/>
      <c r="GJ41" s="319"/>
      <c r="GK41" s="402"/>
      <c r="GL41" s="319"/>
      <c r="GM41" s="402"/>
      <c r="GN41" s="319"/>
      <c r="GO41" s="402"/>
      <c r="GP41" s="319"/>
      <c r="GQ41" s="402"/>
      <c r="GR41" s="319"/>
      <c r="GS41" s="402"/>
      <c r="GT41" s="319"/>
      <c r="GU41" s="402"/>
      <c r="GV41" s="319"/>
      <c r="GW41" s="402"/>
      <c r="GX41" s="319"/>
      <c r="GY41" s="402"/>
      <c r="GZ41" s="319"/>
      <c r="HA41" s="402"/>
      <c r="HB41" s="319"/>
      <c r="HC41" s="402"/>
      <c r="HD41" s="319"/>
      <c r="HE41" s="402"/>
      <c r="HF41" s="319"/>
      <c r="HG41" s="402"/>
      <c r="HH41" s="319"/>
      <c r="HI41" s="402"/>
      <c r="HJ41" s="319"/>
      <c r="HK41" s="402"/>
      <c r="HL41" s="319">
        <f t="shared" si="728"/>
        <v>0</v>
      </c>
      <c r="HM41" s="402"/>
      <c r="HN41" s="319">
        <f t="shared" si="729"/>
        <v>0</v>
      </c>
      <c r="HO41" s="402"/>
      <c r="HP41" s="319"/>
      <c r="HQ41" s="402"/>
      <c r="HR41" s="319"/>
      <c r="HS41" s="402"/>
      <c r="HT41" s="319"/>
      <c r="HU41" s="402"/>
      <c r="HV41" s="319"/>
      <c r="HW41" s="402"/>
      <c r="HX41" s="319"/>
      <c r="HY41" s="402"/>
      <c r="HZ41" s="319"/>
      <c r="IA41" s="402"/>
      <c r="IB41" s="319"/>
      <c r="IC41" s="402"/>
      <c r="ID41" s="319"/>
      <c r="IE41" s="402"/>
      <c r="IF41" s="319"/>
      <c r="IG41" s="402"/>
      <c r="IH41" s="319"/>
      <c r="II41" s="402"/>
      <c r="IJ41" s="319"/>
      <c r="IK41" s="402"/>
      <c r="IL41" s="319"/>
      <c r="IM41" s="402"/>
      <c r="IN41" s="319"/>
      <c r="IO41" s="402"/>
      <c r="IP41" s="319"/>
      <c r="IQ41" s="402"/>
      <c r="IR41" s="319"/>
      <c r="IS41" s="402"/>
      <c r="IT41" s="27"/>
      <c r="IU41" s="1066"/>
      <c r="IV41" s="111"/>
      <c r="IW41" s="109"/>
      <c r="IX41" s="698"/>
      <c r="IY41" s="698"/>
      <c r="IZ41" s="698"/>
      <c r="LI41" s="966"/>
      <c r="LJ41" s="966"/>
      <c r="LK41" s="966"/>
      <c r="LL41" s="966"/>
      <c r="LM41" s="966"/>
      <c r="LN41" s="966"/>
      <c r="LO41" s="966"/>
      <c r="LP41" s="966"/>
      <c r="LQ41" s="966"/>
      <c r="LR41" s="966"/>
      <c r="LS41" s="966"/>
      <c r="LT41" s="966"/>
      <c r="LU41" s="1162"/>
      <c r="LV41" s="1162"/>
      <c r="LW41" s="1162"/>
      <c r="LX41" s="1162"/>
      <c r="LY41" s="1162"/>
      <c r="LZ41" s="1162"/>
      <c r="MA41" s="1162"/>
      <c r="MB41" s="1162"/>
      <c r="MC41" s="1162"/>
      <c r="MD41" s="1162"/>
      <c r="ME41" s="1162"/>
      <c r="MF41" s="1162"/>
      <c r="MG41" s="1184"/>
      <c r="MH41" s="1184"/>
      <c r="MI41" s="1184"/>
      <c r="MJ41" s="1184"/>
      <c r="MK41" s="1184"/>
      <c r="ML41" s="1184"/>
      <c r="MM41" s="1184"/>
      <c r="MN41" s="1184"/>
      <c r="MO41" s="1184"/>
      <c r="MP41" s="1184"/>
      <c r="MQ41" s="1184"/>
      <c r="MR41" s="1184"/>
    </row>
    <row r="42" spans="1:356" x14ac:dyDescent="0.25">
      <c r="A42" s="764"/>
      <c r="B42" s="56">
        <v>6.1</v>
      </c>
      <c r="C42" s="56"/>
      <c r="D42" s="453"/>
      <c r="E42" s="1217" t="s">
        <v>15</v>
      </c>
      <c r="F42" s="1217"/>
      <c r="G42" s="1218"/>
      <c r="H42" s="384">
        <v>119.4</v>
      </c>
      <c r="I42" s="68">
        <v>117.97</v>
      </c>
      <c r="J42" s="21">
        <v>118.6</v>
      </c>
      <c r="K42" s="68">
        <v>117.74404761904761</v>
      </c>
      <c r="L42" s="21">
        <v>116.03267045454545</v>
      </c>
      <c r="M42" s="68">
        <v>116.7</v>
      </c>
      <c r="N42" s="21">
        <v>121.61</v>
      </c>
      <c r="O42" s="68">
        <v>119.9</v>
      </c>
      <c r="P42" s="21">
        <v>120.31</v>
      </c>
      <c r="Q42" s="68">
        <v>118.5</v>
      </c>
      <c r="R42" s="21">
        <v>119.3</v>
      </c>
      <c r="S42" s="68">
        <v>116.6</v>
      </c>
      <c r="T42" s="132" t="s">
        <v>29</v>
      </c>
      <c r="U42" s="150">
        <v>118.55555983946608</v>
      </c>
      <c r="V42" s="384">
        <v>110.4</v>
      </c>
      <c r="W42" s="68">
        <v>109.63</v>
      </c>
      <c r="X42" s="21">
        <v>106.66</v>
      </c>
      <c r="Y42" s="68">
        <v>108.17</v>
      </c>
      <c r="Z42" s="21">
        <v>106.07</v>
      </c>
      <c r="AA42" s="68">
        <v>103.88</v>
      </c>
      <c r="AB42" s="21">
        <v>104.63352272727272</v>
      </c>
      <c r="AC42" s="68">
        <v>104.51</v>
      </c>
      <c r="AD42" s="21">
        <v>105.34</v>
      </c>
      <c r="AE42" s="68">
        <v>105.74</v>
      </c>
      <c r="AF42" s="21">
        <v>107.68478260869566</v>
      </c>
      <c r="AG42" s="68">
        <v>108.69</v>
      </c>
      <c r="AH42" s="132" t="s">
        <v>29</v>
      </c>
      <c r="AI42" s="150">
        <v>106.78402544466405</v>
      </c>
      <c r="AJ42" s="384">
        <v>104.68</v>
      </c>
      <c r="AK42" s="68">
        <v>102.35</v>
      </c>
      <c r="AL42" s="21">
        <v>103.07</v>
      </c>
      <c r="AM42" s="68">
        <v>105.07</v>
      </c>
      <c r="AN42" s="21">
        <v>105.56</v>
      </c>
      <c r="AO42" s="68">
        <v>104.53</v>
      </c>
      <c r="AP42" s="634">
        <v>107.68</v>
      </c>
      <c r="AQ42" s="68">
        <v>107.99</v>
      </c>
      <c r="AR42" s="634">
        <v>111.2</v>
      </c>
      <c r="AS42" s="68">
        <v>105.78</v>
      </c>
      <c r="AT42" s="634">
        <v>108.12</v>
      </c>
      <c r="AU42" s="68">
        <v>105.27</v>
      </c>
      <c r="AV42" s="132" t="s">
        <v>29</v>
      </c>
      <c r="AW42" s="150">
        <f>SUM(AJ42:AU42)/$AV$4</f>
        <v>105.94166666666668</v>
      </c>
      <c r="AX42" s="384">
        <v>104.87771739130434</v>
      </c>
      <c r="AY42" s="68">
        <v>105.01</v>
      </c>
      <c r="AZ42" s="21">
        <v>104.51</v>
      </c>
      <c r="BA42" s="68">
        <v>100.68206521739131</v>
      </c>
      <c r="BB42" s="21">
        <v>102.38</v>
      </c>
      <c r="BC42" s="68">
        <v>104.6</v>
      </c>
      <c r="BD42" s="634">
        <v>105.45380434782609</v>
      </c>
      <c r="BE42" s="68">
        <v>103.953125</v>
      </c>
      <c r="BF42" s="634">
        <v>107.64285714285714</v>
      </c>
      <c r="BG42" s="68">
        <v>103.84943181818181</v>
      </c>
      <c r="BH42" s="634">
        <v>103.05397727272728</v>
      </c>
      <c r="BI42" s="68">
        <v>98</v>
      </c>
      <c r="BJ42" s="132" t="s">
        <v>29</v>
      </c>
      <c r="BK42" s="150">
        <f>SUM(AX42:BI42)/$BJ$4</f>
        <v>103.66774818252399</v>
      </c>
      <c r="BL42" s="384">
        <v>98</v>
      </c>
      <c r="BM42" s="68">
        <v>98</v>
      </c>
      <c r="BN42" s="21">
        <v>99</v>
      </c>
      <c r="BO42" s="68">
        <v>99</v>
      </c>
      <c r="BP42" s="21">
        <v>99</v>
      </c>
      <c r="BQ42" s="68">
        <v>98</v>
      </c>
      <c r="BR42" s="634">
        <v>98</v>
      </c>
      <c r="BS42" s="68">
        <v>100</v>
      </c>
      <c r="BT42" s="634">
        <v>99</v>
      </c>
      <c r="BU42" s="634">
        <v>100</v>
      </c>
      <c r="BV42" s="634">
        <v>99</v>
      </c>
      <c r="BW42" s="634">
        <v>101</v>
      </c>
      <c r="BX42" s="132" t="s">
        <v>29</v>
      </c>
      <c r="BY42" s="150">
        <f>SUM(BL42:BW42)/$BX$4</f>
        <v>99</v>
      </c>
      <c r="BZ42" s="634">
        <v>100</v>
      </c>
      <c r="CA42" s="68">
        <v>99</v>
      </c>
      <c r="CB42" s="21">
        <v>107</v>
      </c>
      <c r="CC42" s="68">
        <v>106</v>
      </c>
      <c r="CD42" s="21">
        <v>105</v>
      </c>
      <c r="CE42" s="68">
        <v>106</v>
      </c>
      <c r="CF42" s="634">
        <v>110</v>
      </c>
      <c r="CG42" s="68">
        <v>109</v>
      </c>
      <c r="CH42" s="634">
        <v>109</v>
      </c>
      <c r="CI42" s="634">
        <v>103</v>
      </c>
      <c r="CJ42" s="634">
        <v>103</v>
      </c>
      <c r="CK42" s="634">
        <v>104</v>
      </c>
      <c r="CL42" s="132" t="s">
        <v>29</v>
      </c>
      <c r="CM42" s="150">
        <f>SUM(BZ42:CK42)/$CL$4</f>
        <v>105.08333333333333</v>
      </c>
      <c r="CN42" s="634">
        <v>97</v>
      </c>
      <c r="CO42" s="68">
        <v>97</v>
      </c>
      <c r="CP42" s="21">
        <v>96</v>
      </c>
      <c r="CQ42" s="68">
        <v>98</v>
      </c>
      <c r="CR42" s="21">
        <v>98</v>
      </c>
      <c r="CS42" s="68">
        <v>97</v>
      </c>
      <c r="CT42" s="215">
        <v>96</v>
      </c>
      <c r="CU42" s="68">
        <v>98</v>
      </c>
      <c r="CV42" s="634">
        <v>99</v>
      </c>
      <c r="CW42" s="1073">
        <v>98</v>
      </c>
      <c r="CX42" s="634">
        <v>96</v>
      </c>
      <c r="CY42" s="68">
        <v>99</v>
      </c>
      <c r="CZ42" s="132" t="s">
        <v>29</v>
      </c>
      <c r="DA42" s="150">
        <f>SUM(CN42:CY42)/$CZ$4</f>
        <v>97.416666666666671</v>
      </c>
      <c r="DB42" s="634">
        <v>98</v>
      </c>
      <c r="DC42" s="68">
        <v>94</v>
      </c>
      <c r="DD42" s="21">
        <v>94</v>
      </c>
      <c r="DE42" s="68">
        <v>93</v>
      </c>
      <c r="DF42" s="21">
        <v>93</v>
      </c>
      <c r="DG42" s="68">
        <v>96</v>
      </c>
      <c r="DH42" s="215">
        <v>96</v>
      </c>
      <c r="DI42" s="68">
        <v>93</v>
      </c>
      <c r="DJ42" s="634">
        <v>94</v>
      </c>
      <c r="DK42" s="68">
        <v>94</v>
      </c>
      <c r="DL42" s="634"/>
      <c r="DM42" s="68"/>
      <c r="DN42" s="132" t="s">
        <v>29</v>
      </c>
      <c r="DO42" s="150">
        <f>SUM(DB42:DM42)/$DN$4</f>
        <v>94.5</v>
      </c>
      <c r="DP42" s="634"/>
      <c r="DQ42" s="68"/>
      <c r="DR42" s="21"/>
      <c r="DS42" s="68"/>
      <c r="DT42" s="21"/>
      <c r="DU42" s="68"/>
      <c r="DV42" s="215"/>
      <c r="DW42" s="68"/>
      <c r="DX42" s="634"/>
      <c r="DY42" s="68"/>
      <c r="DZ42" s="634"/>
      <c r="EA42" s="68"/>
      <c r="EB42" s="132" t="s">
        <v>29</v>
      </c>
      <c r="EC42" s="150" t="e">
        <f>SUM(DP42:EA42)/$EB$4</f>
        <v>#DIV/0!</v>
      </c>
      <c r="ED42" s="118">
        <f>AX42-AU42</f>
        <v>-0.3922826086956519</v>
      </c>
      <c r="EE42" s="663">
        <f>ED42/AU42</f>
        <v>-3.7264425638420433E-3</v>
      </c>
      <c r="EF42" s="118">
        <f>AY42-AX42</f>
        <v>0.132282608695661</v>
      </c>
      <c r="EG42" s="663">
        <f>EF42/AX42</f>
        <v>1.2613032776267197E-3</v>
      </c>
      <c r="EH42" s="118">
        <f>AZ42-AY42</f>
        <v>-0.5</v>
      </c>
      <c r="EI42" s="663">
        <f>EH42/AY42</f>
        <v>-4.7614512903532994E-3</v>
      </c>
      <c r="EJ42" s="118">
        <f>BA42-AZ42</f>
        <v>-3.8279347826086934</v>
      </c>
      <c r="EK42" s="663">
        <f>EJ42/AZ42</f>
        <v>-3.6627449838376167E-2</v>
      </c>
      <c r="EL42" s="118">
        <f>BB42-BA42</f>
        <v>1.6979347826086837</v>
      </c>
      <c r="EM42" s="663">
        <f>EL42/BA42</f>
        <v>1.6864322150549123E-2</v>
      </c>
      <c r="EN42" s="118">
        <f>BC42-BB42</f>
        <v>2.2199999999999989</v>
      </c>
      <c r="EO42" s="663">
        <f>EN42/BB42</f>
        <v>2.1683922641140836E-2</v>
      </c>
      <c r="EP42" s="118">
        <f>BD42-BC42</f>
        <v>0.85380434782609882</v>
      </c>
      <c r="EQ42" s="663">
        <f>EP42/BC42</f>
        <v>8.1625654667887085E-3</v>
      </c>
      <c r="ER42" s="118">
        <f>BE42-BD42</f>
        <v>-1.5006793478260931</v>
      </c>
      <c r="ES42" s="663">
        <f>ER42/BD42</f>
        <v>-1.4230680031953056E-2</v>
      </c>
      <c r="ET42" s="118">
        <f>BF42-BE42</f>
        <v>3.6897321428571388</v>
      </c>
      <c r="EU42" s="663">
        <f>ET42/BE42</f>
        <v>3.5494191664340431E-2</v>
      </c>
      <c r="EV42" s="118">
        <f>BG42-BF42</f>
        <v>-3.7934253246753258</v>
      </c>
      <c r="EW42" s="109">
        <f>EV42/BF42</f>
        <v>-3.5240845750135745E-2</v>
      </c>
      <c r="EX42" s="118">
        <f>BH42-BG42</f>
        <v>-0.79545454545453254</v>
      </c>
      <c r="EY42" s="663">
        <f>EX42/BG42</f>
        <v>-7.6596908767609211E-3</v>
      </c>
      <c r="EZ42" s="118">
        <f>BI42-BH42</f>
        <v>-5.0539772727272805</v>
      </c>
      <c r="FA42" s="663">
        <f>EZ42/BH42</f>
        <v>-4.904203997243288E-2</v>
      </c>
      <c r="FB42" s="118">
        <f>BL42-BI42</f>
        <v>0</v>
      </c>
      <c r="FC42" s="663">
        <f>FB42/BI42</f>
        <v>0</v>
      </c>
      <c r="FD42" s="319">
        <f>BM42-BL42</f>
        <v>0</v>
      </c>
      <c r="FE42" s="402">
        <f>FD42/BL42</f>
        <v>0</v>
      </c>
      <c r="FF42" s="319">
        <f>BN42-BM42</f>
        <v>1</v>
      </c>
      <c r="FG42" s="402">
        <f>FF42/BM42</f>
        <v>1.020408163265306E-2</v>
      </c>
      <c r="FH42" s="319">
        <f>BO42-BN42</f>
        <v>0</v>
      </c>
      <c r="FI42" s="402">
        <f>FH42/BN42</f>
        <v>0</v>
      </c>
      <c r="FJ42" s="319">
        <f>BP42-BO42</f>
        <v>0</v>
      </c>
      <c r="FK42" s="402">
        <f>FJ42/BO42</f>
        <v>0</v>
      </c>
      <c r="FL42" s="319">
        <f>BQ42-BP42</f>
        <v>-1</v>
      </c>
      <c r="FM42" s="402">
        <f>FL42/BP42</f>
        <v>-1.0101010101010102E-2</v>
      </c>
      <c r="FN42" s="319">
        <f>BR42-BQ42</f>
        <v>0</v>
      </c>
      <c r="FO42" s="402">
        <f>FN42/BQ42</f>
        <v>0</v>
      </c>
      <c r="FP42" s="319">
        <f>BS42-BR42</f>
        <v>2</v>
      </c>
      <c r="FQ42" s="402">
        <f>FP42/BR42</f>
        <v>2.0408163265306121E-2</v>
      </c>
      <c r="FR42" s="319">
        <f>BT42-BS42</f>
        <v>-1</v>
      </c>
      <c r="FS42" s="402">
        <f>FR42/BS42</f>
        <v>-0.01</v>
      </c>
      <c r="FT42" s="319">
        <f>BU42-BT42</f>
        <v>1</v>
      </c>
      <c r="FU42" s="402">
        <f>FT42/BT42</f>
        <v>1.0101010101010102E-2</v>
      </c>
      <c r="FV42" s="319">
        <f>BV42-BU42</f>
        <v>-1</v>
      </c>
      <c r="FW42" s="402">
        <f>FV42/BU42</f>
        <v>-0.01</v>
      </c>
      <c r="FX42" s="319">
        <f>BW42-BV42</f>
        <v>2</v>
      </c>
      <c r="FY42" s="402">
        <f>FX42/BV42</f>
        <v>2.0202020202020204E-2</v>
      </c>
      <c r="FZ42" s="319">
        <f>BZ42-BW42</f>
        <v>-1</v>
      </c>
      <c r="GA42" s="402">
        <f>FZ42/BW42</f>
        <v>-9.9009900990099011E-3</v>
      </c>
      <c r="GB42" s="319">
        <f>CA42-BZ42</f>
        <v>-1</v>
      </c>
      <c r="GC42" s="402">
        <f>GB42/BZ42</f>
        <v>-0.01</v>
      </c>
      <c r="GD42" s="319">
        <f>CB42-CA42</f>
        <v>8</v>
      </c>
      <c r="GE42" s="402">
        <f>GD42/CA42</f>
        <v>8.0808080808080815E-2</v>
      </c>
      <c r="GF42" s="319">
        <f>CC42-CB42</f>
        <v>-1</v>
      </c>
      <c r="GG42" s="402">
        <f>GF42/CB42</f>
        <v>-9.3457943925233638E-3</v>
      </c>
      <c r="GH42" s="319">
        <f>CD42-CC42</f>
        <v>-1</v>
      </c>
      <c r="GI42" s="402">
        <f>GH42/CC42</f>
        <v>-9.433962264150943E-3</v>
      </c>
      <c r="GJ42" s="319">
        <f>CE42-CD42</f>
        <v>1</v>
      </c>
      <c r="GK42" s="402">
        <f>GJ42/CD42</f>
        <v>9.5238095238095247E-3</v>
      </c>
      <c r="GL42" s="319">
        <f>CF42-CE42</f>
        <v>4</v>
      </c>
      <c r="GM42" s="402">
        <f>GL42/CE42</f>
        <v>3.7735849056603772E-2</v>
      </c>
      <c r="GN42" s="319">
        <f>CG42-CF42</f>
        <v>-1</v>
      </c>
      <c r="GO42" s="402">
        <f>GN42/CF42</f>
        <v>-9.0909090909090905E-3</v>
      </c>
      <c r="GP42" s="319">
        <f>CH42-CG42</f>
        <v>0</v>
      </c>
      <c r="GQ42" s="402">
        <f>GP42/CG42</f>
        <v>0</v>
      </c>
      <c r="GR42" s="319">
        <f>CI42-CH42</f>
        <v>-6</v>
      </c>
      <c r="GS42" s="402">
        <f>GR42/CH42</f>
        <v>-5.5045871559633031E-2</v>
      </c>
      <c r="GT42" s="319">
        <f>CJ42-CI42</f>
        <v>0</v>
      </c>
      <c r="GU42" s="402">
        <f>GT42/CI42</f>
        <v>0</v>
      </c>
      <c r="GV42" s="319">
        <f>CK42-CJ42</f>
        <v>1</v>
      </c>
      <c r="GW42" s="402">
        <f>GV42/CJ42</f>
        <v>9.7087378640776691E-3</v>
      </c>
      <c r="GX42" s="319">
        <f>CN42-CK42</f>
        <v>-7</v>
      </c>
      <c r="GY42" s="402">
        <f>GX42/CK42</f>
        <v>-6.7307692307692304E-2</v>
      </c>
      <c r="GZ42" s="319">
        <f>CO42-CN42</f>
        <v>0</v>
      </c>
      <c r="HA42" s="402">
        <f>GZ42/CN42</f>
        <v>0</v>
      </c>
      <c r="HB42" s="319">
        <f>CP42-CO42</f>
        <v>-1</v>
      </c>
      <c r="HC42" s="402">
        <f>HB42/CO42</f>
        <v>-1.0309278350515464E-2</v>
      </c>
      <c r="HD42" s="319">
        <f>CQ42-CP42</f>
        <v>2</v>
      </c>
      <c r="HE42" s="402">
        <f>HD42/CP42</f>
        <v>2.0833333333333332E-2</v>
      </c>
      <c r="HF42" s="319">
        <f>CR42-CQ42</f>
        <v>0</v>
      </c>
      <c r="HG42" s="402">
        <f>HF42/CQ42</f>
        <v>0</v>
      </c>
      <c r="HH42" s="319">
        <f>CS42-CR42</f>
        <v>-1</v>
      </c>
      <c r="HI42" s="402">
        <f>HH42/CR42</f>
        <v>-1.020408163265306E-2</v>
      </c>
      <c r="HJ42" s="319">
        <f>CT42-CS42</f>
        <v>-1</v>
      </c>
      <c r="HK42" s="402">
        <f>HJ42/CS42</f>
        <v>-1.0309278350515464E-2</v>
      </c>
      <c r="HL42" s="319">
        <f t="shared" si="728"/>
        <v>2</v>
      </c>
      <c r="HM42" s="402">
        <f>HL42/CT42</f>
        <v>2.0833333333333332E-2</v>
      </c>
      <c r="HN42" s="319">
        <f t="shared" si="729"/>
        <v>1</v>
      </c>
      <c r="HO42" s="402">
        <f>HN42/CU42</f>
        <v>1.020408163265306E-2</v>
      </c>
      <c r="HP42" s="319">
        <f>CW42-CV42</f>
        <v>-1</v>
      </c>
      <c r="HQ42" s="402">
        <f>HP42/CV42</f>
        <v>-1.0101010101010102E-2</v>
      </c>
      <c r="HR42" s="319">
        <f>CX42-CW42</f>
        <v>-2</v>
      </c>
      <c r="HS42" s="402">
        <f>HR42/CW42</f>
        <v>-2.0408163265306121E-2</v>
      </c>
      <c r="HT42" s="319">
        <f>CY42-CX42</f>
        <v>3</v>
      </c>
      <c r="HU42" s="402">
        <f>HT42/CX42</f>
        <v>3.125E-2</v>
      </c>
      <c r="HV42" s="319">
        <f>DB42-CY42</f>
        <v>-1</v>
      </c>
      <c r="HW42" s="402">
        <f>HV42/CY42</f>
        <v>-1.0101010101010102E-2</v>
      </c>
      <c r="HX42" s="319">
        <f>DC42-DB42</f>
        <v>-4</v>
      </c>
      <c r="HY42" s="402">
        <f>HX42/DB42</f>
        <v>-4.0816326530612242E-2</v>
      </c>
      <c r="HZ42" s="319">
        <f>DD42-DC42</f>
        <v>0</v>
      </c>
      <c r="IA42" s="402">
        <f>HZ42/DD42</f>
        <v>0</v>
      </c>
      <c r="IB42" s="319">
        <f>DE42-DD42</f>
        <v>-1</v>
      </c>
      <c r="IC42" s="402">
        <f>IB42/DD42</f>
        <v>-1.0638297872340425E-2</v>
      </c>
      <c r="ID42" s="319">
        <f>DF42-DE42</f>
        <v>0</v>
      </c>
      <c r="IE42" s="402">
        <f>ID42/DO42</f>
        <v>0</v>
      </c>
      <c r="IF42" s="319">
        <f>DG42-DF42</f>
        <v>3</v>
      </c>
      <c r="IG42" s="402">
        <f>IF42/DF42</f>
        <v>3.2258064516129031E-2</v>
      </c>
      <c r="IH42" s="319">
        <f>DH42-DG42</f>
        <v>0</v>
      </c>
      <c r="II42" s="402">
        <f>IH42/DG42</f>
        <v>0</v>
      </c>
      <c r="IJ42" s="319">
        <f>DI42-DH42</f>
        <v>-3</v>
      </c>
      <c r="IK42" s="402">
        <f>IJ42/DH42</f>
        <v>-3.125E-2</v>
      </c>
      <c r="IL42" s="319">
        <f>DJ42-DI42</f>
        <v>1</v>
      </c>
      <c r="IM42" s="402">
        <f>IL42/DI42</f>
        <v>1.0752688172043012E-2</v>
      </c>
      <c r="IN42" s="319">
        <f>DK42-DJ42</f>
        <v>0</v>
      </c>
      <c r="IO42" s="402">
        <f>IN42/DJ42</f>
        <v>0</v>
      </c>
      <c r="IP42" s="319">
        <f>DL42-DK42</f>
        <v>-94</v>
      </c>
      <c r="IQ42" s="402">
        <f t="shared" ref="IQ42:IQ43" si="800">IP42/EI42</f>
        <v>19741.88</v>
      </c>
      <c r="IR42" s="319">
        <f t="shared" si="731"/>
        <v>3.7913073327703173</v>
      </c>
      <c r="IS42" s="402">
        <f>IR42/EJ42</f>
        <v>-0.9904315376518994</v>
      </c>
      <c r="IT42" s="634">
        <f>CW42</f>
        <v>98</v>
      </c>
      <c r="IU42" s="1073">
        <f>DK42</f>
        <v>94</v>
      </c>
      <c r="IV42" s="111">
        <f>IU42-IT42</f>
        <v>-4</v>
      </c>
      <c r="IW42" s="109">
        <f>IF(ISERROR(IV42/IT42),0,IV42/IT42)</f>
        <v>-4.0816326530612242E-2</v>
      </c>
      <c r="IX42" s="698"/>
      <c r="IY42" s="698"/>
      <c r="IZ42" s="698"/>
      <c r="JA42" t="str">
        <f>E42</f>
        <v>Total Number ERP Employees</v>
      </c>
      <c r="JB42" s="264" t="e">
        <f>#REF!</f>
        <v>#REF!</v>
      </c>
      <c r="JC42" s="264" t="e">
        <f>#REF!</f>
        <v>#REF!</v>
      </c>
      <c r="JD42" s="264" t="e">
        <f>#REF!</f>
        <v>#REF!</v>
      </c>
      <c r="JE42" s="264" t="e">
        <f>#REF!</f>
        <v>#REF!</v>
      </c>
      <c r="JF42" s="264" t="e">
        <f>#REF!</f>
        <v>#REF!</v>
      </c>
      <c r="JG42" s="264" t="e">
        <f>#REF!</f>
        <v>#REF!</v>
      </c>
      <c r="JH42" s="264" t="e">
        <f>#REF!</f>
        <v>#REF!</v>
      </c>
      <c r="JI42" s="264" t="e">
        <f>#REF!</f>
        <v>#REF!</v>
      </c>
      <c r="JJ42" s="264" t="e">
        <f>#REF!</f>
        <v>#REF!</v>
      </c>
      <c r="JK42" s="264" t="e">
        <f>#REF!</f>
        <v>#REF!</v>
      </c>
      <c r="JL42" s="264" t="e">
        <f>#REF!</f>
        <v>#REF!</v>
      </c>
      <c r="JM42" s="265">
        <f t="shared" ref="JM42:JX43" si="801">AJ42</f>
        <v>104.68</v>
      </c>
      <c r="JN42" s="265">
        <f t="shared" si="801"/>
        <v>102.35</v>
      </c>
      <c r="JO42" s="265">
        <f t="shared" si="801"/>
        <v>103.07</v>
      </c>
      <c r="JP42" s="265">
        <f t="shared" si="801"/>
        <v>105.07</v>
      </c>
      <c r="JQ42" s="265">
        <f t="shared" si="801"/>
        <v>105.56</v>
      </c>
      <c r="JR42" s="265">
        <f t="shared" si="801"/>
        <v>104.53</v>
      </c>
      <c r="JS42" s="265">
        <f t="shared" si="801"/>
        <v>107.68</v>
      </c>
      <c r="JT42" s="265">
        <f t="shared" si="801"/>
        <v>107.99</v>
      </c>
      <c r="JU42" s="265">
        <f t="shared" si="801"/>
        <v>111.2</v>
      </c>
      <c r="JV42" s="265">
        <f t="shared" si="801"/>
        <v>105.78</v>
      </c>
      <c r="JW42" s="265">
        <f t="shared" si="801"/>
        <v>108.12</v>
      </c>
      <c r="JX42" s="265">
        <f t="shared" si="801"/>
        <v>105.27</v>
      </c>
      <c r="JY42" s="265">
        <f t="shared" ref="JY42:KJ43" si="802">AX42</f>
        <v>104.87771739130434</v>
      </c>
      <c r="JZ42" s="265">
        <f t="shared" si="802"/>
        <v>105.01</v>
      </c>
      <c r="KA42" s="265">
        <f t="shared" si="802"/>
        <v>104.51</v>
      </c>
      <c r="KB42" s="265">
        <f t="shared" si="802"/>
        <v>100.68206521739131</v>
      </c>
      <c r="KC42" s="265">
        <f t="shared" si="802"/>
        <v>102.38</v>
      </c>
      <c r="KD42" s="265">
        <f t="shared" si="802"/>
        <v>104.6</v>
      </c>
      <c r="KE42" s="265">
        <f t="shared" si="802"/>
        <v>105.45380434782609</v>
      </c>
      <c r="KF42" s="265">
        <f t="shared" si="802"/>
        <v>103.953125</v>
      </c>
      <c r="KG42" s="265">
        <f t="shared" si="802"/>
        <v>107.64285714285714</v>
      </c>
      <c r="KH42" s="265">
        <f t="shared" si="802"/>
        <v>103.84943181818181</v>
      </c>
      <c r="KI42" s="265">
        <f t="shared" si="802"/>
        <v>103.05397727272728</v>
      </c>
      <c r="KJ42" s="265">
        <f t="shared" si="802"/>
        <v>98</v>
      </c>
      <c r="KK42" s="789">
        <f t="shared" ref="KK42:KV43" si="803">BL42</f>
        <v>98</v>
      </c>
      <c r="KL42" s="789">
        <f t="shared" si="803"/>
        <v>98</v>
      </c>
      <c r="KM42" s="789">
        <f t="shared" si="803"/>
        <v>99</v>
      </c>
      <c r="KN42" s="789">
        <f t="shared" si="803"/>
        <v>99</v>
      </c>
      <c r="KO42" s="789">
        <f t="shared" si="803"/>
        <v>99</v>
      </c>
      <c r="KP42" s="789">
        <f t="shared" si="803"/>
        <v>98</v>
      </c>
      <c r="KQ42" s="789">
        <f t="shared" si="803"/>
        <v>98</v>
      </c>
      <c r="KR42" s="789">
        <f t="shared" si="803"/>
        <v>100</v>
      </c>
      <c r="KS42" s="789">
        <f t="shared" si="803"/>
        <v>99</v>
      </c>
      <c r="KT42" s="789">
        <f t="shared" si="803"/>
        <v>100</v>
      </c>
      <c r="KU42" s="789">
        <f t="shared" si="803"/>
        <v>99</v>
      </c>
      <c r="KV42" s="789">
        <f t="shared" si="803"/>
        <v>101</v>
      </c>
      <c r="KW42" s="901">
        <f t="shared" ref="KW42:LH43" si="804">BZ42</f>
        <v>100</v>
      </c>
      <c r="KX42" s="901">
        <f t="shared" si="804"/>
        <v>99</v>
      </c>
      <c r="KY42" s="901">
        <f t="shared" si="804"/>
        <v>107</v>
      </c>
      <c r="KZ42" s="901">
        <f t="shared" si="804"/>
        <v>106</v>
      </c>
      <c r="LA42" s="901">
        <f t="shared" si="804"/>
        <v>105</v>
      </c>
      <c r="LB42" s="901">
        <f t="shared" si="804"/>
        <v>106</v>
      </c>
      <c r="LC42" s="901">
        <f t="shared" si="804"/>
        <v>110</v>
      </c>
      <c r="LD42" s="901">
        <f t="shared" si="804"/>
        <v>109</v>
      </c>
      <c r="LE42" s="901">
        <f t="shared" si="804"/>
        <v>109</v>
      </c>
      <c r="LF42" s="901">
        <f t="shared" si="804"/>
        <v>103</v>
      </c>
      <c r="LG42" s="901">
        <f t="shared" si="804"/>
        <v>103</v>
      </c>
      <c r="LH42" s="901">
        <f t="shared" si="804"/>
        <v>104</v>
      </c>
      <c r="LI42" s="960">
        <f t="shared" ref="LI42:LT43" si="805">CN42</f>
        <v>97</v>
      </c>
      <c r="LJ42" s="960">
        <f t="shared" si="805"/>
        <v>97</v>
      </c>
      <c r="LK42" s="960">
        <f t="shared" si="805"/>
        <v>96</v>
      </c>
      <c r="LL42" s="960">
        <f t="shared" si="805"/>
        <v>98</v>
      </c>
      <c r="LM42" s="960">
        <f t="shared" si="805"/>
        <v>98</v>
      </c>
      <c r="LN42" s="960">
        <f t="shared" si="805"/>
        <v>97</v>
      </c>
      <c r="LO42" s="960">
        <f t="shared" si="805"/>
        <v>96</v>
      </c>
      <c r="LP42" s="960">
        <f t="shared" si="805"/>
        <v>98</v>
      </c>
      <c r="LQ42" s="960">
        <f t="shared" si="805"/>
        <v>99</v>
      </c>
      <c r="LR42" s="960">
        <f t="shared" si="805"/>
        <v>98</v>
      </c>
      <c r="LS42" s="960">
        <f t="shared" si="805"/>
        <v>96</v>
      </c>
      <c r="LT42" s="960">
        <f t="shared" si="805"/>
        <v>99</v>
      </c>
      <c r="LU42" s="1156">
        <f t="shared" ref="LU42:MF43" si="806">DB42</f>
        <v>98</v>
      </c>
      <c r="LV42" s="1156">
        <f t="shared" si="806"/>
        <v>94</v>
      </c>
      <c r="LW42" s="1156">
        <f t="shared" si="806"/>
        <v>94</v>
      </c>
      <c r="LX42" s="1156">
        <f t="shared" si="806"/>
        <v>93</v>
      </c>
      <c r="LY42" s="1156">
        <f t="shared" si="806"/>
        <v>93</v>
      </c>
      <c r="LZ42" s="1156">
        <f t="shared" si="806"/>
        <v>96</v>
      </c>
      <c r="MA42" s="1156">
        <f t="shared" si="806"/>
        <v>96</v>
      </c>
      <c r="MB42" s="1156">
        <f t="shared" si="806"/>
        <v>93</v>
      </c>
      <c r="MC42" s="1156">
        <f t="shared" si="806"/>
        <v>94</v>
      </c>
      <c r="MD42" s="1156">
        <f t="shared" si="806"/>
        <v>94</v>
      </c>
      <c r="ME42" s="1156">
        <f t="shared" si="806"/>
        <v>0</v>
      </c>
      <c r="MF42" s="1156">
        <f t="shared" si="806"/>
        <v>0</v>
      </c>
      <c r="MG42" s="1178">
        <f t="shared" ref="MG42:MP43" si="807">DP42</f>
        <v>0</v>
      </c>
      <c r="MH42" s="1178">
        <f t="shared" si="807"/>
        <v>0</v>
      </c>
      <c r="MI42" s="1178">
        <f t="shared" si="807"/>
        <v>0</v>
      </c>
      <c r="MJ42" s="1178">
        <f t="shared" si="807"/>
        <v>0</v>
      </c>
      <c r="MK42" s="1178">
        <f t="shared" si="807"/>
        <v>0</v>
      </c>
      <c r="ML42" s="1178">
        <f t="shared" si="807"/>
        <v>0</v>
      </c>
      <c r="MM42" s="1178">
        <f t="shared" si="807"/>
        <v>0</v>
      </c>
      <c r="MN42" s="1178">
        <f t="shared" si="807"/>
        <v>0</v>
      </c>
      <c r="MO42" s="1178">
        <f t="shared" si="807"/>
        <v>0</v>
      </c>
      <c r="MP42" s="1178">
        <f t="shared" si="807"/>
        <v>0</v>
      </c>
      <c r="MQ42" s="1178">
        <f t="shared" ref="MQ42:MR43" si="808">DZ42</f>
        <v>0</v>
      </c>
      <c r="MR42" s="1178">
        <f t="shared" si="808"/>
        <v>0</v>
      </c>
    </row>
    <row r="43" spans="1:356" s="1" customFormat="1" ht="15.75" thickBot="1" x14ac:dyDescent="0.3">
      <c r="A43" s="765"/>
      <c r="B43" s="57">
        <v>6.2</v>
      </c>
      <c r="C43" s="57"/>
      <c r="D43" s="454"/>
      <c r="E43" s="1219" t="s">
        <v>284</v>
      </c>
      <c r="F43" s="1219"/>
      <c r="G43" s="1220"/>
      <c r="H43" s="385">
        <v>1061.1306532663316</v>
      </c>
      <c r="I43" s="69">
        <v>1074.3494108671696</v>
      </c>
      <c r="J43" s="22">
        <v>1069.4603709949411</v>
      </c>
      <c r="K43" s="69">
        <v>1074.9757848440424</v>
      </c>
      <c r="L43" s="22">
        <v>1094.0453193286569</v>
      </c>
      <c r="M43" s="69">
        <v>1086.032562125107</v>
      </c>
      <c r="N43" s="22">
        <v>1040.3338541238386</v>
      </c>
      <c r="O43" s="69">
        <v>1049.6163469557964</v>
      </c>
      <c r="P43" s="22">
        <v>1298.1797024353752</v>
      </c>
      <c r="Q43" s="69">
        <v>1070.4810126582279</v>
      </c>
      <c r="R43" s="22">
        <v>1057.7535624476111</v>
      </c>
      <c r="S43" s="69">
        <v>1073.6792452830189</v>
      </c>
      <c r="T43" s="128" t="s">
        <v>29</v>
      </c>
      <c r="U43" s="152">
        <v>1087.5031521108431</v>
      </c>
      <c r="V43" s="385">
        <f t="shared" ref="V43:Y43" si="809">V11/V42</f>
        <v>1139.5471014492753</v>
      </c>
      <c r="W43" s="69">
        <f t="shared" si="809"/>
        <v>1442.0596552038676</v>
      </c>
      <c r="X43" s="466">
        <f t="shared" si="809"/>
        <v>1196.3341458841178</v>
      </c>
      <c r="Y43" s="467">
        <f t="shared" si="809"/>
        <v>1175.2426735693816</v>
      </c>
      <c r="Z43" s="22">
        <v>1200.2451211464129</v>
      </c>
      <c r="AA43" s="69">
        <v>1222.3912206391992</v>
      </c>
      <c r="AB43" s="22">
        <v>1523.0300562026555</v>
      </c>
      <c r="AC43" s="69">
        <v>1213.788154243613</v>
      </c>
      <c r="AD43" s="474">
        <v>1180.2354281374596</v>
      </c>
      <c r="AE43" s="475">
        <v>1175.2411575562701</v>
      </c>
      <c r="AF43" s="474">
        <v>939.35278086201674</v>
      </c>
      <c r="AG43" s="475">
        <v>988.5914067531512</v>
      </c>
      <c r="AH43" s="128" t="s">
        <v>29</v>
      </c>
      <c r="AI43" s="152">
        <v>1199.6715751372851</v>
      </c>
      <c r="AJ43" s="385">
        <f t="shared" ref="AJ43:AU43" si="810">AJ11/AJ42</f>
        <v>1065.6190294230034</v>
      </c>
      <c r="AK43" s="69">
        <f t="shared" si="810"/>
        <v>1317.9189057156816</v>
      </c>
      <c r="AL43" s="474">
        <f t="shared" si="810"/>
        <v>1080.7218395265354</v>
      </c>
      <c r="AM43" s="475">
        <f t="shared" si="810"/>
        <v>1060.8832207100029</v>
      </c>
      <c r="AN43" s="22">
        <f t="shared" si="810"/>
        <v>1054.3482379689276</v>
      </c>
      <c r="AO43" s="69">
        <f t="shared" si="810"/>
        <v>1062.9101693293792</v>
      </c>
      <c r="AP43" s="635">
        <f t="shared" si="810"/>
        <v>1031.0178306092125</v>
      </c>
      <c r="AQ43" s="716">
        <f t="shared" si="810"/>
        <v>1227.0395406982129</v>
      </c>
      <c r="AR43" s="636">
        <f t="shared" si="810"/>
        <v>997.69784172661866</v>
      </c>
      <c r="AS43" s="475">
        <f t="shared" si="810"/>
        <v>1052.3350349782568</v>
      </c>
      <c r="AT43" s="636">
        <f t="shared" si="810"/>
        <v>1032.2142064372918</v>
      </c>
      <c r="AU43" s="475">
        <f t="shared" si="810"/>
        <v>1068.0725752826067</v>
      </c>
      <c r="AV43" s="128" t="s">
        <v>29</v>
      </c>
      <c r="AW43" s="152">
        <f>SUM(AJ43:AU43)/$AV$4</f>
        <v>1087.5648693671442</v>
      </c>
      <c r="AX43" s="385">
        <f t="shared" ref="AX43:BC43" si="811">AX11/AX42</f>
        <v>1071.7147817074751</v>
      </c>
      <c r="AY43" s="69">
        <f t="shared" si="811"/>
        <v>1274.5738501095134</v>
      </c>
      <c r="AZ43" s="474">
        <f t="shared" si="811"/>
        <v>1059.3818773323126</v>
      </c>
      <c r="BA43" s="475">
        <f t="shared" si="811"/>
        <v>1099.0140077190899</v>
      </c>
      <c r="BB43" s="22">
        <f t="shared" si="811"/>
        <v>1075.5909357296348</v>
      </c>
      <c r="BC43" s="776">
        <f t="shared" si="811"/>
        <v>1049.6558317399617</v>
      </c>
      <c r="BD43" s="777">
        <f t="shared" ref="BD43:BI43" si="812">BD11/BD42</f>
        <v>1168.9289045790706</v>
      </c>
      <c r="BE43" s="776">
        <f t="shared" si="812"/>
        <v>1053.7441755598977</v>
      </c>
      <c r="BF43" s="777">
        <f t="shared" si="812"/>
        <v>1019.8075646980757</v>
      </c>
      <c r="BG43" s="716">
        <f t="shared" si="812"/>
        <v>1063.6071672821777</v>
      </c>
      <c r="BH43" s="777">
        <f t="shared" si="812"/>
        <v>1080.0456512749827</v>
      </c>
      <c r="BI43" s="716">
        <f t="shared" si="812"/>
        <v>1389.8265306122448</v>
      </c>
      <c r="BJ43" s="128" t="s">
        <v>29</v>
      </c>
      <c r="BK43" s="152">
        <f>SUM(AX43:BI43)/$BJ$4</f>
        <v>1117.1576065287031</v>
      </c>
      <c r="BL43" s="385">
        <f t="shared" ref="BL43:BM43" si="813">BL11/BL42</f>
        <v>1161.5714285714287</v>
      </c>
      <c r="BM43" s="863">
        <f t="shared" si="813"/>
        <v>1177.6938775510205</v>
      </c>
      <c r="BN43" s="474">
        <f t="shared" ref="BN43:BP43" si="814">BN11/BN42</f>
        <v>1170.4545454545455</v>
      </c>
      <c r="BO43" s="776">
        <f t="shared" si="814"/>
        <v>1177.7777777777778</v>
      </c>
      <c r="BP43" s="864">
        <f t="shared" si="814"/>
        <v>1186.5050505050506</v>
      </c>
      <c r="BQ43" s="776">
        <f t="shared" ref="BQ43:BR43" si="815">BQ11/BQ42</f>
        <v>1196.8673469387754</v>
      </c>
      <c r="BR43" s="777">
        <f t="shared" si="815"/>
        <v>1454.7653061224489</v>
      </c>
      <c r="BS43" s="776">
        <f t="shared" ref="BS43:BU43" si="816">BS11/BS42</f>
        <v>1170.52</v>
      </c>
      <c r="BT43" s="777">
        <f t="shared" si="816"/>
        <v>1186.5757575757575</v>
      </c>
      <c r="BU43" s="777">
        <f t="shared" si="816"/>
        <v>1189.8900000000001</v>
      </c>
      <c r="BV43" s="777">
        <f t="shared" ref="BV43:BW43" si="817">BV11/BV42</f>
        <v>1210.4646464646464</v>
      </c>
      <c r="BW43" s="777">
        <f t="shared" si="817"/>
        <v>1199.3465346534654</v>
      </c>
      <c r="BX43" s="865" t="s">
        <v>29</v>
      </c>
      <c r="BY43" s="152">
        <f>SUM(BL43:BW43)/$BX$4</f>
        <v>1206.8693559679098</v>
      </c>
      <c r="BZ43" s="777">
        <f t="shared" ref="BZ43:CA43" si="818">BZ11/BZ42</f>
        <v>1486.17</v>
      </c>
      <c r="CA43" s="863">
        <f t="shared" si="818"/>
        <v>1224.0505050505051</v>
      </c>
      <c r="CB43" s="474">
        <f t="shared" ref="CB43:CC43" si="819">CB11/CB42</f>
        <v>1127.6168224299065</v>
      </c>
      <c r="CC43" s="776">
        <f t="shared" si="819"/>
        <v>1138.9150943396226</v>
      </c>
      <c r="CD43" s="864">
        <f t="shared" ref="CD43:CE43" si="820">CD11/CD42</f>
        <v>1147.4666666666667</v>
      </c>
      <c r="CE43" s="776">
        <f t="shared" si="820"/>
        <v>1386.132075471698</v>
      </c>
      <c r="CF43" s="777">
        <f t="shared" ref="CF43:CG43" si="821">CF11/CF42</f>
        <v>1115.2454545454545</v>
      </c>
      <c r="CG43" s="776">
        <f t="shared" si="821"/>
        <v>1088.1926605504586</v>
      </c>
      <c r="CH43" s="777">
        <f t="shared" ref="CH43:CI43" si="822">CH11/CH42</f>
        <v>1082.5045871559632</v>
      </c>
      <c r="CI43" s="777">
        <f t="shared" si="822"/>
        <v>1151.3689320388351</v>
      </c>
      <c r="CJ43" s="777">
        <f t="shared" ref="CJ43:CK43" si="823">CJ11/CJ42</f>
        <v>1153.7087378640776</v>
      </c>
      <c r="CK43" s="777">
        <f t="shared" si="823"/>
        <v>1147.0961538461538</v>
      </c>
      <c r="CL43" s="865" t="s">
        <v>29</v>
      </c>
      <c r="CM43" s="152">
        <f>SUM(BZ43:CK43)/$CL$4</f>
        <v>1187.3723074966117</v>
      </c>
      <c r="CN43" s="777">
        <f t="shared" ref="CN43:CO43" si="824">CN11/CN42</f>
        <v>1502.9896907216496</v>
      </c>
      <c r="CO43" s="863">
        <f t="shared" si="824"/>
        <v>1198</v>
      </c>
      <c r="CP43" s="474">
        <f t="shared" ref="CP43:CQ43" si="825">CP11/CP42</f>
        <v>1198.21875</v>
      </c>
      <c r="CQ43" s="776">
        <f t="shared" si="825"/>
        <v>1215.8469387755101</v>
      </c>
      <c r="CR43" s="864">
        <f t="shared" ref="CR43:CS43" si="826">CR11/CR42</f>
        <v>1210.2857142857142</v>
      </c>
      <c r="CS43" s="776">
        <f t="shared" si="826"/>
        <v>1427.4536082474226</v>
      </c>
      <c r="CT43" s="715">
        <f t="shared" ref="CT43:CU43" si="827">CT11/CT42</f>
        <v>1277.8854166666667</v>
      </c>
      <c r="CU43" s="776">
        <f t="shared" si="827"/>
        <v>1207.6632653061224</v>
      </c>
      <c r="CV43" s="777">
        <f t="shared" ref="CV43:CW43" si="828">CV11/CV42</f>
        <v>1198.9292929292928</v>
      </c>
      <c r="CW43" s="1100">
        <f t="shared" si="828"/>
        <v>1213.7551020408164</v>
      </c>
      <c r="CX43" s="777">
        <f t="shared" ref="CX43:CY43" si="829">CX11/CX42</f>
        <v>1240.9791666666667</v>
      </c>
      <c r="CY43" s="863">
        <f t="shared" si="829"/>
        <v>1473.7575757575758</v>
      </c>
      <c r="CZ43" s="865" t="s">
        <v>29</v>
      </c>
      <c r="DA43" s="152">
        <f>SUM(CN43:CY43)/$CZ$4</f>
        <v>1280.4803767831197</v>
      </c>
      <c r="DB43" s="777">
        <f t="shared" ref="DB43:DC43" si="830">DB11/DB42</f>
        <v>1227.8877551020407</v>
      </c>
      <c r="DC43" s="863">
        <f t="shared" si="830"/>
        <v>1281.2659574468084</v>
      </c>
      <c r="DD43" s="474">
        <f t="shared" ref="DD43:DE43" si="831">DD11/DD42</f>
        <v>1281.4574468085107</v>
      </c>
      <c r="DE43" s="776">
        <f t="shared" si="831"/>
        <v>1330.0645161290322</v>
      </c>
      <c r="DF43" s="864">
        <f t="shared" ref="DF43:DG43" si="832">DF11/DF42</f>
        <v>1323.7849462365591</v>
      </c>
      <c r="DG43" s="776">
        <f t="shared" si="832"/>
        <v>1569.5208333333333</v>
      </c>
      <c r="DH43" s="715">
        <f t="shared" ref="DH43:DI43" si="833">DH11/DH42</f>
        <v>1278.6354166666667</v>
      </c>
      <c r="DI43" s="776">
        <f t="shared" si="833"/>
        <v>1316.4086021505377</v>
      </c>
      <c r="DJ43" s="777">
        <f t="shared" ref="DJ43:DK43" si="834">DJ11/DJ42</f>
        <v>1302.4680851063829</v>
      </c>
      <c r="DK43" s="776">
        <f t="shared" si="834"/>
        <v>1310.6808510638298</v>
      </c>
      <c r="DL43" s="777"/>
      <c r="DM43" s="776"/>
      <c r="DN43" s="865" t="s">
        <v>29</v>
      </c>
      <c r="DO43" s="152">
        <f>SUM(DB43:DM43)/$DN$4</f>
        <v>1322.2174410043701</v>
      </c>
      <c r="DP43" s="777"/>
      <c r="DQ43" s="863"/>
      <c r="DR43" s="474"/>
      <c r="DS43" s="776"/>
      <c r="DT43" s="864"/>
      <c r="DU43" s="776"/>
      <c r="DV43" s="715"/>
      <c r="DW43" s="776"/>
      <c r="DX43" s="777"/>
      <c r="DY43" s="776"/>
      <c r="DZ43" s="777"/>
      <c r="EA43" s="776"/>
      <c r="EB43" s="865" t="s">
        <v>29</v>
      </c>
      <c r="EC43" s="152" t="e">
        <f>SUM(DP43:EA43)/$EB$4</f>
        <v>#DIV/0!</v>
      </c>
      <c r="ED43" s="679">
        <f>AX43-AU43</f>
        <v>3.642206424868391</v>
      </c>
      <c r="EE43" s="672">
        <f>ED43/AU43</f>
        <v>3.4100739117888888E-3</v>
      </c>
      <c r="EF43" s="679">
        <f>AY43-AX43</f>
        <v>202.85906840203825</v>
      </c>
      <c r="EG43" s="672">
        <f>EF43/AX43</f>
        <v>0.18928456699910359</v>
      </c>
      <c r="EH43" s="679">
        <f>AZ43-AY43</f>
        <v>-215.19197277720082</v>
      </c>
      <c r="EI43" s="672">
        <f>EH43/AY43</f>
        <v>-0.16883444828144809</v>
      </c>
      <c r="EJ43" s="679">
        <f>BA43-AZ43</f>
        <v>39.632130386777362</v>
      </c>
      <c r="EK43" s="672">
        <f>EJ43/AZ43</f>
        <v>3.7410617676958184E-2</v>
      </c>
      <c r="EL43" s="679">
        <f>BB43-BA43</f>
        <v>-23.423071989455138</v>
      </c>
      <c r="EM43" s="672">
        <f>EL43/BA43</f>
        <v>-2.131280568303923E-2</v>
      </c>
      <c r="EN43" s="679">
        <f>BC43-BB43</f>
        <v>-25.935103989673053</v>
      </c>
      <c r="EO43" s="672">
        <f>EN43/BB43</f>
        <v>-2.4112423346222968E-2</v>
      </c>
      <c r="EP43" s="679">
        <f>BD43-BC43</f>
        <v>119.27307283910886</v>
      </c>
      <c r="EQ43" s="672">
        <f>EP43/BC43</f>
        <v>0.11363064847779285</v>
      </c>
      <c r="ER43" s="679">
        <f>BE43-BD43</f>
        <v>-115.18472901917289</v>
      </c>
      <c r="ES43" s="672">
        <f>ER43/BD43</f>
        <v>-9.8538695183220504E-2</v>
      </c>
      <c r="ET43" s="679">
        <f>BF43-BE43</f>
        <v>-33.936610861822032</v>
      </c>
      <c r="EU43" s="672">
        <f>ET43/BE43</f>
        <v>-3.220573992144736E-2</v>
      </c>
      <c r="EV43" s="679">
        <f>BG43-BF43</f>
        <v>43.79960258410199</v>
      </c>
      <c r="EW43" s="192">
        <f>EV43/BF43</f>
        <v>4.2948889673189772E-2</v>
      </c>
      <c r="EX43" s="679">
        <f>BH43-BG43</f>
        <v>16.438483992805004</v>
      </c>
      <c r="EY43" s="672">
        <f>EX43/BG43</f>
        <v>1.545540919474063E-2</v>
      </c>
      <c r="EZ43" s="679">
        <f>BI43-BH43</f>
        <v>309.78087933726215</v>
      </c>
      <c r="FA43" s="672">
        <f>EZ43/BH43</f>
        <v>0.28682202365387893</v>
      </c>
      <c r="FB43" s="679">
        <f>BL43-BI43</f>
        <v>-228.25510204081615</v>
      </c>
      <c r="FC43" s="672">
        <f>FB43/BI43</f>
        <v>-0.16423279957122813</v>
      </c>
      <c r="FD43" s="326">
        <f>BM43-BL43</f>
        <v>16.122448979591809</v>
      </c>
      <c r="FE43" s="405">
        <f>FD43/BL43</f>
        <v>1.387986014723191E-2</v>
      </c>
      <c r="FF43" s="326">
        <f>BN43-BM43</f>
        <v>-7.2393320964749819</v>
      </c>
      <c r="FG43" s="405">
        <f>FF43/BM43</f>
        <v>-6.1470406142629854E-3</v>
      </c>
      <c r="FH43" s="326">
        <f>BO43-BN43</f>
        <v>7.3232323232323324</v>
      </c>
      <c r="FI43" s="405">
        <f>FH43/BN43</f>
        <v>6.2567421790722839E-3</v>
      </c>
      <c r="FJ43" s="326">
        <f>BP43-BO43</f>
        <v>8.7272727272727479</v>
      </c>
      <c r="FK43" s="405">
        <f>FJ43/BO43</f>
        <v>7.4099485420240311E-3</v>
      </c>
      <c r="FL43" s="326">
        <f>BQ43-BP43</f>
        <v>10.36229643372485</v>
      </c>
      <c r="FM43" s="405">
        <f>FL43/BP43</f>
        <v>8.7334617154086365E-3</v>
      </c>
      <c r="FN43" s="326">
        <f>BR43-BQ43</f>
        <v>257.89795918367349</v>
      </c>
      <c r="FO43" s="405">
        <f>FN43/BQ43</f>
        <v>0.21547747947447848</v>
      </c>
      <c r="FP43" s="326">
        <f>BS43-BR43</f>
        <v>-284.24530612244894</v>
      </c>
      <c r="FQ43" s="405">
        <f>FP43/BR43</f>
        <v>-0.19538911529316039</v>
      </c>
      <c r="FR43" s="326">
        <f>BT43-BS43</f>
        <v>16.055757575757525</v>
      </c>
      <c r="FS43" s="405">
        <f>FR43/BS43</f>
        <v>1.3716773379145616E-2</v>
      </c>
      <c r="FT43" s="326">
        <f>BU43-BT43</f>
        <v>3.3142424242425932</v>
      </c>
      <c r="FU43" s="405">
        <f>FT43/BT43</f>
        <v>2.793114896442669E-3</v>
      </c>
      <c r="FV43" s="326">
        <f>BV43-BU43</f>
        <v>20.574646464646321</v>
      </c>
      <c r="FW43" s="405">
        <f>FV43/BU43</f>
        <v>1.7291217225664825E-2</v>
      </c>
      <c r="FX43" s="326">
        <f>BW43-BV43</f>
        <v>-11.118111811181052</v>
      </c>
      <c r="FY43" s="405">
        <f>FX43/BV43</f>
        <v>-9.1849950708211576E-3</v>
      </c>
      <c r="FZ43" s="326">
        <f>BZ43-BW43</f>
        <v>286.8234653465347</v>
      </c>
      <c r="GA43" s="405">
        <f>FZ43/BW43</f>
        <v>0.23914978453613359</v>
      </c>
      <c r="GB43" s="326">
        <f>CA43-BZ43</f>
        <v>-262.11949494949499</v>
      </c>
      <c r="GC43" s="405">
        <f>GB43/BZ43</f>
        <v>-0.17637248427131147</v>
      </c>
      <c r="GD43" s="326">
        <f>CB43-CA43</f>
        <v>-96.433682620598574</v>
      </c>
      <c r="GE43" s="405">
        <f>GD43/CA43</f>
        <v>-7.8782437671245972E-2</v>
      </c>
      <c r="GF43" s="326">
        <f>CC43-CB43</f>
        <v>11.29827190971605</v>
      </c>
      <c r="GG43" s="405">
        <f>GF43/CB43</f>
        <v>1.0019602124566884E-2</v>
      </c>
      <c r="GH43" s="326">
        <f>CD43-CC43</f>
        <v>8.5515723270441413</v>
      </c>
      <c r="GI43" s="405">
        <f>GH43/CC43</f>
        <v>7.5085248843792009E-3</v>
      </c>
      <c r="GJ43" s="326">
        <f>CE43-CD43</f>
        <v>238.66540880503135</v>
      </c>
      <c r="GK43" s="405">
        <f>GJ43/CD43</f>
        <v>0.20799332628837267</v>
      </c>
      <c r="GL43" s="326">
        <f>CF43-CE43</f>
        <v>-270.88662092624349</v>
      </c>
      <c r="GM43" s="405">
        <f>GL43/CE43</f>
        <v>-0.19542626977596006</v>
      </c>
      <c r="GN43" s="326">
        <f>CG43-CF43</f>
        <v>-27.052793994995909</v>
      </c>
      <c r="GO43" s="405">
        <f>GN43/CF43</f>
        <v>-2.4257255552789438E-2</v>
      </c>
      <c r="GP43" s="326">
        <f>CH43-CG43</f>
        <v>-5.6880733944954045</v>
      </c>
      <c r="GQ43" s="405">
        <f>GP43/CG43</f>
        <v>-5.227083034743233E-3</v>
      </c>
      <c r="GR43" s="326">
        <f>CI43-CH43</f>
        <v>68.864344882871819</v>
      </c>
      <c r="GS43" s="405">
        <f>GR43/CH43</f>
        <v>6.3615753411075476E-2</v>
      </c>
      <c r="GT43" s="326">
        <f>CJ43-CI43</f>
        <v>2.3398058252425926</v>
      </c>
      <c r="GU43" s="405">
        <f>GT43/CI43</f>
        <v>2.032194685937272E-3</v>
      </c>
      <c r="GV43" s="326">
        <f>CK43-CJ43</f>
        <v>-6.6125840179238367</v>
      </c>
      <c r="GW43" s="405">
        <f>GV43/CJ43</f>
        <v>-5.7315887458441765E-3</v>
      </c>
      <c r="GX43" s="326">
        <f>CN43-CK43</f>
        <v>355.89353687549578</v>
      </c>
      <c r="GY43" s="405">
        <f>GX43/CK43</f>
        <v>0.31025606326218008</v>
      </c>
      <c r="GZ43" s="326">
        <f>CO43-CN43</f>
        <v>-304.98969072164959</v>
      </c>
      <c r="HA43" s="405">
        <f>GZ43/CN43</f>
        <v>-0.2029220111118733</v>
      </c>
      <c r="HB43" s="326">
        <f>CP43-CO43</f>
        <v>0.21875</v>
      </c>
      <c r="HC43" s="405">
        <f>HB43/CO43</f>
        <v>1.8259599332220367E-4</v>
      </c>
      <c r="HD43" s="326">
        <f>CQ43-CP43</f>
        <v>17.628188775510125</v>
      </c>
      <c r="HE43" s="405">
        <f>HD43/CP43</f>
        <v>1.4711995431143208E-2</v>
      </c>
      <c r="HF43" s="326">
        <f>CR43-CQ43</f>
        <v>-5.5612244897959044</v>
      </c>
      <c r="HG43" s="405">
        <f>HF43/CQ43</f>
        <v>-4.5739511384522312E-3</v>
      </c>
      <c r="HH43" s="326">
        <f>CS43-CR43</f>
        <v>217.16789396170839</v>
      </c>
      <c r="HI43" s="405">
        <f>HH43/CR43</f>
        <v>0.1794352287219026</v>
      </c>
      <c r="HJ43" s="326">
        <f>CT43-CS43</f>
        <v>-149.56819158075587</v>
      </c>
      <c r="HK43" s="405">
        <f>HJ43/CS43</f>
        <v>-0.10477972153812441</v>
      </c>
      <c r="HL43" s="326">
        <f t="shared" si="728"/>
        <v>-70.222151360544331</v>
      </c>
      <c r="HM43" s="405">
        <f>HL43/CT43</f>
        <v>-5.4951837187184681E-2</v>
      </c>
      <c r="HN43" s="326">
        <f t="shared" si="729"/>
        <v>-8.7339723768295698</v>
      </c>
      <c r="HO43" s="405">
        <f>HN43/CU43</f>
        <v>-7.2321255665714519E-3</v>
      </c>
      <c r="HP43" s="326">
        <f>CW43-CV43</f>
        <v>14.82580911152354</v>
      </c>
      <c r="HQ43" s="405">
        <f>HP43/CV43</f>
        <v>1.2365874450611072E-2</v>
      </c>
      <c r="HR43" s="326">
        <f>CX43-CW43</f>
        <v>27.22406462585036</v>
      </c>
      <c r="HS43" s="405">
        <f>HR43/CW43</f>
        <v>2.2429619105267303E-2</v>
      </c>
      <c r="HT43" s="326">
        <f>CY43-CX43</f>
        <v>232.77840909090901</v>
      </c>
      <c r="HU43" s="405">
        <f>HT43/CX43</f>
        <v>0.18757640365241882</v>
      </c>
      <c r="HV43" s="326">
        <f>DB43-CY43</f>
        <v>-245.86982065553502</v>
      </c>
      <c r="HW43" s="405">
        <f>HV43/CY43</f>
        <v>-0.16683192995913673</v>
      </c>
      <c r="HX43" s="326">
        <f>DC43-DB43</f>
        <v>53.378202344767715</v>
      </c>
      <c r="HY43" s="405">
        <f>HX43/DB43</f>
        <v>4.3471564988716613E-2</v>
      </c>
      <c r="HZ43" s="326">
        <f>DD43-DC43</f>
        <v>0.19148936170222441</v>
      </c>
      <c r="IA43" s="405">
        <f>HZ43/DD43</f>
        <v>1.4943091725685593E-4</v>
      </c>
      <c r="IB43" s="326">
        <f>DE43-DD43</f>
        <v>48.607069320521532</v>
      </c>
      <c r="IC43" s="405">
        <f>IB43/DD43</f>
        <v>3.7931083425031535E-2</v>
      </c>
      <c r="ID43" s="326">
        <f>DF43-DE43</f>
        <v>-6.2795698924730914</v>
      </c>
      <c r="IE43" s="405">
        <f>ID43/DO43</f>
        <v>-4.7492717141161475E-3</v>
      </c>
      <c r="IF43" s="326">
        <f>DG43-DF43</f>
        <v>245.73588709677415</v>
      </c>
      <c r="IG43" s="405">
        <f>IF43/DF43</f>
        <v>0.18563127477418934</v>
      </c>
      <c r="IH43" s="326">
        <f>DH43-DG43</f>
        <v>-290.88541666666652</v>
      </c>
      <c r="II43" s="405">
        <f>IH43/DG43</f>
        <v>-0.18533389967744923</v>
      </c>
      <c r="IJ43" s="326">
        <f>DI43-DH43</f>
        <v>37.773185483870975</v>
      </c>
      <c r="IK43" s="405">
        <f>IJ43/DH43</f>
        <v>2.954179509773288E-2</v>
      </c>
      <c r="IL43" s="326">
        <f>DJ43-DI43</f>
        <v>-13.940517044154831</v>
      </c>
      <c r="IM43" s="405">
        <f>IL43/DI43</f>
        <v>-1.0589810049388195E-2</v>
      </c>
      <c r="IN43" s="326">
        <f>DK43-DJ43</f>
        <v>8.2127659574468908</v>
      </c>
      <c r="IO43" s="405">
        <f>IN43/DJ43</f>
        <v>6.3055410350235869E-3</v>
      </c>
      <c r="IP43" s="326">
        <f>DL43-DK43</f>
        <v>-1310.6808510638298</v>
      </c>
      <c r="IQ43" s="405">
        <f t="shared" si="800"/>
        <v>7763.1127083669353</v>
      </c>
      <c r="IR43" s="326">
        <f t="shared" si="731"/>
        <v>-39.594719769100401</v>
      </c>
      <c r="IS43" s="405">
        <f>IR43/EJ43</f>
        <v>-0.99905605332562586</v>
      </c>
      <c r="IT43" s="777">
        <f>CW43</f>
        <v>1213.7551020408164</v>
      </c>
      <c r="IU43" s="1074">
        <f>DK43</f>
        <v>1310.6808510638298</v>
      </c>
      <c r="IV43" s="113">
        <f>IU43-IT43</f>
        <v>96.925749023013395</v>
      </c>
      <c r="IW43" s="192">
        <f>IF(ISERROR(IV43/IT43),0,IV43/IT43)</f>
        <v>7.9856100180375561E-2</v>
      </c>
      <c r="IX43" s="696"/>
      <c r="IY43" s="696"/>
      <c r="IZ43" s="696"/>
      <c r="JA43" s="1" t="str">
        <f>E43</f>
        <v>Payrolls Processed/ERP Employee</v>
      </c>
      <c r="JB43" s="268" t="e">
        <f>#REF!</f>
        <v>#REF!</v>
      </c>
      <c r="JC43" s="268" t="e">
        <f>#REF!</f>
        <v>#REF!</v>
      </c>
      <c r="JD43" s="268" t="e">
        <f>#REF!</f>
        <v>#REF!</v>
      </c>
      <c r="JE43" s="268" t="e">
        <f>#REF!</f>
        <v>#REF!</v>
      </c>
      <c r="JF43" s="268" t="e">
        <f>#REF!</f>
        <v>#REF!</v>
      </c>
      <c r="JG43" s="268" t="e">
        <f>#REF!</f>
        <v>#REF!</v>
      </c>
      <c r="JH43" s="268" t="e">
        <f>#REF!</f>
        <v>#REF!</v>
      </c>
      <c r="JI43" s="268" t="e">
        <f>#REF!</f>
        <v>#REF!</v>
      </c>
      <c r="JJ43" s="268" t="e">
        <f>#REF!</f>
        <v>#REF!</v>
      </c>
      <c r="JK43" s="268" t="e">
        <f>#REF!</f>
        <v>#REF!</v>
      </c>
      <c r="JL43" s="268" t="e">
        <f>#REF!</f>
        <v>#REF!</v>
      </c>
      <c r="JM43" s="269">
        <f t="shared" si="801"/>
        <v>1065.6190294230034</v>
      </c>
      <c r="JN43" s="269">
        <f t="shared" si="801"/>
        <v>1317.9189057156816</v>
      </c>
      <c r="JO43" s="269">
        <f t="shared" si="801"/>
        <v>1080.7218395265354</v>
      </c>
      <c r="JP43" s="269">
        <f t="shared" si="801"/>
        <v>1060.8832207100029</v>
      </c>
      <c r="JQ43" s="269">
        <f t="shared" si="801"/>
        <v>1054.3482379689276</v>
      </c>
      <c r="JR43" s="269">
        <f t="shared" si="801"/>
        <v>1062.9101693293792</v>
      </c>
      <c r="JS43" s="269">
        <f t="shared" si="801"/>
        <v>1031.0178306092125</v>
      </c>
      <c r="JT43" s="269">
        <f t="shared" si="801"/>
        <v>1227.0395406982129</v>
      </c>
      <c r="JU43" s="269">
        <f t="shared" si="801"/>
        <v>997.69784172661866</v>
      </c>
      <c r="JV43" s="269">
        <f t="shared" si="801"/>
        <v>1052.3350349782568</v>
      </c>
      <c r="JW43" s="269">
        <f t="shared" si="801"/>
        <v>1032.2142064372918</v>
      </c>
      <c r="JX43" s="269">
        <f t="shared" si="801"/>
        <v>1068.0725752826067</v>
      </c>
      <c r="JY43" s="269">
        <f t="shared" si="802"/>
        <v>1071.7147817074751</v>
      </c>
      <c r="JZ43" s="269">
        <f t="shared" si="802"/>
        <v>1274.5738501095134</v>
      </c>
      <c r="KA43" s="269">
        <f t="shared" si="802"/>
        <v>1059.3818773323126</v>
      </c>
      <c r="KB43" s="269">
        <f t="shared" si="802"/>
        <v>1099.0140077190899</v>
      </c>
      <c r="KC43" s="269">
        <f t="shared" si="802"/>
        <v>1075.5909357296348</v>
      </c>
      <c r="KD43" s="269">
        <f t="shared" si="802"/>
        <v>1049.6558317399617</v>
      </c>
      <c r="KE43" s="269">
        <f t="shared" si="802"/>
        <v>1168.9289045790706</v>
      </c>
      <c r="KF43" s="269">
        <f t="shared" si="802"/>
        <v>1053.7441755598977</v>
      </c>
      <c r="KG43" s="269">
        <f t="shared" si="802"/>
        <v>1019.8075646980757</v>
      </c>
      <c r="KH43" s="269">
        <f t="shared" si="802"/>
        <v>1063.6071672821777</v>
      </c>
      <c r="KI43" s="269">
        <f t="shared" si="802"/>
        <v>1080.0456512749827</v>
      </c>
      <c r="KJ43" s="269">
        <f t="shared" si="802"/>
        <v>1389.8265306122448</v>
      </c>
      <c r="KK43" s="791">
        <f t="shared" si="803"/>
        <v>1161.5714285714287</v>
      </c>
      <c r="KL43" s="791">
        <f t="shared" si="803"/>
        <v>1177.6938775510205</v>
      </c>
      <c r="KM43" s="791">
        <f t="shared" si="803"/>
        <v>1170.4545454545455</v>
      </c>
      <c r="KN43" s="791">
        <f t="shared" si="803"/>
        <v>1177.7777777777778</v>
      </c>
      <c r="KO43" s="791">
        <f t="shared" si="803"/>
        <v>1186.5050505050506</v>
      </c>
      <c r="KP43" s="791">
        <f t="shared" si="803"/>
        <v>1196.8673469387754</v>
      </c>
      <c r="KQ43" s="791">
        <f t="shared" si="803"/>
        <v>1454.7653061224489</v>
      </c>
      <c r="KR43" s="791">
        <f t="shared" si="803"/>
        <v>1170.52</v>
      </c>
      <c r="KS43" s="791">
        <f t="shared" si="803"/>
        <v>1186.5757575757575</v>
      </c>
      <c r="KT43" s="791">
        <f t="shared" si="803"/>
        <v>1189.8900000000001</v>
      </c>
      <c r="KU43" s="791">
        <f t="shared" si="803"/>
        <v>1210.4646464646464</v>
      </c>
      <c r="KV43" s="791">
        <f t="shared" si="803"/>
        <v>1199.3465346534654</v>
      </c>
      <c r="KW43" s="903">
        <f t="shared" si="804"/>
        <v>1486.17</v>
      </c>
      <c r="KX43" s="903">
        <f t="shared" si="804"/>
        <v>1224.0505050505051</v>
      </c>
      <c r="KY43" s="903">
        <f t="shared" si="804"/>
        <v>1127.6168224299065</v>
      </c>
      <c r="KZ43" s="903">
        <f t="shared" si="804"/>
        <v>1138.9150943396226</v>
      </c>
      <c r="LA43" s="903">
        <f t="shared" si="804"/>
        <v>1147.4666666666667</v>
      </c>
      <c r="LB43" s="903">
        <f t="shared" si="804"/>
        <v>1386.132075471698</v>
      </c>
      <c r="LC43" s="903">
        <f t="shared" si="804"/>
        <v>1115.2454545454545</v>
      </c>
      <c r="LD43" s="903">
        <f t="shared" si="804"/>
        <v>1088.1926605504586</v>
      </c>
      <c r="LE43" s="903">
        <f t="shared" si="804"/>
        <v>1082.5045871559632</v>
      </c>
      <c r="LF43" s="903">
        <f t="shared" si="804"/>
        <v>1151.3689320388351</v>
      </c>
      <c r="LG43" s="903">
        <f t="shared" si="804"/>
        <v>1153.7087378640776</v>
      </c>
      <c r="LH43" s="903">
        <f t="shared" si="804"/>
        <v>1147.0961538461538</v>
      </c>
      <c r="LI43" s="962">
        <f t="shared" si="805"/>
        <v>1502.9896907216496</v>
      </c>
      <c r="LJ43" s="962">
        <f t="shared" si="805"/>
        <v>1198</v>
      </c>
      <c r="LK43" s="962">
        <f t="shared" si="805"/>
        <v>1198.21875</v>
      </c>
      <c r="LL43" s="962">
        <f t="shared" si="805"/>
        <v>1215.8469387755101</v>
      </c>
      <c r="LM43" s="962">
        <f t="shared" si="805"/>
        <v>1210.2857142857142</v>
      </c>
      <c r="LN43" s="962">
        <f t="shared" si="805"/>
        <v>1427.4536082474226</v>
      </c>
      <c r="LO43" s="962">
        <f t="shared" si="805"/>
        <v>1277.8854166666667</v>
      </c>
      <c r="LP43" s="962">
        <f t="shared" si="805"/>
        <v>1207.6632653061224</v>
      </c>
      <c r="LQ43" s="962">
        <f t="shared" si="805"/>
        <v>1198.9292929292928</v>
      </c>
      <c r="LR43" s="962">
        <f t="shared" si="805"/>
        <v>1213.7551020408164</v>
      </c>
      <c r="LS43" s="962">
        <f t="shared" si="805"/>
        <v>1240.9791666666667</v>
      </c>
      <c r="LT43" s="962">
        <f t="shared" si="805"/>
        <v>1473.7575757575758</v>
      </c>
      <c r="LU43" s="1158">
        <f t="shared" si="806"/>
        <v>1227.8877551020407</v>
      </c>
      <c r="LV43" s="1158">
        <f t="shared" si="806"/>
        <v>1281.2659574468084</v>
      </c>
      <c r="LW43" s="1158">
        <f t="shared" si="806"/>
        <v>1281.4574468085107</v>
      </c>
      <c r="LX43" s="1158">
        <f t="shared" si="806"/>
        <v>1330.0645161290322</v>
      </c>
      <c r="LY43" s="1158">
        <f t="shared" si="806"/>
        <v>1323.7849462365591</v>
      </c>
      <c r="LZ43" s="1158">
        <f t="shared" si="806"/>
        <v>1569.5208333333333</v>
      </c>
      <c r="MA43" s="1158">
        <f t="shared" si="806"/>
        <v>1278.6354166666667</v>
      </c>
      <c r="MB43" s="1158">
        <f t="shared" si="806"/>
        <v>1316.4086021505377</v>
      </c>
      <c r="MC43" s="1158">
        <f t="shared" si="806"/>
        <v>1302.4680851063829</v>
      </c>
      <c r="MD43" s="1158">
        <f t="shared" si="806"/>
        <v>1310.6808510638298</v>
      </c>
      <c r="ME43" s="1158">
        <f t="shared" si="806"/>
        <v>0</v>
      </c>
      <c r="MF43" s="1158">
        <f t="shared" si="806"/>
        <v>0</v>
      </c>
      <c r="MG43" s="1180">
        <f t="shared" si="807"/>
        <v>0</v>
      </c>
      <c r="MH43" s="1180">
        <f t="shared" si="807"/>
        <v>0</v>
      </c>
      <c r="MI43" s="1180">
        <f t="shared" si="807"/>
        <v>0</v>
      </c>
      <c r="MJ43" s="1180">
        <f t="shared" si="807"/>
        <v>0</v>
      </c>
      <c r="MK43" s="1180">
        <f t="shared" si="807"/>
        <v>0</v>
      </c>
      <c r="ML43" s="1180">
        <f t="shared" si="807"/>
        <v>0</v>
      </c>
      <c r="MM43" s="1180">
        <f t="shared" si="807"/>
        <v>0</v>
      </c>
      <c r="MN43" s="1180">
        <f t="shared" si="807"/>
        <v>0</v>
      </c>
      <c r="MO43" s="1180">
        <f t="shared" si="807"/>
        <v>0</v>
      </c>
      <c r="MP43" s="1180">
        <f t="shared" si="807"/>
        <v>0</v>
      </c>
      <c r="MQ43" s="1180">
        <f t="shared" si="808"/>
        <v>0</v>
      </c>
      <c r="MR43" s="1180">
        <f t="shared" si="808"/>
        <v>0</v>
      </c>
    </row>
    <row r="44" spans="1:356" ht="15.75" customHeight="1" x14ac:dyDescent="0.25">
      <c r="A44" s="764">
        <v>7</v>
      </c>
      <c r="B44" s="7" t="s">
        <v>58</v>
      </c>
      <c r="C44" s="9"/>
      <c r="D44" s="449"/>
      <c r="E44" s="450"/>
      <c r="F44" s="450"/>
      <c r="G44" s="450"/>
      <c r="H44" s="170"/>
      <c r="I44" s="187"/>
      <c r="K44" s="187"/>
      <c r="M44" s="187"/>
      <c r="O44" s="187"/>
      <c r="Q44" s="187"/>
      <c r="S44" s="187"/>
      <c r="T44" s="139"/>
      <c r="U44" s="154"/>
      <c r="V44" s="170"/>
      <c r="W44" s="187"/>
      <c r="Y44" s="187"/>
      <c r="AA44" s="187"/>
      <c r="AC44" s="187"/>
      <c r="AE44" s="187"/>
      <c r="AG44" s="187"/>
      <c r="AH44" s="471"/>
      <c r="AI44" s="472"/>
      <c r="AJ44" s="170"/>
      <c r="AK44" s="187"/>
      <c r="AM44" s="187"/>
      <c r="AO44" s="187"/>
      <c r="AP44" s="27"/>
      <c r="AQ44" s="187"/>
      <c r="AR44" s="27"/>
      <c r="AS44" s="187"/>
      <c r="AT44" s="27"/>
      <c r="AU44" s="187"/>
      <c r="AV44" s="471"/>
      <c r="AW44" s="472"/>
      <c r="AX44" s="170"/>
      <c r="AY44" s="187"/>
      <c r="BA44" s="187"/>
      <c r="BC44" s="187"/>
      <c r="BD44" s="27"/>
      <c r="BE44" s="187"/>
      <c r="BF44" s="27"/>
      <c r="BG44" s="187">
        <f>BG45-3000000</f>
        <v>-2200878.83</v>
      </c>
      <c r="BH44" s="826"/>
      <c r="BI44" s="187"/>
      <c r="BJ44" s="471"/>
      <c r="BK44" s="472"/>
      <c r="BL44" s="170"/>
      <c r="BM44" s="187"/>
      <c r="BO44" s="187"/>
      <c r="BQ44" s="187"/>
      <c r="BR44" s="27"/>
      <c r="BS44" s="187"/>
      <c r="BT44" s="27"/>
      <c r="BV44" s="27"/>
      <c r="BX44" s="471"/>
      <c r="BY44" s="472"/>
      <c r="BZ44" s="27"/>
      <c r="CA44" s="187"/>
      <c r="CC44" s="187"/>
      <c r="CE44" s="187"/>
      <c r="CF44" s="27"/>
      <c r="CG44" s="187"/>
      <c r="CH44" s="27"/>
      <c r="CI44" s="631"/>
      <c r="CJ44" s="27"/>
      <c r="CL44" s="471"/>
      <c r="CM44" s="472"/>
      <c r="CN44" s="27"/>
      <c r="CO44" s="187"/>
      <c r="CQ44" s="187"/>
      <c r="CS44" s="187"/>
      <c r="CT44" s="219"/>
      <c r="CU44" s="187"/>
      <c r="CV44" s="27"/>
      <c r="CW44" s="1101"/>
      <c r="CX44" s="27"/>
      <c r="CY44" s="187"/>
      <c r="CZ44" s="471"/>
      <c r="DA44" s="472"/>
      <c r="DB44" s="27"/>
      <c r="DC44" s="187"/>
      <c r="DE44" s="187"/>
      <c r="DG44" s="187"/>
      <c r="DH44" s="219"/>
      <c r="DI44" s="187"/>
      <c r="DJ44" s="27"/>
      <c r="DK44" s="187"/>
      <c r="DL44" s="27"/>
      <c r="DM44" s="187"/>
      <c r="DN44" s="471"/>
      <c r="DO44" s="472"/>
      <c r="DP44" s="27"/>
      <c r="DQ44" s="187"/>
      <c r="DS44" s="187"/>
      <c r="DU44" s="187"/>
      <c r="DV44" s="219"/>
      <c r="DW44" s="187"/>
      <c r="DX44" s="27"/>
      <c r="DY44" s="187"/>
      <c r="DZ44" s="27"/>
      <c r="EA44" s="187"/>
      <c r="EB44" s="471"/>
      <c r="EC44" s="472"/>
      <c r="ED44" s="118"/>
      <c r="EE44" s="663"/>
      <c r="EF44" s="118"/>
      <c r="EG44" s="663"/>
      <c r="EH44" s="118"/>
      <c r="EI44" s="663"/>
      <c r="EJ44" s="118"/>
      <c r="EK44" s="663"/>
      <c r="EL44" s="118"/>
      <c r="EM44" s="663"/>
      <c r="EN44" s="118"/>
      <c r="EO44" s="663"/>
      <c r="EP44" s="118"/>
      <c r="EQ44" s="663"/>
      <c r="ER44" s="118"/>
      <c r="ES44" s="663"/>
      <c r="ET44" s="118"/>
      <c r="EU44" s="663"/>
      <c r="EV44" s="118"/>
      <c r="EW44" s="109"/>
      <c r="EX44" s="118"/>
      <c r="EY44" s="663"/>
      <c r="EZ44" s="118"/>
      <c r="FA44" s="663"/>
      <c r="FB44" s="118"/>
      <c r="FC44" s="663"/>
      <c r="FD44" s="319"/>
      <c r="FE44" s="402"/>
      <c r="FF44" s="319"/>
      <c r="FG44" s="402"/>
      <c r="FH44" s="319"/>
      <c r="FI44" s="402"/>
      <c r="FJ44" s="319"/>
      <c r="FK44" s="402"/>
      <c r="FL44" s="319"/>
      <c r="FM44" s="402"/>
      <c r="FN44" s="319"/>
      <c r="FO44" s="402"/>
      <c r="FP44" s="319"/>
      <c r="FQ44" s="402"/>
      <c r="FR44" s="319"/>
      <c r="FS44" s="402"/>
      <c r="FT44" s="319"/>
      <c r="FU44" s="402"/>
      <c r="FV44" s="319"/>
      <c r="FW44" s="402"/>
      <c r="FX44" s="319"/>
      <c r="FY44" s="402"/>
      <c r="FZ44" s="319"/>
      <c r="GA44" s="402"/>
      <c r="GB44" s="319"/>
      <c r="GC44" s="402"/>
      <c r="GD44" s="319"/>
      <c r="GE44" s="402"/>
      <c r="GF44" s="319"/>
      <c r="GG44" s="402"/>
      <c r="GH44" s="319"/>
      <c r="GI44" s="402"/>
      <c r="GJ44" s="319"/>
      <c r="GK44" s="402"/>
      <c r="GL44" s="319"/>
      <c r="GM44" s="402"/>
      <c r="GN44" s="319"/>
      <c r="GO44" s="402"/>
      <c r="GP44" s="319"/>
      <c r="GQ44" s="402"/>
      <c r="GR44" s="319"/>
      <c r="GS44" s="402"/>
      <c r="GT44" s="319"/>
      <c r="GU44" s="402"/>
      <c r="GV44" s="319"/>
      <c r="GW44" s="402"/>
      <c r="GX44" s="319"/>
      <c r="GY44" s="402"/>
      <c r="GZ44" s="319"/>
      <c r="HA44" s="402"/>
      <c r="HB44" s="319"/>
      <c r="HC44" s="402"/>
      <c r="HD44" s="319"/>
      <c r="HE44" s="402"/>
      <c r="HF44" s="319"/>
      <c r="HG44" s="402"/>
      <c r="HH44" s="319"/>
      <c r="HI44" s="402"/>
      <c r="HJ44" s="319"/>
      <c r="HK44" s="402"/>
      <c r="HL44" s="319"/>
      <c r="HM44" s="402"/>
      <c r="HN44" s="319"/>
      <c r="HO44" s="402"/>
      <c r="HP44" s="319"/>
      <c r="HQ44" s="402"/>
      <c r="HR44" s="319"/>
      <c r="HS44" s="402"/>
      <c r="HT44" s="319"/>
      <c r="HU44" s="402"/>
      <c r="HV44" s="319"/>
      <c r="HW44" s="402"/>
      <c r="HX44" s="319"/>
      <c r="HY44" s="402"/>
      <c r="HZ44" s="319"/>
      <c r="IA44" s="402"/>
      <c r="IB44" s="319"/>
      <c r="IC44" s="402"/>
      <c r="ID44" s="319"/>
      <c r="IE44" s="402"/>
      <c r="IF44" s="319"/>
      <c r="IG44" s="402"/>
      <c r="IH44" s="319"/>
      <c r="II44" s="402"/>
      <c r="IJ44" s="319"/>
      <c r="IK44" s="402"/>
      <c r="IL44" s="319"/>
      <c r="IM44" s="402"/>
      <c r="IN44" s="319"/>
      <c r="IO44" s="402"/>
      <c r="IP44" s="319"/>
      <c r="IQ44" s="402"/>
      <c r="IR44" s="319"/>
      <c r="IS44" s="402"/>
      <c r="IT44" s="27"/>
      <c r="IU44" s="1066"/>
      <c r="IV44" s="111"/>
      <c r="IW44" s="109"/>
      <c r="IX44" s="698"/>
      <c r="IY44" s="698"/>
      <c r="IZ44" s="698"/>
      <c r="LI44" s="966"/>
      <c r="LJ44" s="966"/>
      <c r="LK44" s="966"/>
      <c r="LL44" s="966"/>
      <c r="LM44" s="966"/>
      <c r="LN44" s="966"/>
      <c r="LO44" s="966"/>
      <c r="LP44" s="966"/>
      <c r="LQ44" s="966"/>
      <c r="LR44" s="966"/>
      <c r="LS44" s="966"/>
      <c r="LT44" s="966"/>
      <c r="LU44" s="1162"/>
      <c r="LV44" s="1162"/>
      <c r="LW44" s="1162"/>
      <c r="LX44" s="1162"/>
      <c r="LY44" s="1162"/>
      <c r="LZ44" s="1162"/>
      <c r="MA44" s="1162"/>
      <c r="MB44" s="1162"/>
      <c r="MC44" s="1162"/>
      <c r="MD44" s="1162"/>
      <c r="ME44" s="1162"/>
      <c r="MF44" s="1162"/>
      <c r="MG44" s="1184"/>
      <c r="MH44" s="1184"/>
      <c r="MI44" s="1184"/>
      <c r="MJ44" s="1184"/>
      <c r="MK44" s="1184"/>
      <c r="ML44" s="1184"/>
      <c r="MM44" s="1184"/>
      <c r="MN44" s="1184"/>
      <c r="MO44" s="1184"/>
      <c r="MP44" s="1184"/>
      <c r="MQ44" s="1184"/>
      <c r="MR44" s="1184"/>
    </row>
    <row r="45" spans="1:356" x14ac:dyDescent="0.25">
      <c r="A45" s="764"/>
      <c r="B45" s="56">
        <v>7.1</v>
      </c>
      <c r="C45" s="7"/>
      <c r="D45" s="119"/>
      <c r="E45" s="1217" t="s">
        <v>57</v>
      </c>
      <c r="F45" s="1217"/>
      <c r="G45" s="1218"/>
      <c r="H45" s="386">
        <v>831308.21999999986</v>
      </c>
      <c r="I45" s="72">
        <v>1022958.1699999999</v>
      </c>
      <c r="J45" s="24">
        <v>1416069.49</v>
      </c>
      <c r="K45" s="312">
        <v>990733.74000000011</v>
      </c>
      <c r="L45" s="24">
        <v>1040404.83</v>
      </c>
      <c r="M45" s="72">
        <v>3860108.86</v>
      </c>
      <c r="N45" s="24">
        <v>998202.81</v>
      </c>
      <c r="O45" s="72">
        <v>1143370.1499999999</v>
      </c>
      <c r="P45" s="220">
        <v>985141.72000000009</v>
      </c>
      <c r="Q45" s="72">
        <v>832147.63</v>
      </c>
      <c r="R45" s="220">
        <v>823698.9800000001</v>
      </c>
      <c r="S45" s="413">
        <v>1160883.57</v>
      </c>
      <c r="T45" s="140">
        <v>15105028.170000004</v>
      </c>
      <c r="U45" s="160">
        <v>1258752.3475000004</v>
      </c>
      <c r="V45" s="437">
        <f>533079.23+320072.97+37209.5+6333.54</f>
        <v>896695.24</v>
      </c>
      <c r="W45" s="413">
        <f>530282.94+347757.24+39922.63+1947.06</f>
        <v>919909.87</v>
      </c>
      <c r="X45" s="437">
        <f>548522.49+292593.25+35246.35+5979.19</f>
        <v>882341.27999999991</v>
      </c>
      <c r="Y45" s="413">
        <f>438711.47+297626.76+37113+7918.79</f>
        <v>781370.02</v>
      </c>
      <c r="Z45" s="437">
        <v>1012215.96</v>
      </c>
      <c r="AA45" s="241">
        <v>2734017.6000000006</v>
      </c>
      <c r="AB45" s="437">
        <v>900538.53</v>
      </c>
      <c r="AC45" s="72">
        <v>881738.9</v>
      </c>
      <c r="AD45" s="437">
        <v>854988.99</v>
      </c>
      <c r="AE45" s="72">
        <v>754241.36</v>
      </c>
      <c r="AF45" s="220">
        <v>822310.56</v>
      </c>
      <c r="AG45" s="413">
        <v>1159782.26</v>
      </c>
      <c r="AH45" s="140">
        <v>12600150.57</v>
      </c>
      <c r="AI45" s="160">
        <v>1050012.5475000001</v>
      </c>
      <c r="AJ45" s="647">
        <v>842664.62</v>
      </c>
      <c r="AK45" s="648">
        <v>728467.10000000009</v>
      </c>
      <c r="AL45" s="647">
        <v>747018.07</v>
      </c>
      <c r="AM45" s="648">
        <v>737646.02999999991</v>
      </c>
      <c r="AN45" s="647">
        <v>725533.50999999989</v>
      </c>
      <c r="AO45" s="649">
        <f>2409177.34+295385.19+21910+2029.12</f>
        <v>2728501.65</v>
      </c>
      <c r="AP45" s="647">
        <f>395902.71+331495.19+15125+2830.23</f>
        <v>745353.13</v>
      </c>
      <c r="AQ45" s="241">
        <f>428996.43+357048.87+20800+2350.53</f>
        <v>809195.83000000007</v>
      </c>
      <c r="AR45" s="647">
        <f>443502.18+302604.24+4026040+1279.2-4000000</f>
        <v>773425.62000000011</v>
      </c>
      <c r="AS45" s="72">
        <v>738835.52</v>
      </c>
      <c r="AT45" s="220">
        <v>766413.52</v>
      </c>
      <c r="AU45" s="637">
        <v>785622.28000000014</v>
      </c>
      <c r="AV45" s="140">
        <f>SUM(AJ45:AU45)</f>
        <v>11128676.879999997</v>
      </c>
      <c r="AW45" s="160">
        <f t="shared" ref="AW45:AW48" si="835">SUM(AJ45:AU45)/$AV$4</f>
        <v>927389.73999999976</v>
      </c>
      <c r="AX45" s="647">
        <v>809776.44</v>
      </c>
      <c r="AY45" s="648">
        <v>832917.84000000008</v>
      </c>
      <c r="AZ45" s="647">
        <v>743266.94</v>
      </c>
      <c r="BA45" s="648">
        <v>1066978.6200000001</v>
      </c>
      <c r="BB45" s="647">
        <v>871421.17999999993</v>
      </c>
      <c r="BC45" s="649">
        <v>938127.61</v>
      </c>
      <c r="BD45" s="647">
        <v>2331301.9300000002</v>
      </c>
      <c r="BE45" s="241">
        <v>937930.58000000007</v>
      </c>
      <c r="BF45" s="647">
        <v>921256.01</v>
      </c>
      <c r="BG45" s="72">
        <v>799121.17</v>
      </c>
      <c r="BH45" s="647">
        <v>1215388.95</v>
      </c>
      <c r="BI45" s="830">
        <v>1189596.24</v>
      </c>
      <c r="BJ45" s="140">
        <f>SUM(AX45:BI45)</f>
        <v>12657083.51</v>
      </c>
      <c r="BK45" s="160">
        <f t="shared" ref="BK45:BK48" si="836">SUM(AX45:BI45)/$BJ$4</f>
        <v>1054756.9591666667</v>
      </c>
      <c r="BL45" s="647">
        <v>834513.57</v>
      </c>
      <c r="BM45" s="648">
        <v>841984.72</v>
      </c>
      <c r="BN45" s="647">
        <v>841357.56</v>
      </c>
      <c r="BO45" s="648">
        <v>830582.06</v>
      </c>
      <c r="BP45" s="869">
        <v>862301.04999999993</v>
      </c>
      <c r="BQ45" s="649">
        <v>898997.86999999988</v>
      </c>
      <c r="BR45" s="647">
        <v>2776943.1999999997</v>
      </c>
      <c r="BS45" s="241">
        <v>893845.33000000007</v>
      </c>
      <c r="BT45" s="647">
        <v>867090.54</v>
      </c>
      <c r="BU45" s="647">
        <v>882651.77</v>
      </c>
      <c r="BV45" s="647">
        <v>933513.69</v>
      </c>
      <c r="BW45" s="647">
        <v>2330709.91</v>
      </c>
      <c r="BX45" s="140">
        <f>SUM(BL45:BW45)</f>
        <v>13794491.269999998</v>
      </c>
      <c r="BY45" s="160">
        <f t="shared" ref="BY45:BY50" si="837">SUM(BL45:BW45)/$BX$4</f>
        <v>1149540.9391666665</v>
      </c>
      <c r="BZ45" s="647">
        <v>854026.62</v>
      </c>
      <c r="CA45" s="648">
        <v>882244.46</v>
      </c>
      <c r="CB45" s="647">
        <v>875901.92999999993</v>
      </c>
      <c r="CC45" s="648">
        <v>1008853.3200000001</v>
      </c>
      <c r="CD45" s="869">
        <v>928077.97</v>
      </c>
      <c r="CE45" s="649">
        <v>1022282.88</v>
      </c>
      <c r="CF45" s="647">
        <v>2915833.31</v>
      </c>
      <c r="CG45" s="649">
        <v>1002015.4199999999</v>
      </c>
      <c r="CH45" s="647">
        <v>902981.57000000007</v>
      </c>
      <c r="CI45" s="647">
        <v>698611.25</v>
      </c>
      <c r="CJ45" s="647">
        <v>1011228.0900000001</v>
      </c>
      <c r="CK45" s="647">
        <v>1030007.27</v>
      </c>
      <c r="CL45" s="140">
        <f>SUM(BZ45:CK45)</f>
        <v>13132064.09</v>
      </c>
      <c r="CM45" s="160">
        <f t="shared" ref="CM45:CM50" si="838">SUM(BZ45:CK45)/$CL$4</f>
        <v>1094338.6741666666</v>
      </c>
      <c r="CN45" s="647">
        <v>975788.4</v>
      </c>
      <c r="CO45" s="241">
        <v>946109.59000000008</v>
      </c>
      <c r="CP45" s="220">
        <v>952139.08</v>
      </c>
      <c r="CQ45" s="648">
        <v>977618.92999999993</v>
      </c>
      <c r="CR45" s="869">
        <v>862508.02</v>
      </c>
      <c r="CS45" s="649">
        <v>852908.37</v>
      </c>
      <c r="CT45" s="647">
        <v>756768.2</v>
      </c>
      <c r="CU45" s="649">
        <v>2742097.85</v>
      </c>
      <c r="CV45" s="647">
        <v>945458.1399999999</v>
      </c>
      <c r="CW45" s="1102">
        <v>755793.6100000001</v>
      </c>
      <c r="CX45" s="647">
        <v>794398.15</v>
      </c>
      <c r="CY45" s="241">
        <v>970426.07000000007</v>
      </c>
      <c r="CZ45" s="140">
        <f>SUM(CN45:CY45)</f>
        <v>12532014.41</v>
      </c>
      <c r="DA45" s="160">
        <f>SUM(CN45:CY45)/$CZ$4</f>
        <v>1044334.5341666667</v>
      </c>
      <c r="DB45" s="647">
        <v>744308.4</v>
      </c>
      <c r="DC45" s="241">
        <v>761196.89999999991</v>
      </c>
      <c r="DD45" s="220">
        <v>736584.02</v>
      </c>
      <c r="DE45" s="648">
        <v>749409.02</v>
      </c>
      <c r="DF45" s="869">
        <v>761299.62</v>
      </c>
      <c r="DG45" s="1075">
        <v>743043.88</v>
      </c>
      <c r="DH45" s="647">
        <v>2936868.84</v>
      </c>
      <c r="DI45" s="649">
        <v>793715.5</v>
      </c>
      <c r="DJ45" s="647">
        <v>791924.03</v>
      </c>
      <c r="DK45" s="649">
        <v>761657.69</v>
      </c>
      <c r="DL45" s="647"/>
      <c r="DM45" s="649"/>
      <c r="DN45" s="140">
        <f>SUM(DB45:DM45)</f>
        <v>9780007.8999999985</v>
      </c>
      <c r="DO45" s="160">
        <f>SUM(DB45:DM45)/$DN$4</f>
        <v>978000.7899999998</v>
      </c>
      <c r="DP45" s="647"/>
      <c r="DQ45" s="241"/>
      <c r="DR45" s="220"/>
      <c r="DS45" s="648"/>
      <c r="DT45" s="869"/>
      <c r="DU45" s="1075"/>
      <c r="DV45" s="647"/>
      <c r="DW45" s="649"/>
      <c r="DX45" s="647"/>
      <c r="DY45" s="649"/>
      <c r="DZ45" s="647"/>
      <c r="EA45" s="649"/>
      <c r="EB45" s="140">
        <f>SUM(DP45:EA45)</f>
        <v>0</v>
      </c>
      <c r="EC45" s="160" t="e">
        <f>SUM(DP45:EA45)/$EB$4</f>
        <v>#DIV/0!</v>
      </c>
      <c r="ED45" s="680">
        <f t="shared" ref="ED45:ED50" si="839">AX45-AU45</f>
        <v>24154.1599999998</v>
      </c>
      <c r="EE45" s="663">
        <f t="shared" ref="EE45:EE50" si="840">ED45/AU45</f>
        <v>3.0745258395675584E-2</v>
      </c>
      <c r="EF45" s="680">
        <f t="shared" ref="EF45:EF50" si="841">AY45-AX45</f>
        <v>23141.40000000014</v>
      </c>
      <c r="EG45" s="663">
        <f t="shared" ref="EG45:EG50" si="842">EF45/AX45</f>
        <v>2.8577517024328519E-2</v>
      </c>
      <c r="EH45" s="680">
        <f t="shared" ref="EH45:EH50" si="843">AZ45-AY45</f>
        <v>-89650.90000000014</v>
      </c>
      <c r="EI45" s="663">
        <f t="shared" ref="EI45:EI50" si="844">EH45/AY45</f>
        <v>-0.10763474582318963</v>
      </c>
      <c r="EJ45" s="680">
        <f t="shared" ref="EJ45:EJ50" si="845">BA45-AZ45</f>
        <v>323711.68000000017</v>
      </c>
      <c r="EK45" s="663">
        <f t="shared" ref="EK45:EK50" si="846">EJ45/AZ45</f>
        <v>0.43552546545390569</v>
      </c>
      <c r="EL45" s="680">
        <f t="shared" ref="EL45:EL50" si="847">BB45-BA45</f>
        <v>-195557.44000000018</v>
      </c>
      <c r="EM45" s="663">
        <f t="shared" ref="EM45:EM50" si="848">EL45/BA45</f>
        <v>-0.18328149818034795</v>
      </c>
      <c r="EN45" s="680">
        <f t="shared" ref="EN45:EN50" si="849">BC45-BB45</f>
        <v>66706.430000000051</v>
      </c>
      <c r="EO45" s="663">
        <f t="shared" ref="EO45:EO50" si="850">EN45/BB45</f>
        <v>7.6549011581288462E-2</v>
      </c>
      <c r="EP45" s="680">
        <f t="shared" ref="EP45:EP50" si="851">BD45-BC45</f>
        <v>1393174.3200000003</v>
      </c>
      <c r="EQ45" s="663">
        <f t="shared" ref="EQ45:EQ50" si="852">EP45/BC45</f>
        <v>1.485058434640891</v>
      </c>
      <c r="ER45" s="680">
        <f t="shared" ref="ER45:ER50" si="853">BE45-BD45</f>
        <v>-1393371.35</v>
      </c>
      <c r="ES45" s="663">
        <f t="shared" ref="ES45:ES50" si="854">ER45/BD45</f>
        <v>-0.59767949061836023</v>
      </c>
      <c r="ET45" s="680">
        <f t="shared" ref="ET45:ET50" si="855">BF45-BE45</f>
        <v>-16674.570000000065</v>
      </c>
      <c r="EU45" s="663">
        <f t="shared" ref="EU45:EU50" si="856">ET45/BE45</f>
        <v>-1.7778042805684045E-2</v>
      </c>
      <c r="EV45" s="680">
        <f t="shared" ref="EV45:EV50" si="857">BG45-BF45</f>
        <v>-122134.83999999997</v>
      </c>
      <c r="EW45" s="109">
        <f t="shared" ref="EW45:EW50" si="858">EV45/BF45</f>
        <v>-0.13257426673395592</v>
      </c>
      <c r="EX45" s="680">
        <f t="shared" ref="EX45:EX50" si="859">BH45-BG45</f>
        <v>416267.77999999991</v>
      </c>
      <c r="EY45" s="663">
        <f t="shared" ref="EY45:EY50" si="860">EX45/BG45</f>
        <v>0.52090696083048316</v>
      </c>
      <c r="EZ45" s="680">
        <f t="shared" ref="EZ45:EZ50" si="861">BI45-BH45</f>
        <v>-25792.709999999963</v>
      </c>
      <c r="FA45" s="663">
        <f t="shared" ref="FA45:FA50" si="862">EZ45/BH45</f>
        <v>-2.1221774313482086E-2</v>
      </c>
      <c r="FB45" s="680">
        <f t="shared" ref="FB45:FB50" si="863">BL45-BI45</f>
        <v>-355082.67000000004</v>
      </c>
      <c r="FC45" s="663">
        <f t="shared" ref="FC45:FC50" si="864">FB45/BI45</f>
        <v>-0.29849007424569535</v>
      </c>
      <c r="FD45" s="327">
        <f t="shared" ref="FD45:FD50" si="865">BM45-BL45</f>
        <v>7471.1500000000233</v>
      </c>
      <c r="FE45" s="402">
        <f t="shared" ref="FE45:FE50" si="866">FD45/BL45</f>
        <v>8.9527004336190999E-3</v>
      </c>
      <c r="FF45" s="327">
        <f t="shared" ref="FF45:FF50" si="867">BN45-BM45</f>
        <v>-627.15999999991618</v>
      </c>
      <c r="FG45" s="402">
        <f t="shared" ref="FG45:FG50" si="868">FF45/BM45</f>
        <v>-7.4485912285904212E-4</v>
      </c>
      <c r="FH45" s="327">
        <f t="shared" ref="FH45:FH50" si="869">BO45-BN45</f>
        <v>-10775.5</v>
      </c>
      <c r="FI45" s="402">
        <f t="shared" ref="FI45:FI50" si="870">FH45/BN45</f>
        <v>-1.2807277799940371E-2</v>
      </c>
      <c r="FJ45" s="327">
        <f t="shared" ref="FJ45:FJ50" si="871">BP45-BO45</f>
        <v>31718.989999999874</v>
      </c>
      <c r="FK45" s="402">
        <f t="shared" ref="FK45:FK50" si="872">FJ45/BO45</f>
        <v>3.8188869622346369E-2</v>
      </c>
      <c r="FL45" s="327">
        <f t="shared" ref="FL45:FL50" si="873">BQ45-BP45</f>
        <v>36696.819999999949</v>
      </c>
      <c r="FM45" s="402">
        <f t="shared" ref="FM45:FM50" si="874">FL45/BP45</f>
        <v>4.2556854128845086E-2</v>
      </c>
      <c r="FN45" s="327">
        <f t="shared" ref="FN45:FN50" si="875">BR45-BQ45</f>
        <v>1877945.3299999998</v>
      </c>
      <c r="FO45" s="402">
        <f t="shared" ref="FO45:FO50" si="876">FN45/BQ45</f>
        <v>2.0889319014738046</v>
      </c>
      <c r="FP45" s="327">
        <f t="shared" ref="FP45:FP50" si="877">BS45-BR45</f>
        <v>-1883097.8699999996</v>
      </c>
      <c r="FQ45" s="402">
        <f t="shared" ref="FQ45:FQ50" si="878">FP45/BR45</f>
        <v>-0.67811897268910648</v>
      </c>
      <c r="FR45" s="327">
        <f t="shared" ref="FR45:FR50" si="879">BT45-BS45</f>
        <v>-26754.790000000037</v>
      </c>
      <c r="FS45" s="402">
        <f t="shared" ref="FS45:FS50" si="880">FR45/BS45</f>
        <v>-2.993223671034902E-2</v>
      </c>
      <c r="FT45" s="327">
        <f t="shared" ref="FT45:FT50" si="881">BU45-BT45</f>
        <v>15561.229999999981</v>
      </c>
      <c r="FU45" s="402">
        <f t="shared" ref="FU45:FU50" si="882">FT45/BT45</f>
        <v>1.7946488033418032E-2</v>
      </c>
      <c r="FV45" s="327">
        <f t="shared" ref="FV45:FV50" si="883">BV45-BU45</f>
        <v>50861.919999999925</v>
      </c>
      <c r="FW45" s="402">
        <f t="shared" ref="FW45:FW50" si="884">FV45/BU45</f>
        <v>5.7623993661735845E-2</v>
      </c>
      <c r="FX45" s="327">
        <f t="shared" ref="FX45:FX50" si="885">BW45-BV45</f>
        <v>1397196.2200000002</v>
      </c>
      <c r="FY45" s="402">
        <f t="shared" ref="FY45:FY50" si="886">FX45/BV45</f>
        <v>1.4967067274610619</v>
      </c>
      <c r="FZ45" s="327">
        <f t="shared" ref="FZ45:FZ50" si="887">BZ45-BW45</f>
        <v>-1476683.29</v>
      </c>
      <c r="GA45" s="402">
        <f t="shared" ref="GA45:GA50" si="888">FZ45/BW45</f>
        <v>-0.63357661271539367</v>
      </c>
      <c r="GB45" s="327">
        <f t="shared" ref="GB45:GB50" si="889">CA45-BZ45</f>
        <v>28217.839999999967</v>
      </c>
      <c r="GC45" s="402">
        <f t="shared" ref="GC45:GC50" si="890">GB45/BZ45</f>
        <v>3.3040937295373732E-2</v>
      </c>
      <c r="GD45" s="327">
        <f t="shared" ref="GD45:GD50" si="891">CB45-CA45</f>
        <v>-6342.5300000000279</v>
      </c>
      <c r="GE45" s="402">
        <f t="shared" ref="GE45:GE50" si="892">GD45/CA45</f>
        <v>-7.1890845310607311E-3</v>
      </c>
      <c r="GF45" s="327">
        <f t="shared" ref="GF45:GF50" si="893">CC45-CB45</f>
        <v>132951.39000000013</v>
      </c>
      <c r="GG45" s="402">
        <f t="shared" ref="GG45:GG50" si="894">GF45/CB45</f>
        <v>0.1517879861276252</v>
      </c>
      <c r="GH45" s="327">
        <f t="shared" ref="GH45:GH50" si="895">CD45-CC45</f>
        <v>-80775.350000000093</v>
      </c>
      <c r="GI45" s="402">
        <f t="shared" ref="GI45:GI50" si="896">GH45/CC45</f>
        <v>-8.0066495692357034E-2</v>
      </c>
      <c r="GJ45" s="327">
        <f t="shared" ref="GJ45:GJ50" si="897">CE45-CD45</f>
        <v>94204.910000000033</v>
      </c>
      <c r="GK45" s="402">
        <f t="shared" ref="GK45:GK50" si="898">GJ45/CD45</f>
        <v>0.10150538321688644</v>
      </c>
      <c r="GL45" s="327">
        <f t="shared" ref="GL45:GL50" si="899">CF45-CE45</f>
        <v>1893550.4300000002</v>
      </c>
      <c r="GM45" s="402">
        <f t="shared" ref="GM45:GM50" si="900">GL45/CE45</f>
        <v>1.8522763777478111</v>
      </c>
      <c r="GN45" s="954">
        <f t="shared" ref="GN45:GN50" si="901">CG45-CF45</f>
        <v>-1913817.8900000001</v>
      </c>
      <c r="GO45" s="402">
        <f t="shared" ref="GO45:GO50" si="902">GN45/CF45</f>
        <v>-0.65635366858471078</v>
      </c>
      <c r="GP45" s="327">
        <f t="shared" ref="GP45:GP50" si="903">CH45-CG45</f>
        <v>-99033.84999999986</v>
      </c>
      <c r="GQ45" s="402">
        <f t="shared" ref="GQ45:GQ50" si="904">GP45/CG45</f>
        <v>-9.8834656656281661E-2</v>
      </c>
      <c r="GR45" s="327">
        <f t="shared" ref="GR45:GR50" si="905">CI45-CH45</f>
        <v>-204370.32000000007</v>
      </c>
      <c r="GS45" s="402">
        <f t="shared" ref="GS45:GS50" si="906">GR45/CH45</f>
        <v>-0.2263283402340095</v>
      </c>
      <c r="GT45" s="327">
        <f t="shared" ref="GT45:GT50" si="907">CJ45-CI45</f>
        <v>312616.84000000008</v>
      </c>
      <c r="GU45" s="402">
        <f t="shared" ref="GU45:GU50" si="908">GT45/CI45</f>
        <v>0.44748326054010734</v>
      </c>
      <c r="GV45" s="327">
        <f t="shared" ref="GV45:GV50" si="909">CK45-CJ45</f>
        <v>18779.179999999935</v>
      </c>
      <c r="GW45" s="402">
        <f t="shared" ref="GW45:GW50" si="910">GV45/CJ45</f>
        <v>1.8570666880901157E-2</v>
      </c>
      <c r="GX45" s="327">
        <f t="shared" ref="GX45:GX50" si="911">CN45-CK45</f>
        <v>-54218.869999999995</v>
      </c>
      <c r="GY45" s="402">
        <f t="shared" ref="GY45:GY50" si="912">GX45/CK45</f>
        <v>-5.2639308070126525E-2</v>
      </c>
      <c r="GZ45" s="327">
        <f t="shared" ref="GZ45:GZ50" si="913">CO45-CN45</f>
        <v>-29678.809999999939</v>
      </c>
      <c r="HA45" s="402">
        <f t="shared" ref="HA45:HA50" si="914">GZ45/CN45</f>
        <v>-3.0415210920728242E-2</v>
      </c>
      <c r="HB45" s="327">
        <f t="shared" ref="HB45:HB50" si="915">CP45-CO45</f>
        <v>6029.4899999998743</v>
      </c>
      <c r="HC45" s="402">
        <f t="shared" ref="HC45:HC50" si="916">HB45/CO45</f>
        <v>6.3729297998130147E-3</v>
      </c>
      <c r="HD45" s="327">
        <f t="shared" ref="HD45:HD50" si="917">CQ45-CP45</f>
        <v>25479.849999999977</v>
      </c>
      <c r="HE45" s="402">
        <f t="shared" ref="HE45:HE50" si="918">HD45/CP45</f>
        <v>2.6760638792391524E-2</v>
      </c>
      <c r="HF45" s="327">
        <f t="shared" ref="HF45:HF50" si="919">CR45-CQ45</f>
        <v>-115110.90999999992</v>
      </c>
      <c r="HG45" s="402">
        <f t="shared" ref="HG45:HG50" si="920">HF45/CQ45</f>
        <v>-0.11774619585158802</v>
      </c>
      <c r="HH45" s="327">
        <f t="shared" ref="HH45:HH50" si="921">CS45-CR45</f>
        <v>-9599.6500000000233</v>
      </c>
      <c r="HI45" s="402">
        <f t="shared" ref="HI45:HI50" si="922">HH45/CR45</f>
        <v>-1.1129925493330512E-2</v>
      </c>
      <c r="HJ45" s="327">
        <f t="shared" ref="HJ45:HJ50" si="923">CT45-CS45</f>
        <v>-96140.170000000042</v>
      </c>
      <c r="HK45" s="402">
        <f t="shared" ref="HK45:HK50" si="924">HJ45/CS45</f>
        <v>-0.11272039691672864</v>
      </c>
      <c r="HL45" s="327">
        <f t="shared" ref="HL45:HL50" si="925">CU45-CT45</f>
        <v>1985329.6500000001</v>
      </c>
      <c r="HM45" s="402">
        <f t="shared" ref="HM45:HM50" si="926">HL45/CT45</f>
        <v>2.6234316531799307</v>
      </c>
      <c r="HN45" s="327">
        <f t="shared" ref="HN45:HN50" si="927">CV45-CU45</f>
        <v>-1796639.7100000002</v>
      </c>
      <c r="HO45" s="402">
        <f t="shared" ref="HO45:HO50" si="928">HN45/CU45</f>
        <v>-0.65520627208835747</v>
      </c>
      <c r="HP45" s="327">
        <f t="shared" ref="HP45:HP50" si="929">CW45-CV45</f>
        <v>-189664.5299999998</v>
      </c>
      <c r="HQ45" s="402">
        <f t="shared" ref="HQ45:HQ50" si="930">HP45/CV45</f>
        <v>-0.20060595173467946</v>
      </c>
      <c r="HR45" s="327">
        <f t="shared" ref="HR45:HR50" si="931">CX45-CW45</f>
        <v>38604.539999999921</v>
      </c>
      <c r="HS45" s="402">
        <f t="shared" ref="HS45:HS50" si="932">HR45/CW45</f>
        <v>5.1078150819507347E-2</v>
      </c>
      <c r="HT45" s="327">
        <f t="shared" ref="HT45:HT50" si="933">CY45-CX45</f>
        <v>176027.92000000004</v>
      </c>
      <c r="HU45" s="402">
        <f t="shared" ref="HU45:HU50" si="934">HT45/CX45</f>
        <v>0.22158651804513899</v>
      </c>
      <c r="HV45" s="327">
        <f t="shared" ref="HV45:HV50" si="935">DB45-CY45</f>
        <v>-226117.67000000004</v>
      </c>
      <c r="HW45" s="402">
        <f t="shared" ref="HW45:HW50" si="936">HV45/CY45</f>
        <v>-0.23300865155034431</v>
      </c>
      <c r="HX45" s="327">
        <f t="shared" ref="HX45:HX50" si="937">DC45-DB45</f>
        <v>16888.499999999884</v>
      </c>
      <c r="HY45" s="402">
        <f t="shared" ref="HY45:HY50" si="938">HX45/DB45</f>
        <v>2.26901913239188E-2</v>
      </c>
      <c r="HZ45" s="327">
        <f t="shared" ref="HZ45:HZ50" si="939">DD45-DC45</f>
        <v>-24612.879999999888</v>
      </c>
      <c r="IA45" s="402">
        <f t="shared" ref="IA45:IA50" si="940">HZ45/DD45</f>
        <v>-3.3414898140201155E-2</v>
      </c>
      <c r="IB45" s="327">
        <f t="shared" ref="IB45:IB50" si="941">DE45-DD45</f>
        <v>12825</v>
      </c>
      <c r="IC45" s="402">
        <f t="shared" ref="IC45:IC50" si="942">IB45/DD45</f>
        <v>1.741145565444116E-2</v>
      </c>
      <c r="ID45" s="327">
        <f t="shared" ref="ID45:ID50" si="943">DF45-DE45</f>
        <v>11890.599999999977</v>
      </c>
      <c r="IE45" s="402">
        <f t="shared" ref="IE45:IE50" si="944">ID45/DO45</f>
        <v>1.2158067888677246E-2</v>
      </c>
      <c r="IF45" s="327">
        <f t="shared" ref="IF45:IF50" si="945">DG45-DF45</f>
        <v>-18255.739999999991</v>
      </c>
      <c r="IG45" s="402">
        <f t="shared" ref="IG45:IG50" si="946">IF45/DF45</f>
        <v>-2.3979704600404227E-2</v>
      </c>
      <c r="IH45" s="327">
        <f t="shared" ref="IH45:IH50" si="947">DH45-DG45</f>
        <v>2193824.96</v>
      </c>
      <c r="II45" s="402">
        <f t="shared" ref="II45:II50" si="948">IH45/DG45</f>
        <v>2.9524837214189827</v>
      </c>
      <c r="IJ45" s="327">
        <f t="shared" ref="IJ45:IJ50" si="949">DI45-DH45</f>
        <v>-2143153.34</v>
      </c>
      <c r="IK45" s="402">
        <f t="shared" ref="IK45:IK50" si="950">IJ45/DH45</f>
        <v>-0.72974091005031061</v>
      </c>
      <c r="IL45" s="327">
        <f t="shared" ref="IL45:IL50" si="951">DJ45-DI45</f>
        <v>-1791.4699999999721</v>
      </c>
      <c r="IM45" s="402">
        <f t="shared" ref="IM45:IM50" si="952">IL45/DI45</f>
        <v>-2.2570681812311491E-3</v>
      </c>
      <c r="IN45" s="327">
        <f t="shared" ref="IN45:IN50" si="953">DK45-DJ45</f>
        <v>-30266.340000000084</v>
      </c>
      <c r="IO45" s="402">
        <f t="shared" ref="IO45:IO50" si="954">IN45/DJ45</f>
        <v>-3.8218741764914098E-2</v>
      </c>
      <c r="IP45" s="327">
        <f t="shared" ref="IP45:IP50" si="955">DL45-DK45</f>
        <v>-761657.69</v>
      </c>
      <c r="IQ45" s="402">
        <f t="shared" ref="IQ45:IQ50" si="956">IP45/EI45</f>
        <v>7076318.0065586474</v>
      </c>
      <c r="IR45" s="327">
        <f t="shared" ref="IR45:IR50" si="957">EK45-EJ45</f>
        <v>-323711.2444745347</v>
      </c>
      <c r="IS45" s="402">
        <f t="shared" ref="IS45:IS50" si="958">IR45/EJ45</f>
        <v>-0.99999865458835013</v>
      </c>
      <c r="IT45" s="647">
        <f t="shared" ref="IT45:IT50" si="959">CW45</f>
        <v>755793.6100000001</v>
      </c>
      <c r="IU45" s="1075">
        <f t="shared" ref="IU45:IU50" si="960">DK45</f>
        <v>761657.69</v>
      </c>
      <c r="IV45" s="680">
        <f>IU45-IT45</f>
        <v>5864.0799999998417</v>
      </c>
      <c r="IW45" s="109">
        <f t="shared" ref="IW45:IW49" si="961">IF(ISERROR(IV45/IT45),0,IV45/IT45)</f>
        <v>7.7588377599538596E-3</v>
      </c>
      <c r="IX45" s="698"/>
      <c r="IY45" s="698"/>
      <c r="IZ45" s="698"/>
      <c r="JA45" t="str">
        <f t="shared" ref="JA45:JA50" si="962">E45</f>
        <v>Total ERP Costs</v>
      </c>
      <c r="JB45" s="288" t="e">
        <f>#REF!</f>
        <v>#REF!</v>
      </c>
      <c r="JC45" s="288" t="e">
        <f>#REF!</f>
        <v>#REF!</v>
      </c>
      <c r="JD45" s="288" t="e">
        <f>#REF!</f>
        <v>#REF!</v>
      </c>
      <c r="JE45" s="288" t="e">
        <f>#REF!</f>
        <v>#REF!</v>
      </c>
      <c r="JF45" s="288" t="e">
        <f>#REF!</f>
        <v>#REF!</v>
      </c>
      <c r="JG45" s="288" t="e">
        <f>#REF!</f>
        <v>#REF!</v>
      </c>
      <c r="JH45" s="288" t="e">
        <f>#REF!</f>
        <v>#REF!</v>
      </c>
      <c r="JI45" s="288" t="e">
        <f>#REF!</f>
        <v>#REF!</v>
      </c>
      <c r="JJ45" s="288" t="e">
        <f>#REF!</f>
        <v>#REF!</v>
      </c>
      <c r="JK45" s="288" t="e">
        <f>#REF!</f>
        <v>#REF!</v>
      </c>
      <c r="JL45" s="288" t="e">
        <f>#REF!</f>
        <v>#REF!</v>
      </c>
      <c r="JM45" s="289">
        <f t="shared" ref="JM45:JX50" si="963">AJ45</f>
        <v>842664.62</v>
      </c>
      <c r="JN45" s="289">
        <f t="shared" si="963"/>
        <v>728467.10000000009</v>
      </c>
      <c r="JO45" s="289">
        <f t="shared" si="963"/>
        <v>747018.07</v>
      </c>
      <c r="JP45" s="289">
        <f t="shared" si="963"/>
        <v>737646.02999999991</v>
      </c>
      <c r="JQ45" s="289">
        <f t="shared" si="963"/>
        <v>725533.50999999989</v>
      </c>
      <c r="JR45" s="289">
        <f t="shared" si="963"/>
        <v>2728501.65</v>
      </c>
      <c r="JS45" s="289">
        <f t="shared" si="963"/>
        <v>745353.13</v>
      </c>
      <c r="JT45" s="289">
        <f t="shared" si="963"/>
        <v>809195.83000000007</v>
      </c>
      <c r="JU45" s="289">
        <f t="shared" si="963"/>
        <v>773425.62000000011</v>
      </c>
      <c r="JV45" s="289">
        <f t="shared" si="963"/>
        <v>738835.52</v>
      </c>
      <c r="JW45" s="289">
        <f t="shared" si="963"/>
        <v>766413.52</v>
      </c>
      <c r="JX45" s="289">
        <f t="shared" si="963"/>
        <v>785622.28000000014</v>
      </c>
      <c r="JY45" s="289">
        <f t="shared" ref="JY45:KJ50" si="964">AX45</f>
        <v>809776.44</v>
      </c>
      <c r="JZ45" s="289">
        <f t="shared" si="964"/>
        <v>832917.84000000008</v>
      </c>
      <c r="KA45" s="289">
        <f t="shared" si="964"/>
        <v>743266.94</v>
      </c>
      <c r="KB45" s="289">
        <f t="shared" si="964"/>
        <v>1066978.6200000001</v>
      </c>
      <c r="KC45" s="289">
        <f t="shared" si="964"/>
        <v>871421.17999999993</v>
      </c>
      <c r="KD45" s="289">
        <f t="shared" si="964"/>
        <v>938127.61</v>
      </c>
      <c r="KE45" s="289">
        <f t="shared" si="964"/>
        <v>2331301.9300000002</v>
      </c>
      <c r="KF45" s="289">
        <f t="shared" si="964"/>
        <v>937930.58000000007</v>
      </c>
      <c r="KG45" s="289">
        <f t="shared" si="964"/>
        <v>921256.01</v>
      </c>
      <c r="KH45" s="289">
        <f t="shared" si="964"/>
        <v>799121.17</v>
      </c>
      <c r="KI45" s="289">
        <f t="shared" si="964"/>
        <v>1215388.95</v>
      </c>
      <c r="KJ45" s="289">
        <f t="shared" si="964"/>
        <v>1189596.24</v>
      </c>
      <c r="KK45" s="801">
        <f t="shared" ref="KK45:KV50" si="965">BL45</f>
        <v>834513.57</v>
      </c>
      <c r="KL45" s="801">
        <f t="shared" si="965"/>
        <v>841984.72</v>
      </c>
      <c r="KM45" s="801">
        <f t="shared" si="965"/>
        <v>841357.56</v>
      </c>
      <c r="KN45" s="801">
        <f t="shared" si="965"/>
        <v>830582.06</v>
      </c>
      <c r="KO45" s="801">
        <f t="shared" si="965"/>
        <v>862301.04999999993</v>
      </c>
      <c r="KP45" s="801">
        <f t="shared" si="965"/>
        <v>898997.86999999988</v>
      </c>
      <c r="KQ45" s="801">
        <f t="shared" si="965"/>
        <v>2776943.1999999997</v>
      </c>
      <c r="KR45" s="801">
        <f t="shared" si="965"/>
        <v>893845.33000000007</v>
      </c>
      <c r="KS45" s="801">
        <f t="shared" si="965"/>
        <v>867090.54</v>
      </c>
      <c r="KT45" s="801">
        <f t="shared" si="965"/>
        <v>882651.77</v>
      </c>
      <c r="KU45" s="801">
        <f t="shared" si="965"/>
        <v>933513.69</v>
      </c>
      <c r="KV45" s="801">
        <f t="shared" si="965"/>
        <v>2330709.91</v>
      </c>
      <c r="KW45" s="913">
        <f t="shared" ref="KW45:LH50" si="966">BZ45</f>
        <v>854026.62</v>
      </c>
      <c r="KX45" s="913">
        <f t="shared" si="966"/>
        <v>882244.46</v>
      </c>
      <c r="KY45" s="913">
        <f t="shared" si="966"/>
        <v>875901.92999999993</v>
      </c>
      <c r="KZ45" s="913">
        <f t="shared" si="966"/>
        <v>1008853.3200000001</v>
      </c>
      <c r="LA45" s="913">
        <f t="shared" si="966"/>
        <v>928077.97</v>
      </c>
      <c r="LB45" s="913">
        <f t="shared" si="966"/>
        <v>1022282.88</v>
      </c>
      <c r="LC45" s="913">
        <f t="shared" si="966"/>
        <v>2915833.31</v>
      </c>
      <c r="LD45" s="913">
        <f t="shared" si="966"/>
        <v>1002015.4199999999</v>
      </c>
      <c r="LE45" s="913">
        <f t="shared" si="966"/>
        <v>902981.57000000007</v>
      </c>
      <c r="LF45" s="913">
        <f t="shared" si="966"/>
        <v>698611.25</v>
      </c>
      <c r="LG45" s="913">
        <f t="shared" si="966"/>
        <v>1011228.0900000001</v>
      </c>
      <c r="LH45" s="913">
        <f t="shared" si="966"/>
        <v>1030007.27</v>
      </c>
      <c r="LI45" s="972">
        <f t="shared" ref="LI45:LT50" si="967">CN45</f>
        <v>975788.4</v>
      </c>
      <c r="LJ45" s="972">
        <f t="shared" si="967"/>
        <v>946109.59000000008</v>
      </c>
      <c r="LK45" s="972">
        <f t="shared" si="967"/>
        <v>952139.08</v>
      </c>
      <c r="LL45" s="972">
        <f t="shared" si="967"/>
        <v>977618.92999999993</v>
      </c>
      <c r="LM45" s="972">
        <f t="shared" si="967"/>
        <v>862508.02</v>
      </c>
      <c r="LN45" s="972">
        <f t="shared" si="967"/>
        <v>852908.37</v>
      </c>
      <c r="LO45" s="972">
        <f t="shared" si="967"/>
        <v>756768.2</v>
      </c>
      <c r="LP45" s="972">
        <f t="shared" si="967"/>
        <v>2742097.85</v>
      </c>
      <c r="LQ45" s="972">
        <f t="shared" si="967"/>
        <v>945458.1399999999</v>
      </c>
      <c r="LR45" s="972">
        <f t="shared" si="967"/>
        <v>755793.6100000001</v>
      </c>
      <c r="LS45" s="972">
        <f t="shared" si="967"/>
        <v>794398.15</v>
      </c>
      <c r="LT45" s="972">
        <f t="shared" si="967"/>
        <v>970426.07000000007</v>
      </c>
      <c r="LU45" s="1168">
        <f t="shared" ref="LU45:MF50" si="968">DB45</f>
        <v>744308.4</v>
      </c>
      <c r="LV45" s="1168">
        <f t="shared" si="968"/>
        <v>761196.89999999991</v>
      </c>
      <c r="LW45" s="1168">
        <f t="shared" si="968"/>
        <v>736584.02</v>
      </c>
      <c r="LX45" s="1168">
        <f t="shared" si="968"/>
        <v>749409.02</v>
      </c>
      <c r="LY45" s="1168">
        <f t="shared" si="968"/>
        <v>761299.62</v>
      </c>
      <c r="LZ45" s="1168">
        <f t="shared" si="968"/>
        <v>743043.88</v>
      </c>
      <c r="MA45" s="1168">
        <f t="shared" si="968"/>
        <v>2936868.84</v>
      </c>
      <c r="MB45" s="1168">
        <f t="shared" si="968"/>
        <v>793715.5</v>
      </c>
      <c r="MC45" s="1168">
        <f t="shared" si="968"/>
        <v>791924.03</v>
      </c>
      <c r="MD45" s="1168">
        <f t="shared" si="968"/>
        <v>761657.69</v>
      </c>
      <c r="ME45" s="1168">
        <f t="shared" si="968"/>
        <v>0</v>
      </c>
      <c r="MF45" s="1168">
        <f t="shared" si="968"/>
        <v>0</v>
      </c>
      <c r="MG45" s="1190">
        <f t="shared" ref="MG45:MP50" si="969">DP45</f>
        <v>0</v>
      </c>
      <c r="MH45" s="1190">
        <f t="shared" si="969"/>
        <v>0</v>
      </c>
      <c r="MI45" s="1190">
        <f t="shared" si="969"/>
        <v>0</v>
      </c>
      <c r="MJ45" s="1190">
        <f t="shared" si="969"/>
        <v>0</v>
      </c>
      <c r="MK45" s="1190">
        <f t="shared" si="969"/>
        <v>0</v>
      </c>
      <c r="ML45" s="1190">
        <f t="shared" si="969"/>
        <v>0</v>
      </c>
      <c r="MM45" s="1190">
        <f t="shared" si="969"/>
        <v>0</v>
      </c>
      <c r="MN45" s="1190">
        <f t="shared" si="969"/>
        <v>0</v>
      </c>
      <c r="MO45" s="1190">
        <f t="shared" si="969"/>
        <v>0</v>
      </c>
      <c r="MP45" s="1190">
        <f t="shared" si="969"/>
        <v>0</v>
      </c>
      <c r="MQ45" s="1190">
        <f t="shared" ref="MQ45:MR50" si="970">DZ45</f>
        <v>0</v>
      </c>
      <c r="MR45" s="1190">
        <f t="shared" si="970"/>
        <v>0</v>
      </c>
    </row>
    <row r="46" spans="1:356" s="2" customFormat="1" x14ac:dyDescent="0.25">
      <c r="A46" s="764"/>
      <c r="B46" s="56">
        <v>7.2</v>
      </c>
      <c r="C46" s="7"/>
      <c r="D46" s="119"/>
      <c r="E46" s="1217" t="s">
        <v>167</v>
      </c>
      <c r="F46" s="1217"/>
      <c r="G46" s="1218"/>
      <c r="H46" s="387">
        <v>6.5612847773068443</v>
      </c>
      <c r="I46" s="61">
        <v>8.0712490038740423</v>
      </c>
      <c r="J46" s="25">
        <v>11.164394660906037</v>
      </c>
      <c r="K46" s="61">
        <v>7.8274321334892401</v>
      </c>
      <c r="L46" s="25">
        <v>8.1957133404230174</v>
      </c>
      <c r="M46" s="61">
        <v>30.456910683288623</v>
      </c>
      <c r="N46" s="25">
        <v>7.8899957317314158</v>
      </c>
      <c r="O46" s="61">
        <v>9.0852541537874743</v>
      </c>
      <c r="P46" s="25">
        <v>6.3075713261281567</v>
      </c>
      <c r="Q46" s="61">
        <v>6.5599882540283163</v>
      </c>
      <c r="R46" s="25">
        <v>6.5274505111340053</v>
      </c>
      <c r="S46" s="61">
        <v>9.2728995694578682</v>
      </c>
      <c r="T46" s="141">
        <v>9.7620836144653094</v>
      </c>
      <c r="U46" s="393">
        <v>9.7620836144653094</v>
      </c>
      <c r="V46" s="387">
        <f t="shared" ref="V46:Y46" si="971">V45/V39</f>
        <v>7.1276031349856126</v>
      </c>
      <c r="W46" s="61">
        <f t="shared" si="971"/>
        <v>5.8187893834641633</v>
      </c>
      <c r="X46" s="25">
        <f t="shared" si="971"/>
        <v>6.9148461218955957</v>
      </c>
      <c r="Y46" s="61">
        <f t="shared" si="971"/>
        <v>6.1464218177241481</v>
      </c>
      <c r="Z46" s="25">
        <v>7.9507969523211059</v>
      </c>
      <c r="AA46" s="61">
        <v>21.530749240049776</v>
      </c>
      <c r="AB46" s="25">
        <v>5.6509696912650602</v>
      </c>
      <c r="AC46" s="61">
        <v>6.9508714811632366</v>
      </c>
      <c r="AD46" s="25">
        <v>6.8769926644466963</v>
      </c>
      <c r="AE46" s="61">
        <v>6.0693760360505351</v>
      </c>
      <c r="AF46" s="25">
        <v>8.1292935524052439</v>
      </c>
      <c r="AG46" s="61">
        <v>10.793692508143323</v>
      </c>
      <c r="AH46" s="141">
        <v>8.2014556563657184</v>
      </c>
      <c r="AI46" s="718">
        <v>8.2014556563657184</v>
      </c>
      <c r="AJ46" s="25">
        <f t="shared" ref="AJ46:AU46" si="972">AJ45/AJ39</f>
        <v>7.554210436669087</v>
      </c>
      <c r="AK46" s="61">
        <f t="shared" si="972"/>
        <v>5.4004929979464604</v>
      </c>
      <c r="AL46" s="25">
        <f t="shared" si="972"/>
        <v>6.7063297423467096</v>
      </c>
      <c r="AM46" s="61">
        <f t="shared" si="972"/>
        <v>6.6176180394197379</v>
      </c>
      <c r="AN46" s="25">
        <f t="shared" si="972"/>
        <v>6.5188954778655299</v>
      </c>
      <c r="AO46" s="639">
        <f t="shared" si="972"/>
        <v>24.557644501647076</v>
      </c>
      <c r="AP46" s="638">
        <f t="shared" si="972"/>
        <v>6.7136833903801119</v>
      </c>
      <c r="AQ46" s="639">
        <f t="shared" si="972"/>
        <v>6.1067696290035327</v>
      </c>
      <c r="AR46" s="638">
        <f t="shared" si="972"/>
        <v>6.9713154384193841</v>
      </c>
      <c r="AS46" s="639">
        <f t="shared" si="972"/>
        <v>6.6372805346940247</v>
      </c>
      <c r="AT46" s="638">
        <f t="shared" si="972"/>
        <v>6.8673200541204089</v>
      </c>
      <c r="AU46" s="639">
        <f t="shared" si="972"/>
        <v>6.9872841438685134</v>
      </c>
      <c r="AV46" s="141">
        <f t="shared" ref="AV46:BA46" si="973">AV45/AV39</f>
        <v>8.0553568556486468</v>
      </c>
      <c r="AW46" s="719">
        <f t="shared" si="973"/>
        <v>8.0553568556486468</v>
      </c>
      <c r="AX46" s="25">
        <f t="shared" si="973"/>
        <v>7.2044808227831201</v>
      </c>
      <c r="AY46" s="61">
        <f t="shared" si="973"/>
        <v>6.2230960154808255</v>
      </c>
      <c r="AZ46" s="25">
        <f t="shared" si="973"/>
        <v>6.7132748654214378</v>
      </c>
      <c r="BA46" s="61">
        <f t="shared" si="973"/>
        <v>9.6427381587152414</v>
      </c>
      <c r="BB46" s="25">
        <f t="shared" ref="BB46:BG46" si="974">BB45/BB39</f>
        <v>7.9134498133837026</v>
      </c>
      <c r="BC46" s="639">
        <f t="shared" si="974"/>
        <v>8.5444342131628321</v>
      </c>
      <c r="BD46" s="638">
        <f t="shared" si="974"/>
        <v>18.912466576889379</v>
      </c>
      <c r="BE46" s="639">
        <f t="shared" si="974"/>
        <v>8.5624482380865441</v>
      </c>
      <c r="BF46" s="638">
        <f t="shared" si="974"/>
        <v>8.392220542017764</v>
      </c>
      <c r="BG46" s="639">
        <f t="shared" si="974"/>
        <v>7.234812095423476</v>
      </c>
      <c r="BH46" s="638">
        <f t="shared" ref="BH46:BI46" si="975">BH45/BH39</f>
        <v>10.919642327700062</v>
      </c>
      <c r="BI46" s="639">
        <f t="shared" si="975"/>
        <v>8.7339944054095717</v>
      </c>
      <c r="BJ46" s="141">
        <f>BJ45/BJ39</f>
        <v>9.1185026576546075</v>
      </c>
      <c r="BK46" s="719">
        <f>BK45/BK39</f>
        <v>9.1185026576546075</v>
      </c>
      <c r="BL46" s="25">
        <f t="shared" ref="BL46:BM46" si="976">BL45/BL39</f>
        <v>7.3309693940299026</v>
      </c>
      <c r="BM46" s="61">
        <f t="shared" si="976"/>
        <v>7.2953430259760514</v>
      </c>
      <c r="BN46" s="25">
        <f t="shared" ref="BN46:BO46" si="977">BN45/BN39</f>
        <v>7.2609066666666671</v>
      </c>
      <c r="BO46" s="61">
        <f t="shared" si="977"/>
        <v>7.1233452830188684</v>
      </c>
      <c r="BP46" s="25">
        <f t="shared" ref="BP46:BQ46" si="978">BP45/BP39</f>
        <v>7.3409814922018652</v>
      </c>
      <c r="BQ46" s="639">
        <f t="shared" si="978"/>
        <v>7.6645483532691623</v>
      </c>
      <c r="BR46" s="638">
        <f t="shared" ref="BR46" si="979">BR45/BR39</f>
        <v>19.478162548135259</v>
      </c>
      <c r="BS46" s="639">
        <f t="shared" ref="BS46:BT46" si="980">BS45/BS39</f>
        <v>7.6363097597648917</v>
      </c>
      <c r="BT46" s="638">
        <f t="shared" si="980"/>
        <v>7.3813157289884312</v>
      </c>
      <c r="BU46" s="638">
        <f t="shared" ref="BU46:BV46" si="981">BU45/BU39</f>
        <v>7.4179274554790782</v>
      </c>
      <c r="BV46" s="638">
        <f t="shared" si="981"/>
        <v>7.7899269835441762</v>
      </c>
      <c r="BW46" s="638">
        <f t="shared" ref="BW46" si="982">BW45/BW39</f>
        <v>19.240757425660838</v>
      </c>
      <c r="BX46" s="141">
        <f>BX45/BX39</f>
        <v>9.6227500594686237</v>
      </c>
      <c r="BY46" s="719">
        <f>BY45/BY39</f>
        <v>9.6227500594686237</v>
      </c>
      <c r="BZ46" s="638">
        <f t="shared" ref="BZ46:CA46" si="983">BZ45/BZ39</f>
        <v>5.7464934697914778</v>
      </c>
      <c r="CA46" s="61">
        <f t="shared" si="983"/>
        <v>7.2803860341142581</v>
      </c>
      <c r="CB46" s="25">
        <f t="shared" ref="CB46:CC46" si="984">CB45/CB39</f>
        <v>7.259557664415067</v>
      </c>
      <c r="CC46" s="61">
        <f t="shared" si="984"/>
        <v>8.3566230689583776</v>
      </c>
      <c r="CD46" s="25">
        <f t="shared" ref="CD46:CE46" si="985">CD45/CD39</f>
        <v>7.7029146608678332</v>
      </c>
      <c r="CE46" s="639">
        <f t="shared" si="985"/>
        <v>6.9576184577690059</v>
      </c>
      <c r="CF46" s="638">
        <f t="shared" ref="CF46:CG46" si="986">CF45/CF39</f>
        <v>23.768378017069214</v>
      </c>
      <c r="CG46" s="639">
        <f t="shared" si="986"/>
        <v>8.4477706490856814</v>
      </c>
      <c r="CH46" s="638">
        <f t="shared" ref="CH46:CI46" si="987">CH45/CH39</f>
        <v>7.6528401684845715</v>
      </c>
      <c r="CI46" s="638">
        <f t="shared" si="987"/>
        <v>5.8909297501496738</v>
      </c>
      <c r="CJ46" s="638">
        <f t="shared" ref="CJ46:CK46" si="988">CJ45/CJ39</f>
        <v>8.5097287767604701</v>
      </c>
      <c r="CK46" s="638">
        <f t="shared" si="988"/>
        <v>8.6339022447987386</v>
      </c>
      <c r="CL46" s="141">
        <f>CL45/CL39</f>
        <v>8.7863637330756941</v>
      </c>
      <c r="CM46" s="719">
        <f>CM45/CM39</f>
        <v>8.7863637330756923</v>
      </c>
      <c r="CN46" s="638">
        <f t="shared" ref="CN46:CO46" si="989">CN45/CN39</f>
        <v>6.6931092667535497</v>
      </c>
      <c r="CO46" s="61">
        <f t="shared" si="989"/>
        <v>8.141658692322256</v>
      </c>
      <c r="CP46" s="25">
        <f t="shared" ref="CP46:CQ46" si="990">CP45/CP39</f>
        <v>8.2773829208286607</v>
      </c>
      <c r="CQ46" s="61">
        <f t="shared" si="990"/>
        <v>8.2047361795338762</v>
      </c>
      <c r="CR46" s="25">
        <f t="shared" ref="CR46:CS46" si="991">CR45/CR39</f>
        <v>7.2719211183056798</v>
      </c>
      <c r="CS46" s="639">
        <f t="shared" si="991"/>
        <v>6.1598287629186137</v>
      </c>
      <c r="CT46" s="1029">
        <f t="shared" ref="CT46:CU46" si="992">CT45/CT39</f>
        <v>6.1687863250650077</v>
      </c>
      <c r="CU46" s="639">
        <f t="shared" si="992"/>
        <v>23.169198823837569</v>
      </c>
      <c r="CV46" s="638">
        <f t="shared" ref="CV46:CW46" si="993">CV45/CV39</f>
        <v>7.9655091243028284</v>
      </c>
      <c r="CW46" s="1103">
        <f t="shared" si="993"/>
        <v>6.3539833372566168</v>
      </c>
      <c r="CX46" s="638">
        <f t="shared" ref="CX46:CY46" si="994">CX45/CX39</f>
        <v>6.6681060822267364</v>
      </c>
      <c r="CY46" s="61">
        <f t="shared" si="994"/>
        <v>6.65121842058368</v>
      </c>
      <c r="CZ46" s="141">
        <f>CZ45/CZ39</f>
        <v>8.3716707649862556</v>
      </c>
      <c r="DA46" s="1126" t="s">
        <v>289</v>
      </c>
      <c r="DB46" s="1125">
        <f t="shared" ref="DB46:DC46" si="995">DB45/DB39</f>
        <v>6.1854054997382262</v>
      </c>
      <c r="DC46" s="61">
        <f t="shared" si="995"/>
        <v>6.3201861523260732</v>
      </c>
      <c r="DD46" s="25">
        <f t="shared" ref="DD46:DE46" si="996">DD45/DD39</f>
        <v>6.1149125414048164</v>
      </c>
      <c r="DE46" s="61">
        <f t="shared" si="996"/>
        <v>6.0584741624628125</v>
      </c>
      <c r="DF46" s="25">
        <f t="shared" ref="DF46:DG46" si="997">DF45/DF39</f>
        <v>6.1837970303463514</v>
      </c>
      <c r="DG46" s="639">
        <f t="shared" si="997"/>
        <v>4.9314671409798638</v>
      </c>
      <c r="DH46" s="1029">
        <f t="shared" ref="DH46:DI46" si="998">DH45/DH39</f>
        <v>23.925806646082656</v>
      </c>
      <c r="DI46" s="639">
        <f t="shared" si="998"/>
        <v>6.483226602192345</v>
      </c>
      <c r="DJ46" s="638">
        <f t="shared" ref="DJ46:DK46" si="999">DJ45/DJ39</f>
        <v>6.4682765126764243</v>
      </c>
      <c r="DK46" s="639">
        <f t="shared" si="999"/>
        <v>6.1820857277361121</v>
      </c>
      <c r="DL46" s="638"/>
      <c r="DM46" s="639"/>
      <c r="DN46" s="141">
        <f>DN45/DN39</f>
        <v>7.8269993645570057</v>
      </c>
      <c r="DO46" s="719">
        <f>DO45/DO39</f>
        <v>7.8269993645570048</v>
      </c>
      <c r="DP46" s="1125"/>
      <c r="DQ46" s="61"/>
      <c r="DR46" s="25"/>
      <c r="DS46" s="61"/>
      <c r="DT46" s="25"/>
      <c r="DU46" s="639"/>
      <c r="DV46" s="1029"/>
      <c r="DW46" s="639"/>
      <c r="DX46" s="638"/>
      <c r="DY46" s="639"/>
      <c r="DZ46" s="638"/>
      <c r="EA46" s="639"/>
      <c r="EB46" s="141" t="e">
        <f>EB45/EB39</f>
        <v>#DIV/0!</v>
      </c>
      <c r="EC46" s="719" t="e">
        <f>EC45/EC39</f>
        <v>#DIV/0!</v>
      </c>
      <c r="ED46" s="752">
        <f t="shared" si="839"/>
        <v>0.2171966789146067</v>
      </c>
      <c r="EE46" s="663">
        <f t="shared" si="840"/>
        <v>3.108456367918017E-2</v>
      </c>
      <c r="EF46" s="681">
        <f t="shared" si="841"/>
        <v>-0.9813848073022946</v>
      </c>
      <c r="EG46" s="663">
        <f t="shared" si="842"/>
        <v>-0.13621867160764842</v>
      </c>
      <c r="EH46" s="681">
        <f t="shared" si="843"/>
        <v>0.49017884994061234</v>
      </c>
      <c r="EI46" s="663">
        <f t="shared" si="844"/>
        <v>7.8767682311380635E-2</v>
      </c>
      <c r="EJ46" s="681">
        <f t="shared" si="845"/>
        <v>2.9294632932938036</v>
      </c>
      <c r="EK46" s="663">
        <f t="shared" si="846"/>
        <v>0.43636873985047259</v>
      </c>
      <c r="EL46" s="681">
        <f t="shared" si="847"/>
        <v>-1.7292883453315389</v>
      </c>
      <c r="EM46" s="663">
        <f t="shared" si="848"/>
        <v>-0.1793358190244525</v>
      </c>
      <c r="EN46" s="681">
        <f t="shared" si="849"/>
        <v>0.63098439977912957</v>
      </c>
      <c r="EO46" s="663">
        <f t="shared" si="850"/>
        <v>7.9735692354043972E-2</v>
      </c>
      <c r="EP46" s="681">
        <f t="shared" si="851"/>
        <v>10.368032363726547</v>
      </c>
      <c r="EQ46" s="663">
        <f t="shared" si="852"/>
        <v>1.213425266678797</v>
      </c>
      <c r="ER46" s="681">
        <f t="shared" si="853"/>
        <v>-10.350018338802835</v>
      </c>
      <c r="ES46" s="663">
        <f t="shared" si="854"/>
        <v>-0.54725904189833874</v>
      </c>
      <c r="ET46" s="681">
        <f t="shared" si="855"/>
        <v>-0.17022769606878008</v>
      </c>
      <c r="EU46" s="663">
        <f t="shared" si="856"/>
        <v>-1.9880727022861509E-2</v>
      </c>
      <c r="EV46" s="681">
        <f t="shared" si="857"/>
        <v>-1.157408446594288</v>
      </c>
      <c r="EW46" s="109">
        <f t="shared" si="858"/>
        <v>-0.13791444597999197</v>
      </c>
      <c r="EX46" s="681">
        <f t="shared" si="859"/>
        <v>3.6848302322765862</v>
      </c>
      <c r="EY46" s="663">
        <f t="shared" si="860"/>
        <v>0.50931941060466501</v>
      </c>
      <c r="EZ46" s="681">
        <f t="shared" si="861"/>
        <v>-2.1856479222904905</v>
      </c>
      <c r="FA46" s="663">
        <f t="shared" si="862"/>
        <v>-0.20015746456695896</v>
      </c>
      <c r="FB46" s="681">
        <f t="shared" si="863"/>
        <v>-1.4030250113796692</v>
      </c>
      <c r="FC46" s="663">
        <f t="shared" si="864"/>
        <v>-0.1606395592045122</v>
      </c>
      <c r="FD46" s="465">
        <f t="shared" si="865"/>
        <v>-3.562636805385111E-2</v>
      </c>
      <c r="FE46" s="402">
        <f t="shared" si="866"/>
        <v>-4.859707651059632E-3</v>
      </c>
      <c r="FF46" s="465">
        <f t="shared" si="867"/>
        <v>-3.4436359309384379E-2</v>
      </c>
      <c r="FG46" s="402">
        <f t="shared" si="868"/>
        <v>-4.7203207836518562E-3</v>
      </c>
      <c r="FH46" s="465">
        <f t="shared" si="869"/>
        <v>-0.13756138364779869</v>
      </c>
      <c r="FI46" s="402">
        <f t="shared" si="870"/>
        <v>-1.8945482976570237E-2</v>
      </c>
      <c r="FJ46" s="465">
        <f t="shared" si="871"/>
        <v>0.21763620918299686</v>
      </c>
      <c r="FK46" s="402">
        <f t="shared" si="872"/>
        <v>3.0552528416924189E-2</v>
      </c>
      <c r="FL46" s="465">
        <f t="shared" si="873"/>
        <v>0.32356686106729704</v>
      </c>
      <c r="FM46" s="402">
        <f t="shared" si="874"/>
        <v>4.4076784747518263E-2</v>
      </c>
      <c r="FN46" s="465">
        <f t="shared" si="875"/>
        <v>11.813614194866098</v>
      </c>
      <c r="FO46" s="402">
        <f t="shared" si="876"/>
        <v>1.5413320720753536</v>
      </c>
      <c r="FP46" s="465">
        <f t="shared" si="877"/>
        <v>-11.841852788370367</v>
      </c>
      <c r="FQ46" s="402">
        <f t="shared" si="878"/>
        <v>-0.60795533249639333</v>
      </c>
      <c r="FR46" s="465">
        <f t="shared" si="879"/>
        <v>-0.25499403077646043</v>
      </c>
      <c r="FS46" s="402">
        <f t="shared" si="880"/>
        <v>-3.3392311050555297E-2</v>
      </c>
      <c r="FT46" s="465">
        <f t="shared" si="881"/>
        <v>3.6611726490646923E-2</v>
      </c>
      <c r="FU46" s="402">
        <f t="shared" si="882"/>
        <v>4.9600542552139769E-3</v>
      </c>
      <c r="FV46" s="465">
        <f t="shared" si="883"/>
        <v>0.37199952806509806</v>
      </c>
      <c r="FW46" s="402">
        <f t="shared" si="884"/>
        <v>5.0148714758639128E-2</v>
      </c>
      <c r="FX46" s="465">
        <f t="shared" si="885"/>
        <v>11.450830442116661</v>
      </c>
      <c r="FY46" s="402">
        <f t="shared" si="886"/>
        <v>1.4699535010156008</v>
      </c>
      <c r="FZ46" s="465">
        <f t="shared" si="887"/>
        <v>-13.494263955869361</v>
      </c>
      <c r="GA46" s="402">
        <f t="shared" si="888"/>
        <v>-0.70133746075258208</v>
      </c>
      <c r="GB46" s="465">
        <f t="shared" si="889"/>
        <v>1.5338925643227803</v>
      </c>
      <c r="GC46" s="402">
        <f t="shared" si="890"/>
        <v>0.26692670450009937</v>
      </c>
      <c r="GD46" s="465">
        <f t="shared" si="891"/>
        <v>-2.0828369699191107E-2</v>
      </c>
      <c r="GE46" s="402">
        <f t="shared" si="892"/>
        <v>-2.8608880904932832E-3</v>
      </c>
      <c r="GF46" s="465">
        <f t="shared" si="893"/>
        <v>1.0970654045433106</v>
      </c>
      <c r="GG46" s="402">
        <f t="shared" si="894"/>
        <v>0.15112014467781015</v>
      </c>
      <c r="GH46" s="465">
        <f t="shared" si="895"/>
        <v>-0.65370840809054442</v>
      </c>
      <c r="GI46" s="402">
        <f t="shared" si="896"/>
        <v>-7.8226384353605502E-2</v>
      </c>
      <c r="GJ46" s="465">
        <f t="shared" si="897"/>
        <v>-0.74529620309882727</v>
      </c>
      <c r="GK46" s="402">
        <f t="shared" si="898"/>
        <v>-9.6755090236824715E-2</v>
      </c>
      <c r="GL46" s="465">
        <f t="shared" si="899"/>
        <v>16.810759559300209</v>
      </c>
      <c r="GM46" s="402">
        <f t="shared" si="900"/>
        <v>2.4161657701320203</v>
      </c>
      <c r="GN46" s="465">
        <f t="shared" si="901"/>
        <v>-15.320607367983532</v>
      </c>
      <c r="GO46" s="402">
        <f t="shared" si="902"/>
        <v>-0.64457942216255015</v>
      </c>
      <c r="GP46" s="465">
        <f t="shared" si="903"/>
        <v>-0.79493048060110993</v>
      </c>
      <c r="GQ46" s="402">
        <f t="shared" si="904"/>
        <v>-9.4099439203779375E-2</v>
      </c>
      <c r="GR46" s="465">
        <f t="shared" si="905"/>
        <v>-1.7619104183348977</v>
      </c>
      <c r="GS46" s="402">
        <f t="shared" si="906"/>
        <v>-0.23022961143114978</v>
      </c>
      <c r="GT46" s="465">
        <f t="shared" si="907"/>
        <v>2.6187990266107963</v>
      </c>
      <c r="GU46" s="402">
        <f t="shared" si="908"/>
        <v>0.44454765846499172</v>
      </c>
      <c r="GV46" s="465">
        <f t="shared" si="909"/>
        <v>0.12417346803826845</v>
      </c>
      <c r="GW46" s="402">
        <f t="shared" si="910"/>
        <v>1.4591941916806834E-2</v>
      </c>
      <c r="GX46" s="465">
        <f t="shared" si="911"/>
        <v>-1.9407929780451889</v>
      </c>
      <c r="GY46" s="402">
        <f t="shared" si="912"/>
        <v>-0.22478746261163279</v>
      </c>
      <c r="GZ46" s="465">
        <f t="shared" si="913"/>
        <v>1.4485494255687064</v>
      </c>
      <c r="HA46" s="402">
        <f t="shared" si="914"/>
        <v>0.21642399187535094</v>
      </c>
      <c r="HB46" s="465">
        <f t="shared" si="915"/>
        <v>0.13572422850640464</v>
      </c>
      <c r="HC46" s="402">
        <f t="shared" si="916"/>
        <v>1.6670341221057972E-2</v>
      </c>
      <c r="HD46" s="465">
        <f t="shared" si="917"/>
        <v>-7.2646741294784434E-2</v>
      </c>
      <c r="HE46" s="402">
        <f t="shared" si="918"/>
        <v>-8.7765350461171694E-3</v>
      </c>
      <c r="HF46" s="465">
        <f t="shared" si="919"/>
        <v>-0.93281506122819646</v>
      </c>
      <c r="HG46" s="402">
        <f t="shared" si="920"/>
        <v>-0.11369226758991184</v>
      </c>
      <c r="HH46" s="465">
        <f t="shared" si="921"/>
        <v>-1.1120923553870661</v>
      </c>
      <c r="HI46" s="402">
        <f t="shared" si="922"/>
        <v>-0.15292965054139337</v>
      </c>
      <c r="HJ46" s="465">
        <f t="shared" si="923"/>
        <v>8.9575621463939825E-3</v>
      </c>
      <c r="HK46" s="402">
        <f t="shared" si="924"/>
        <v>1.4541901229977964E-3</v>
      </c>
      <c r="HL46" s="465">
        <f t="shared" si="925"/>
        <v>17.000412498772562</v>
      </c>
      <c r="HM46" s="402">
        <f t="shared" si="926"/>
        <v>2.7558763755029898</v>
      </c>
      <c r="HN46" s="465">
        <f t="shared" si="927"/>
        <v>-15.20368969953474</v>
      </c>
      <c r="HO46" s="402">
        <f t="shared" si="928"/>
        <v>-0.65620265142239032</v>
      </c>
      <c r="HP46" s="465">
        <f t="shared" si="929"/>
        <v>-1.6115257870462116</v>
      </c>
      <c r="HQ46" s="402">
        <f t="shared" si="930"/>
        <v>-0.20231296730668907</v>
      </c>
      <c r="HR46" s="465">
        <f t="shared" si="931"/>
        <v>0.31412274497011961</v>
      </c>
      <c r="HS46" s="402">
        <f t="shared" si="932"/>
        <v>4.943713703626812E-2</v>
      </c>
      <c r="HT46" s="465">
        <f t="shared" si="933"/>
        <v>-1.688766164305644E-2</v>
      </c>
      <c r="HU46" s="402">
        <f t="shared" si="934"/>
        <v>-2.5326024263574707E-3</v>
      </c>
      <c r="HV46" s="465">
        <f t="shared" si="935"/>
        <v>-0.46581292084545378</v>
      </c>
      <c r="HW46" s="402">
        <f t="shared" si="936"/>
        <v>-7.0034224015842236E-2</v>
      </c>
      <c r="HX46" s="465">
        <f t="shared" si="937"/>
        <v>0.13478065258784699</v>
      </c>
      <c r="HY46" s="402">
        <f t="shared" si="938"/>
        <v>2.1790107793830345E-2</v>
      </c>
      <c r="HZ46" s="465">
        <f t="shared" si="939"/>
        <v>-0.20527361092125673</v>
      </c>
      <c r="IA46" s="402">
        <f t="shared" si="940"/>
        <v>-3.3569345355526206E-2</v>
      </c>
      <c r="IB46" s="465">
        <f t="shared" si="941"/>
        <v>-5.6438378942003986E-2</v>
      </c>
      <c r="IC46" s="402">
        <f t="shared" si="942"/>
        <v>-9.2296297878101865E-3</v>
      </c>
      <c r="ID46" s="465">
        <f t="shared" si="943"/>
        <v>0.12532286788353897</v>
      </c>
      <c r="IE46" s="402">
        <f t="shared" si="944"/>
        <v>1.6011610841702429E-2</v>
      </c>
      <c r="IF46" s="465">
        <f t="shared" si="945"/>
        <v>-1.2523298893664876</v>
      </c>
      <c r="IG46" s="402">
        <f t="shared" si="946"/>
        <v>-0.20251794863589584</v>
      </c>
      <c r="IH46" s="465">
        <f t="shared" si="947"/>
        <v>18.994339505102793</v>
      </c>
      <c r="II46" s="402">
        <f t="shared" si="948"/>
        <v>3.8516609686521588</v>
      </c>
      <c r="IJ46" s="465">
        <f t="shared" si="949"/>
        <v>-17.44258004389031</v>
      </c>
      <c r="IK46" s="402">
        <f t="shared" si="950"/>
        <v>-0.72902787780181966</v>
      </c>
      <c r="IL46" s="465">
        <f t="shared" si="951"/>
        <v>-1.4950089515920695E-2</v>
      </c>
      <c r="IM46" s="402">
        <f t="shared" si="952"/>
        <v>-2.3059643651612031E-3</v>
      </c>
      <c r="IN46" s="465">
        <f t="shared" si="953"/>
        <v>-0.28619078494031225</v>
      </c>
      <c r="IO46" s="402">
        <f t="shared" si="954"/>
        <v>-4.424529229377256E-2</v>
      </c>
      <c r="IP46" s="465">
        <f t="shared" si="955"/>
        <v>-6.1820857277361121</v>
      </c>
      <c r="IQ46" s="402">
        <f t="shared" si="956"/>
        <v>-78.485053086840693</v>
      </c>
      <c r="IR46" s="465">
        <f t="shared" si="957"/>
        <v>-2.4930945534433309</v>
      </c>
      <c r="IS46" s="402">
        <f t="shared" si="958"/>
        <v>-0.85104140377883608</v>
      </c>
      <c r="IT46" s="638">
        <f t="shared" si="959"/>
        <v>6.3539833372566168</v>
      </c>
      <c r="IU46" s="1076">
        <f t="shared" si="960"/>
        <v>6.1820857277361121</v>
      </c>
      <c r="IV46" s="681">
        <f>IU46-IT46</f>
        <v>-0.1718976095205047</v>
      </c>
      <c r="IW46" s="109">
        <f t="shared" si="961"/>
        <v>-2.7053519091336312E-2</v>
      </c>
      <c r="IX46" s="698"/>
      <c r="IY46" s="698"/>
      <c r="IZ46" s="698"/>
      <c r="JA46" s="2" t="str">
        <f t="shared" si="962"/>
        <v>Cost Per Employee Payroll</v>
      </c>
      <c r="JB46" s="290" t="e">
        <f>#REF!</f>
        <v>#REF!</v>
      </c>
      <c r="JC46" s="290" t="e">
        <f>#REF!</f>
        <v>#REF!</v>
      </c>
      <c r="JD46" s="290" t="e">
        <f>#REF!</f>
        <v>#REF!</v>
      </c>
      <c r="JE46" s="290" t="e">
        <f>#REF!</f>
        <v>#REF!</v>
      </c>
      <c r="JF46" s="290" t="e">
        <f>#REF!</f>
        <v>#REF!</v>
      </c>
      <c r="JG46" s="290" t="e">
        <f>#REF!</f>
        <v>#REF!</v>
      </c>
      <c r="JH46" s="290" t="e">
        <f>#REF!</f>
        <v>#REF!</v>
      </c>
      <c r="JI46" s="290" t="e">
        <f>#REF!</f>
        <v>#REF!</v>
      </c>
      <c r="JJ46" s="290" t="e">
        <f>#REF!</f>
        <v>#REF!</v>
      </c>
      <c r="JK46" s="290" t="e">
        <f>#REF!</f>
        <v>#REF!</v>
      </c>
      <c r="JL46" s="290" t="e">
        <f>#REF!</f>
        <v>#REF!</v>
      </c>
      <c r="JM46" s="291">
        <f t="shared" si="963"/>
        <v>7.554210436669087</v>
      </c>
      <c r="JN46" s="291">
        <f t="shared" si="963"/>
        <v>5.4004929979464604</v>
      </c>
      <c r="JO46" s="291">
        <f t="shared" si="963"/>
        <v>6.7063297423467096</v>
      </c>
      <c r="JP46" s="291">
        <f t="shared" si="963"/>
        <v>6.6176180394197379</v>
      </c>
      <c r="JQ46" s="291">
        <f t="shared" si="963"/>
        <v>6.5188954778655299</v>
      </c>
      <c r="JR46" s="291">
        <f t="shared" si="963"/>
        <v>24.557644501647076</v>
      </c>
      <c r="JS46" s="291">
        <f t="shared" si="963"/>
        <v>6.7136833903801119</v>
      </c>
      <c r="JT46" s="291">
        <f t="shared" si="963"/>
        <v>6.1067696290035327</v>
      </c>
      <c r="JU46" s="291">
        <f t="shared" si="963"/>
        <v>6.9713154384193841</v>
      </c>
      <c r="JV46" s="291">
        <f t="shared" si="963"/>
        <v>6.6372805346940247</v>
      </c>
      <c r="JW46" s="291">
        <f t="shared" si="963"/>
        <v>6.8673200541204089</v>
      </c>
      <c r="JX46" s="291">
        <f t="shared" si="963"/>
        <v>6.9872841438685134</v>
      </c>
      <c r="JY46" s="291">
        <f t="shared" si="964"/>
        <v>7.2044808227831201</v>
      </c>
      <c r="JZ46" s="291">
        <f t="shared" si="964"/>
        <v>6.2230960154808255</v>
      </c>
      <c r="KA46" s="291">
        <f t="shared" si="964"/>
        <v>6.7132748654214378</v>
      </c>
      <c r="KB46" s="291">
        <f t="shared" si="964"/>
        <v>9.6427381587152414</v>
      </c>
      <c r="KC46" s="291">
        <f t="shared" si="964"/>
        <v>7.9134498133837026</v>
      </c>
      <c r="KD46" s="291">
        <f t="shared" si="964"/>
        <v>8.5444342131628321</v>
      </c>
      <c r="KE46" s="291">
        <f t="shared" si="964"/>
        <v>18.912466576889379</v>
      </c>
      <c r="KF46" s="291">
        <f t="shared" si="964"/>
        <v>8.5624482380865441</v>
      </c>
      <c r="KG46" s="291">
        <f t="shared" si="964"/>
        <v>8.392220542017764</v>
      </c>
      <c r="KH46" s="291">
        <f t="shared" si="964"/>
        <v>7.234812095423476</v>
      </c>
      <c r="KI46" s="291">
        <f t="shared" si="964"/>
        <v>10.919642327700062</v>
      </c>
      <c r="KJ46" s="291">
        <f t="shared" si="964"/>
        <v>8.7339944054095717</v>
      </c>
      <c r="KK46" s="802">
        <f t="shared" si="965"/>
        <v>7.3309693940299026</v>
      </c>
      <c r="KL46" s="802">
        <f t="shared" si="965"/>
        <v>7.2953430259760514</v>
      </c>
      <c r="KM46" s="802">
        <f t="shared" si="965"/>
        <v>7.2609066666666671</v>
      </c>
      <c r="KN46" s="802">
        <f t="shared" si="965"/>
        <v>7.1233452830188684</v>
      </c>
      <c r="KO46" s="802">
        <f t="shared" si="965"/>
        <v>7.3409814922018652</v>
      </c>
      <c r="KP46" s="802">
        <f t="shared" si="965"/>
        <v>7.6645483532691623</v>
      </c>
      <c r="KQ46" s="802">
        <f t="shared" si="965"/>
        <v>19.478162548135259</v>
      </c>
      <c r="KR46" s="802">
        <f t="shared" si="965"/>
        <v>7.6363097597648917</v>
      </c>
      <c r="KS46" s="802">
        <f t="shared" si="965"/>
        <v>7.3813157289884312</v>
      </c>
      <c r="KT46" s="802">
        <f t="shared" si="965"/>
        <v>7.4179274554790782</v>
      </c>
      <c r="KU46" s="802">
        <f t="shared" si="965"/>
        <v>7.7899269835441762</v>
      </c>
      <c r="KV46" s="802">
        <f t="shared" si="965"/>
        <v>19.240757425660838</v>
      </c>
      <c r="KW46" s="914">
        <f t="shared" si="966"/>
        <v>5.7464934697914778</v>
      </c>
      <c r="KX46" s="914">
        <f t="shared" si="966"/>
        <v>7.2803860341142581</v>
      </c>
      <c r="KY46" s="914">
        <f t="shared" si="966"/>
        <v>7.259557664415067</v>
      </c>
      <c r="KZ46" s="914">
        <f t="shared" si="966"/>
        <v>8.3566230689583776</v>
      </c>
      <c r="LA46" s="914">
        <f t="shared" si="966"/>
        <v>7.7029146608678332</v>
      </c>
      <c r="LB46" s="914">
        <f t="shared" si="966"/>
        <v>6.9576184577690059</v>
      </c>
      <c r="LC46" s="914">
        <f t="shared" si="966"/>
        <v>23.768378017069214</v>
      </c>
      <c r="LD46" s="914">
        <f t="shared" si="966"/>
        <v>8.4477706490856814</v>
      </c>
      <c r="LE46" s="914">
        <f t="shared" si="966"/>
        <v>7.6528401684845715</v>
      </c>
      <c r="LF46" s="914">
        <f t="shared" si="966"/>
        <v>5.8909297501496738</v>
      </c>
      <c r="LG46" s="914">
        <f t="shared" si="966"/>
        <v>8.5097287767604701</v>
      </c>
      <c r="LH46" s="914">
        <f t="shared" si="966"/>
        <v>8.6339022447987386</v>
      </c>
      <c r="LI46" s="973">
        <f t="shared" si="967"/>
        <v>6.6931092667535497</v>
      </c>
      <c r="LJ46" s="973">
        <f t="shared" si="967"/>
        <v>8.141658692322256</v>
      </c>
      <c r="LK46" s="973">
        <f t="shared" si="967"/>
        <v>8.2773829208286607</v>
      </c>
      <c r="LL46" s="973">
        <f t="shared" si="967"/>
        <v>8.2047361795338762</v>
      </c>
      <c r="LM46" s="973">
        <f t="shared" si="967"/>
        <v>7.2719211183056798</v>
      </c>
      <c r="LN46" s="973">
        <f t="shared" si="967"/>
        <v>6.1598287629186137</v>
      </c>
      <c r="LO46" s="973">
        <f t="shared" si="967"/>
        <v>6.1687863250650077</v>
      </c>
      <c r="LP46" s="973">
        <f t="shared" si="967"/>
        <v>23.169198823837569</v>
      </c>
      <c r="LQ46" s="973">
        <f t="shared" si="967"/>
        <v>7.9655091243028284</v>
      </c>
      <c r="LR46" s="973">
        <f t="shared" si="967"/>
        <v>6.3539833372566168</v>
      </c>
      <c r="LS46" s="973">
        <f t="shared" si="967"/>
        <v>6.6681060822267364</v>
      </c>
      <c r="LT46" s="973">
        <f t="shared" si="967"/>
        <v>6.65121842058368</v>
      </c>
      <c r="LU46" s="1169">
        <f t="shared" si="968"/>
        <v>6.1854054997382262</v>
      </c>
      <c r="LV46" s="1169">
        <f t="shared" si="968"/>
        <v>6.3201861523260732</v>
      </c>
      <c r="LW46" s="1169">
        <f t="shared" si="968"/>
        <v>6.1149125414048164</v>
      </c>
      <c r="LX46" s="1169">
        <f t="shared" si="968"/>
        <v>6.0584741624628125</v>
      </c>
      <c r="LY46" s="1169">
        <f t="shared" si="968"/>
        <v>6.1837970303463514</v>
      </c>
      <c r="LZ46" s="1169">
        <f t="shared" si="968"/>
        <v>4.9314671409798638</v>
      </c>
      <c r="MA46" s="1169">
        <f t="shared" si="968"/>
        <v>23.925806646082656</v>
      </c>
      <c r="MB46" s="1169">
        <f t="shared" si="968"/>
        <v>6.483226602192345</v>
      </c>
      <c r="MC46" s="1169">
        <f t="shared" si="968"/>
        <v>6.4682765126764243</v>
      </c>
      <c r="MD46" s="1169">
        <f t="shared" si="968"/>
        <v>6.1820857277361121</v>
      </c>
      <c r="ME46" s="1169">
        <f t="shared" si="968"/>
        <v>0</v>
      </c>
      <c r="MF46" s="1169">
        <f t="shared" si="968"/>
        <v>0</v>
      </c>
      <c r="MG46" s="1191">
        <f t="shared" si="969"/>
        <v>0</v>
      </c>
      <c r="MH46" s="1191">
        <f t="shared" si="969"/>
        <v>0</v>
      </c>
      <c r="MI46" s="1191">
        <f t="shared" si="969"/>
        <v>0</v>
      </c>
      <c r="MJ46" s="1191">
        <f t="shared" si="969"/>
        <v>0</v>
      </c>
      <c r="MK46" s="1191">
        <f t="shared" si="969"/>
        <v>0</v>
      </c>
      <c r="ML46" s="1191">
        <f t="shared" si="969"/>
        <v>0</v>
      </c>
      <c r="MM46" s="1191">
        <f t="shared" si="969"/>
        <v>0</v>
      </c>
      <c r="MN46" s="1191">
        <f t="shared" si="969"/>
        <v>0</v>
      </c>
      <c r="MO46" s="1191">
        <f t="shared" si="969"/>
        <v>0</v>
      </c>
      <c r="MP46" s="1191">
        <f t="shared" si="969"/>
        <v>0</v>
      </c>
      <c r="MQ46" s="1191">
        <f t="shared" si="970"/>
        <v>0</v>
      </c>
      <c r="MR46" s="1191">
        <f t="shared" si="970"/>
        <v>0</v>
      </c>
    </row>
    <row r="47" spans="1:356" s="2" customFormat="1" x14ac:dyDescent="0.25">
      <c r="A47" s="764"/>
      <c r="B47" s="76">
        <v>7.3</v>
      </c>
      <c r="C47" s="30"/>
      <c r="D47" s="447"/>
      <c r="E47" s="1225" t="s">
        <v>1</v>
      </c>
      <c r="F47" s="1225"/>
      <c r="G47" s="1226"/>
      <c r="H47" s="388">
        <v>8.7752468999448274E-3</v>
      </c>
      <c r="I47" s="97">
        <v>1.0798293934908684E-2</v>
      </c>
      <c r="J47" s="98">
        <v>1.4947956850744185E-2</v>
      </c>
      <c r="K47" s="97">
        <v>1.0458134505882483E-2</v>
      </c>
      <c r="L47" s="98">
        <v>1.0982459982345809E-2</v>
      </c>
      <c r="M47" s="97">
        <v>4.0747110989910053E-2</v>
      </c>
      <c r="N47" s="98">
        <v>1.0536977625421192E-2</v>
      </c>
      <c r="O47" s="97">
        <v>1.2069356615139632E-2</v>
      </c>
      <c r="P47" s="98">
        <v>1.0399105429796324E-2</v>
      </c>
      <c r="Q47" s="97">
        <v>8.7841076688185953E-3</v>
      </c>
      <c r="R47" s="98">
        <v>8.6949241530809331E-3</v>
      </c>
      <c r="S47" s="97">
        <v>1.2254227377710021E-2</v>
      </c>
      <c r="T47" s="142">
        <v>0.15944790203370277</v>
      </c>
      <c r="U47" s="161">
        <v>1.3287325169475232E-2</v>
      </c>
      <c r="V47" s="388">
        <f t="shared" ref="V47:Y47" si="1000">V45/V8</f>
        <v>9.4654689268022438E-3</v>
      </c>
      <c r="W47" s="97">
        <f t="shared" si="1000"/>
        <v>9.7105213694941572E-3</v>
      </c>
      <c r="X47" s="98">
        <f t="shared" si="1000"/>
        <v>9.3139492618193424E-3</v>
      </c>
      <c r="Y47" s="97">
        <f t="shared" si="1000"/>
        <v>8.2481018240320395E-3</v>
      </c>
      <c r="Z47" s="98">
        <v>1.0684899717537591E-2</v>
      </c>
      <c r="AA47" s="97">
        <v>2.8860149450699049E-2</v>
      </c>
      <c r="AB47" s="98">
        <v>9.5060384987692929E-3</v>
      </c>
      <c r="AC47" s="97">
        <v>9.3075905694590191E-3</v>
      </c>
      <c r="AD47" s="98">
        <v>9.0252198925501546E-3</v>
      </c>
      <c r="AE47" s="97">
        <v>7.9617330815641048E-3</v>
      </c>
      <c r="AF47" s="98">
        <v>8.6802680628274027E-3</v>
      </c>
      <c r="AG47" s="97">
        <v>1.2242602005879368E-2</v>
      </c>
      <c r="AH47" s="142">
        <v>0.13300654266143377</v>
      </c>
      <c r="AI47" s="161">
        <v>1.1083878555119482E-2</v>
      </c>
      <c r="AJ47" s="388">
        <f t="shared" ref="AJ47:AP47" si="1001">AJ45/AJ8</f>
        <v>8.8951244754300485E-3</v>
      </c>
      <c r="AK47" s="97">
        <f>AK45/AK8</f>
        <v>7.6896613159759203E-3</v>
      </c>
      <c r="AL47" s="98">
        <f t="shared" si="1001"/>
        <v>7.8854844030897091E-3</v>
      </c>
      <c r="AM47" s="97">
        <f t="shared" si="1001"/>
        <v>7.7865536299089036E-3</v>
      </c>
      <c r="AN47" s="98">
        <f t="shared" si="1001"/>
        <v>7.6586944905147085E-3</v>
      </c>
      <c r="AO47" s="97">
        <f t="shared" si="1001"/>
        <v>2.8801923365628271E-2</v>
      </c>
      <c r="AP47" s="640">
        <f t="shared" si="1001"/>
        <v>7.8679093819097254E-3</v>
      </c>
      <c r="AQ47" s="641">
        <f t="shared" ref="AQ47:AW47" si="1002">AQ45/AQ8</f>
        <v>8.5418296461158335E-3</v>
      </c>
      <c r="AR47" s="640">
        <f t="shared" si="1002"/>
        <v>8.164241145411635E-3</v>
      </c>
      <c r="AS47" s="641">
        <f t="shared" si="1002"/>
        <v>7.7991098252933495E-3</v>
      </c>
      <c r="AT47" s="640">
        <f t="shared" si="1002"/>
        <v>8.0902217777370274E-3</v>
      </c>
      <c r="AU47" s="641">
        <f t="shared" si="1002"/>
        <v>8.2929884623269921E-3</v>
      </c>
      <c r="AV47" s="142">
        <f t="shared" si="1002"/>
        <v>0.1174737419193421</v>
      </c>
      <c r="AW47" s="161">
        <f t="shared" si="1002"/>
        <v>9.7894784932785073E-3</v>
      </c>
      <c r="AX47" s="388">
        <f t="shared" ref="AX47:BC47" si="1003">AX45/AX8</f>
        <v>8.5479585354735921E-3</v>
      </c>
      <c r="AY47" s="97">
        <f t="shared" si="1003"/>
        <v>8.7922379660443431E-3</v>
      </c>
      <c r="AZ47" s="98">
        <f t="shared" si="1003"/>
        <v>7.8458876673521624E-3</v>
      </c>
      <c r="BA47" s="97">
        <f t="shared" si="1003"/>
        <v>1.1262971545574771E-2</v>
      </c>
      <c r="BB47" s="98">
        <f t="shared" si="1003"/>
        <v>9.1986772467391974E-3</v>
      </c>
      <c r="BC47" s="97">
        <f t="shared" si="1003"/>
        <v>9.9028268978323709E-3</v>
      </c>
      <c r="BD47" s="640">
        <f t="shared" ref="BD47:BK47" si="1004">BD45/BD8</f>
        <v>2.4609103509247023E-2</v>
      </c>
      <c r="BE47" s="641">
        <f t="shared" si="1004"/>
        <v>9.9007470592657621E-3</v>
      </c>
      <c r="BF47" s="640">
        <f t="shared" si="1004"/>
        <v>9.724731154237885E-3</v>
      </c>
      <c r="BG47" s="641">
        <f t="shared" si="1004"/>
        <v>8.4354820522799401E-3</v>
      </c>
      <c r="BH47" s="640">
        <f t="shared" si="1004"/>
        <v>1.2829583371273172E-2</v>
      </c>
      <c r="BI47" s="641">
        <f t="shared" si="1004"/>
        <v>1.2557316848432009E-2</v>
      </c>
      <c r="BJ47" s="142">
        <f t="shared" si="1004"/>
        <v>0.13360752385375221</v>
      </c>
      <c r="BK47" s="161">
        <f t="shared" si="1004"/>
        <v>1.113396032114602E-2</v>
      </c>
      <c r="BL47" s="388">
        <f t="shared" ref="BL47:BM47" si="1005">BL45/BL8</f>
        <v>8.8090824100168184E-3</v>
      </c>
      <c r="BM47" s="97">
        <f t="shared" si="1005"/>
        <v>8.887947485928761E-3</v>
      </c>
      <c r="BN47" s="98">
        <f t="shared" ref="BN47:BO47" si="1006">BN45/BN8</f>
        <v>8.8813272171603761E-3</v>
      </c>
      <c r="BO47" s="97">
        <f t="shared" si="1006"/>
        <v>8.7675815922580308E-3</v>
      </c>
      <c r="BP47" s="98">
        <f t="shared" ref="BP47:BQ47" si="1007">BP45/BP8</f>
        <v>9.1024056225880567E-3</v>
      </c>
      <c r="BQ47" s="97">
        <f t="shared" si="1007"/>
        <v>9.4897753708901161E-3</v>
      </c>
      <c r="BR47" s="640">
        <f t="shared" ref="BR47:BS47" si="1008">BR45/BR8</f>
        <v>2.9313269880962885E-2</v>
      </c>
      <c r="BS47" s="641">
        <f t="shared" si="1008"/>
        <v>9.435385423125808E-3</v>
      </c>
      <c r="BT47" s="640">
        <f t="shared" ref="BT47:BU47" si="1009">BT45/BT8</f>
        <v>9.1529632331874295E-3</v>
      </c>
      <c r="BU47" s="640">
        <f t="shared" si="1009"/>
        <v>9.3172267783221442E-3</v>
      </c>
      <c r="BV47" s="640">
        <f t="shared" ref="BV47:BW47" si="1010">BV45/BV8</f>
        <v>9.8541225951411342E-3</v>
      </c>
      <c r="BW47" s="640">
        <f t="shared" si="1010"/>
        <v>2.4602854176514928E-2</v>
      </c>
      <c r="BX47" s="142">
        <f>BX45/BX8</f>
        <v>0.14561394178609646</v>
      </c>
      <c r="BY47" s="161">
        <f t="shared" si="837"/>
        <v>1.2134495148841374E-2</v>
      </c>
      <c r="BZ47" s="640">
        <f t="shared" ref="BZ47:CA47" si="1011">BZ45/BZ8</f>
        <v>9.0150611642278236E-3</v>
      </c>
      <c r="CA47" s="97">
        <f t="shared" si="1011"/>
        <v>9.3129272348690343E-3</v>
      </c>
      <c r="CB47" s="98">
        <f t="shared" ref="CB47:CC47" si="1012">CB45/CB8</f>
        <v>9.2459758137459422E-3</v>
      </c>
      <c r="CC47" s="97">
        <f t="shared" si="1012"/>
        <v>1.064940386229917E-2</v>
      </c>
      <c r="CD47" s="98">
        <f t="shared" ref="CD47:CE47" si="1013">CD45/CD8</f>
        <v>9.7967434138322238E-3</v>
      </c>
      <c r="CE47" s="97">
        <f t="shared" si="1013"/>
        <v>1.0791165608330771E-2</v>
      </c>
      <c r="CF47" s="640">
        <f t="shared" ref="CF47:CG47" si="1014">CF45/CF8</f>
        <v>3.0779386753006444E-2</v>
      </c>
      <c r="CG47" s="97">
        <f t="shared" si="1014"/>
        <v>1.0577223340883018E-2</v>
      </c>
      <c r="CH47" s="640">
        <f t="shared" ref="CH47:CI47" si="1015">CH45/CH8</f>
        <v>9.5318271036100351E-3</v>
      </c>
      <c r="CI47" s="640">
        <f t="shared" si="1015"/>
        <v>7.3745044958524308E-3</v>
      </c>
      <c r="CJ47" s="640">
        <f t="shared" ref="CJ47:CK47" si="1016">CJ45/CJ8</f>
        <v>1.0674471812524157E-2</v>
      </c>
      <c r="CK47" s="640">
        <f t="shared" si="1016"/>
        <v>1.0872703872684112E-2</v>
      </c>
      <c r="CL47" s="142">
        <f>CL45/CL8</f>
        <v>0.13862139447586516</v>
      </c>
      <c r="CM47" s="161">
        <f t="shared" si="838"/>
        <v>1.1551782872988761E-2</v>
      </c>
      <c r="CN47" s="640">
        <f t="shared" ref="CN47:CO47" si="1017">CN45/CN8</f>
        <v>1.0300372263974636E-2</v>
      </c>
      <c r="CO47" s="97">
        <f t="shared" si="1017"/>
        <v>9.9870842690038281E-3</v>
      </c>
      <c r="CP47" s="98">
        <f t="shared" ref="CP47:CQ47" si="1018">CP45/CP8</f>
        <v>1.0050731255955006E-2</v>
      </c>
      <c r="CQ47" s="97">
        <f t="shared" si="1018"/>
        <v>1.0319695244695018E-2</v>
      </c>
      <c r="CR47" s="98">
        <f t="shared" ref="CR47:CS47" si="1019">CR45/CR8</f>
        <v>9.1045903872844572E-3</v>
      </c>
      <c r="CS47" s="97">
        <f t="shared" si="1019"/>
        <v>9.0032569746266878E-3</v>
      </c>
      <c r="CT47" s="221">
        <f t="shared" ref="CT47:CU47" si="1020">CT45/CT8</f>
        <v>7.9884062749034611E-3</v>
      </c>
      <c r="CU47" s="97">
        <f t="shared" si="1020"/>
        <v>2.8945444154946379E-2</v>
      </c>
      <c r="CV47" s="640">
        <f t="shared" ref="CV47:CW47" si="1021">CV45/CV8</f>
        <v>9.9802075962422254E-3</v>
      </c>
      <c r="CW47" s="1104">
        <f t="shared" si="1021"/>
        <v>7.978118552888375E-3</v>
      </c>
      <c r="CX47" s="640">
        <f t="shared" ref="CX47:CY47" si="1022">CX45/CX8</f>
        <v>8.3856260955887177E-3</v>
      </c>
      <c r="CY47" s="97">
        <f t="shared" si="1022"/>
        <v>1.0243767783738675E-2</v>
      </c>
      <c r="CZ47" s="142">
        <f>CZ45/CZ8</f>
        <v>0.13228730085384746</v>
      </c>
      <c r="DA47" s="161">
        <f>SUM(CN47:CY47)/$CZ$4</f>
        <v>1.1023941737820621E-2</v>
      </c>
      <c r="DB47" s="640">
        <f t="shared" ref="DB47:DC47" si="1023">DB45/DB8</f>
        <v>7.8568812656548675E-3</v>
      </c>
      <c r="DC47" s="97">
        <f t="shared" si="1023"/>
        <v>8.0351554047818907E-3</v>
      </c>
      <c r="DD47" s="98">
        <f t="shared" ref="DD47:DE47" si="1024">DD45/DD8</f>
        <v>7.7753431068610145E-3</v>
      </c>
      <c r="DE47" s="97">
        <f t="shared" si="1024"/>
        <v>7.9107231485641902E-3</v>
      </c>
      <c r="DF47" s="98">
        <f t="shared" ref="DF47:DG47" si="1025">DF45/DF8</f>
        <v>8.0362397118293565E-3</v>
      </c>
      <c r="DG47" s="97">
        <f t="shared" si="1025"/>
        <v>7.8435330574416519E-3</v>
      </c>
      <c r="DH47" s="221">
        <f t="shared" ref="DH47:DI47" si="1026">DH45/DH8</f>
        <v>3.1001436727949788E-2</v>
      </c>
      <c r="DI47" s="97">
        <f t="shared" si="1026"/>
        <v>8.3784200772285874E-3</v>
      </c>
      <c r="DJ47" s="640">
        <f t="shared" ref="DJ47:DK47" si="1027">DJ45/DJ8</f>
        <v>8.3595094118632859E-3</v>
      </c>
      <c r="DK47" s="97">
        <f t="shared" si="1027"/>
        <v>8.0400194803699147E-3</v>
      </c>
      <c r="DL47" s="640"/>
      <c r="DM47" s="97"/>
      <c r="DN47" s="142">
        <f>DN45/DN8</f>
        <v>0.10323726139254454</v>
      </c>
      <c r="DO47" s="161">
        <f>SUM(DB47:DM47)/$DN$4</f>
        <v>1.0323726139254455E-2</v>
      </c>
      <c r="DP47" s="640"/>
      <c r="DQ47" s="97"/>
      <c r="DR47" s="98"/>
      <c r="DS47" s="97"/>
      <c r="DT47" s="98"/>
      <c r="DU47" s="97"/>
      <c r="DV47" s="221"/>
      <c r="DW47" s="97"/>
      <c r="DX47" s="640"/>
      <c r="DY47" s="97"/>
      <c r="DZ47" s="640"/>
      <c r="EA47" s="97"/>
      <c r="EB47" s="142">
        <f>EB45/EB8</f>
        <v>0</v>
      </c>
      <c r="EC47" s="161" t="e">
        <f>SUM(DP47:EA47)/$EB$4</f>
        <v>#DIV/0!</v>
      </c>
      <c r="ED47" s="682">
        <f t="shared" si="839"/>
        <v>2.5497007314660008E-4</v>
      </c>
      <c r="EE47" s="669">
        <f t="shared" si="840"/>
        <v>3.0745258395675629E-2</v>
      </c>
      <c r="EF47" s="682">
        <f t="shared" si="841"/>
        <v>2.4427943057075095E-4</v>
      </c>
      <c r="EG47" s="669">
        <f t="shared" si="842"/>
        <v>2.8577517024328529E-2</v>
      </c>
      <c r="EH47" s="682">
        <f t="shared" si="843"/>
        <v>-9.4635029869218068E-4</v>
      </c>
      <c r="EI47" s="669">
        <f t="shared" si="844"/>
        <v>-0.10763474582318963</v>
      </c>
      <c r="EJ47" s="682">
        <f t="shared" si="845"/>
        <v>3.4170838782226088E-3</v>
      </c>
      <c r="EK47" s="669">
        <f t="shared" si="846"/>
        <v>0.43552546545390569</v>
      </c>
      <c r="EL47" s="682">
        <f t="shared" si="847"/>
        <v>-2.0642942988355738E-3</v>
      </c>
      <c r="EM47" s="669">
        <f t="shared" si="848"/>
        <v>-0.183281498180348</v>
      </c>
      <c r="EN47" s="682">
        <f t="shared" si="849"/>
        <v>7.0414965109317357E-4</v>
      </c>
      <c r="EO47" s="669">
        <f t="shared" si="850"/>
        <v>7.6549011581288476E-2</v>
      </c>
      <c r="EP47" s="682">
        <f t="shared" si="851"/>
        <v>1.4706276611414652E-2</v>
      </c>
      <c r="EQ47" s="669">
        <f t="shared" si="852"/>
        <v>1.485058434640891</v>
      </c>
      <c r="ER47" s="682">
        <f t="shared" si="853"/>
        <v>-1.4708356449981261E-2</v>
      </c>
      <c r="ES47" s="669">
        <f t="shared" si="854"/>
        <v>-0.59767949061836023</v>
      </c>
      <c r="ET47" s="682">
        <f t="shared" si="855"/>
        <v>-1.7601590502787715E-4</v>
      </c>
      <c r="EU47" s="669">
        <f t="shared" si="856"/>
        <v>-1.7778042805684045E-2</v>
      </c>
      <c r="EV47" s="682">
        <f t="shared" si="857"/>
        <v>-1.2892491019579448E-3</v>
      </c>
      <c r="EW47" s="117">
        <f t="shared" si="858"/>
        <v>-0.13257426673395598</v>
      </c>
      <c r="EX47" s="682">
        <f t="shared" si="859"/>
        <v>4.3941013189932321E-3</v>
      </c>
      <c r="EY47" s="669">
        <f t="shared" si="860"/>
        <v>0.52090696083048338</v>
      </c>
      <c r="EZ47" s="682">
        <f t="shared" si="861"/>
        <v>-2.722665228411629E-4</v>
      </c>
      <c r="FA47" s="669">
        <f t="shared" si="862"/>
        <v>-2.1221774313482163E-2</v>
      </c>
      <c r="FB47" s="682">
        <f t="shared" si="863"/>
        <v>-3.7482344384151909E-3</v>
      </c>
      <c r="FC47" s="669">
        <f t="shared" si="864"/>
        <v>-0.29849007424569529</v>
      </c>
      <c r="FD47" s="395">
        <f t="shared" si="865"/>
        <v>7.8865075911942542E-5</v>
      </c>
      <c r="FE47" s="404">
        <f t="shared" si="866"/>
        <v>8.9527004336189386E-3</v>
      </c>
      <c r="FF47" s="395">
        <f t="shared" si="867"/>
        <v>-6.6202687683848682E-6</v>
      </c>
      <c r="FG47" s="404">
        <f t="shared" si="868"/>
        <v>-7.4485912285890063E-4</v>
      </c>
      <c r="FH47" s="395">
        <f t="shared" si="869"/>
        <v>-1.1374562490234531E-4</v>
      </c>
      <c r="FI47" s="404">
        <f t="shared" si="870"/>
        <v>-1.2807277799940488E-2</v>
      </c>
      <c r="FJ47" s="395">
        <f t="shared" si="871"/>
        <v>3.3482403033002588E-4</v>
      </c>
      <c r="FK47" s="404">
        <f t="shared" si="872"/>
        <v>3.8188869622346362E-2</v>
      </c>
      <c r="FL47" s="395">
        <f t="shared" si="873"/>
        <v>3.8736974830205946E-4</v>
      </c>
      <c r="FM47" s="404">
        <f t="shared" si="874"/>
        <v>4.2556854128845106E-2</v>
      </c>
      <c r="FN47" s="395">
        <f t="shared" si="875"/>
        <v>1.9823494510072769E-2</v>
      </c>
      <c r="FO47" s="404">
        <f t="shared" si="876"/>
        <v>2.0889319014738046</v>
      </c>
      <c r="FP47" s="395">
        <f t="shared" si="877"/>
        <v>-1.9877884457837079E-2</v>
      </c>
      <c r="FQ47" s="404">
        <f t="shared" si="878"/>
        <v>-0.67811897268910648</v>
      </c>
      <c r="FR47" s="395">
        <f t="shared" si="879"/>
        <v>-2.8242218993837845E-4</v>
      </c>
      <c r="FS47" s="404">
        <f t="shared" si="880"/>
        <v>-2.9932236710349034E-2</v>
      </c>
      <c r="FT47" s="395">
        <f t="shared" si="881"/>
        <v>1.6426354513471471E-4</v>
      </c>
      <c r="FU47" s="404">
        <f t="shared" si="882"/>
        <v>1.7946488033418171E-2</v>
      </c>
      <c r="FV47" s="395">
        <f t="shared" si="883"/>
        <v>5.3689581681898996E-4</v>
      </c>
      <c r="FW47" s="404">
        <f t="shared" si="884"/>
        <v>5.7623993661735762E-2</v>
      </c>
      <c r="FX47" s="395">
        <f t="shared" si="885"/>
        <v>1.4748731581373794E-2</v>
      </c>
      <c r="FY47" s="404">
        <f t="shared" si="886"/>
        <v>1.4967067274610619</v>
      </c>
      <c r="FZ47" s="395">
        <f t="shared" si="887"/>
        <v>-1.5587793012287104E-2</v>
      </c>
      <c r="GA47" s="404">
        <f t="shared" si="888"/>
        <v>-0.63357661271539367</v>
      </c>
      <c r="GB47" s="395">
        <f t="shared" si="889"/>
        <v>2.9786607064121069E-4</v>
      </c>
      <c r="GC47" s="404">
        <f t="shared" si="890"/>
        <v>3.304093729537376E-2</v>
      </c>
      <c r="GD47" s="395">
        <f t="shared" si="891"/>
        <v>-6.6951421123092117E-5</v>
      </c>
      <c r="GE47" s="404">
        <f t="shared" si="892"/>
        <v>-7.1890845310608334E-3</v>
      </c>
      <c r="GF47" s="395">
        <f t="shared" si="893"/>
        <v>1.4034280485532274E-3</v>
      </c>
      <c r="GG47" s="404">
        <f t="shared" si="894"/>
        <v>0.15178798612762523</v>
      </c>
      <c r="GH47" s="395">
        <f t="shared" si="895"/>
        <v>-8.5266044846694575E-4</v>
      </c>
      <c r="GI47" s="404">
        <f t="shared" si="896"/>
        <v>-8.0066495692356937E-2</v>
      </c>
      <c r="GJ47" s="395">
        <f t="shared" si="897"/>
        <v>9.9442219449854749E-4</v>
      </c>
      <c r="GK47" s="404">
        <f t="shared" si="898"/>
        <v>0.10150538321688637</v>
      </c>
      <c r="GL47" s="395">
        <f t="shared" si="899"/>
        <v>1.9988221144675675E-2</v>
      </c>
      <c r="GM47" s="404">
        <f t="shared" si="900"/>
        <v>1.8522763777478111</v>
      </c>
      <c r="GN47" s="395">
        <f t="shared" si="901"/>
        <v>-2.0202163412123428E-2</v>
      </c>
      <c r="GO47" s="404">
        <f t="shared" si="902"/>
        <v>-0.65635366858471078</v>
      </c>
      <c r="GP47" s="395">
        <f t="shared" si="903"/>
        <v>-1.045396237272983E-3</v>
      </c>
      <c r="GQ47" s="404">
        <f t="shared" si="904"/>
        <v>-9.88346566562818E-2</v>
      </c>
      <c r="GR47" s="395">
        <f t="shared" si="905"/>
        <v>-2.1573226077576044E-3</v>
      </c>
      <c r="GS47" s="404">
        <f t="shared" si="906"/>
        <v>-0.22632834023400938</v>
      </c>
      <c r="GT47" s="395">
        <f t="shared" si="907"/>
        <v>3.2999673166717262E-3</v>
      </c>
      <c r="GU47" s="404">
        <f t="shared" si="908"/>
        <v>0.44748326054010734</v>
      </c>
      <c r="GV47" s="395">
        <f t="shared" si="909"/>
        <v>1.9823206015995472E-4</v>
      </c>
      <c r="GW47" s="404">
        <f t="shared" si="910"/>
        <v>1.8570666880901102E-2</v>
      </c>
      <c r="GX47" s="395">
        <f t="shared" si="911"/>
        <v>-5.7233160870947576E-4</v>
      </c>
      <c r="GY47" s="404">
        <f t="shared" si="912"/>
        <v>-5.2639308070126442E-2</v>
      </c>
      <c r="GZ47" s="395">
        <f t="shared" si="913"/>
        <v>-3.1328799497080777E-4</v>
      </c>
      <c r="HA47" s="404">
        <f t="shared" si="914"/>
        <v>-3.0415210920728256E-2</v>
      </c>
      <c r="HB47" s="395">
        <f t="shared" si="915"/>
        <v>6.364698695117757E-5</v>
      </c>
      <c r="HC47" s="404">
        <f t="shared" si="916"/>
        <v>6.3729297998129444E-3</v>
      </c>
      <c r="HD47" s="395">
        <f t="shared" si="917"/>
        <v>2.6896398874001227E-4</v>
      </c>
      <c r="HE47" s="404">
        <f t="shared" si="918"/>
        <v>2.67606387923916E-2</v>
      </c>
      <c r="HF47" s="395">
        <f t="shared" si="919"/>
        <v>-1.2151048574105608E-3</v>
      </c>
      <c r="HG47" s="404">
        <f t="shared" si="920"/>
        <v>-0.11774619585158799</v>
      </c>
      <c r="HH47" s="395">
        <f t="shared" si="921"/>
        <v>-1.0133341265776939E-4</v>
      </c>
      <c r="HI47" s="404">
        <f t="shared" si="922"/>
        <v>-1.1129925493330533E-2</v>
      </c>
      <c r="HJ47" s="395">
        <f t="shared" si="923"/>
        <v>-1.0148506997232267E-3</v>
      </c>
      <c r="HK47" s="404">
        <f t="shared" si="924"/>
        <v>-0.11272039691672875</v>
      </c>
      <c r="HL47" s="395">
        <f t="shared" si="925"/>
        <v>2.0957037880042918E-2</v>
      </c>
      <c r="HM47" s="404">
        <f t="shared" si="926"/>
        <v>2.6234316531799307</v>
      </c>
      <c r="HN47" s="395">
        <f t="shared" si="927"/>
        <v>-1.8965236558704156E-2</v>
      </c>
      <c r="HO47" s="404">
        <f t="shared" si="928"/>
        <v>-0.65520627208835758</v>
      </c>
      <c r="HP47" s="395">
        <f t="shared" si="929"/>
        <v>-2.0020890433538503E-3</v>
      </c>
      <c r="HQ47" s="404">
        <f t="shared" si="930"/>
        <v>-0.20060595173467957</v>
      </c>
      <c r="HR47" s="395">
        <f t="shared" si="931"/>
        <v>4.0750754270034266E-4</v>
      </c>
      <c r="HS47" s="404">
        <f t="shared" si="932"/>
        <v>5.1078150819507416E-2</v>
      </c>
      <c r="HT47" s="395">
        <f t="shared" si="933"/>
        <v>1.8581416881499578E-3</v>
      </c>
      <c r="HU47" s="404">
        <f t="shared" si="934"/>
        <v>0.22158651804513899</v>
      </c>
      <c r="HV47" s="395">
        <f t="shared" si="935"/>
        <v>-2.386886518083808E-3</v>
      </c>
      <c r="HW47" s="404">
        <f t="shared" si="936"/>
        <v>-0.23300865155034434</v>
      </c>
      <c r="HX47" s="395">
        <f t="shared" si="937"/>
        <v>1.7827413912702324E-4</v>
      </c>
      <c r="HY47" s="404">
        <f t="shared" si="938"/>
        <v>2.2690191323918928E-2</v>
      </c>
      <c r="HZ47" s="395">
        <f t="shared" si="939"/>
        <v>-2.5981229792087623E-4</v>
      </c>
      <c r="IA47" s="404">
        <f t="shared" si="940"/>
        <v>-3.3414898140201189E-2</v>
      </c>
      <c r="IB47" s="395">
        <f t="shared" si="941"/>
        <v>1.3538004170317568E-4</v>
      </c>
      <c r="IC47" s="404">
        <f t="shared" si="942"/>
        <v>1.7411455654441209E-2</v>
      </c>
      <c r="ID47" s="395">
        <f t="shared" si="943"/>
        <v>1.2551656326516628E-4</v>
      </c>
      <c r="IE47" s="404">
        <f t="shared" si="944"/>
        <v>1.2158067888677127E-2</v>
      </c>
      <c r="IF47" s="395">
        <f t="shared" si="945"/>
        <v>-1.9270665438770457E-4</v>
      </c>
      <c r="IG47" s="404">
        <f t="shared" si="946"/>
        <v>-2.3979704600404102E-2</v>
      </c>
      <c r="IH47" s="395">
        <f t="shared" si="947"/>
        <v>2.3157903670508136E-2</v>
      </c>
      <c r="II47" s="404">
        <f t="shared" si="948"/>
        <v>2.9524837214189823</v>
      </c>
      <c r="IJ47" s="395">
        <f t="shared" si="949"/>
        <v>-2.2623016650721202E-2</v>
      </c>
      <c r="IK47" s="404">
        <f t="shared" si="950"/>
        <v>-0.72974091005031061</v>
      </c>
      <c r="IL47" s="395">
        <f t="shared" si="951"/>
        <v>-1.8910665365301504E-5</v>
      </c>
      <c r="IM47" s="404">
        <f t="shared" si="952"/>
        <v>-2.2570681812312246E-3</v>
      </c>
      <c r="IN47" s="395">
        <f t="shared" si="953"/>
        <v>-3.1948993149337121E-4</v>
      </c>
      <c r="IO47" s="404">
        <f t="shared" si="954"/>
        <v>-3.8218741764914022E-2</v>
      </c>
      <c r="IP47" s="395">
        <f t="shared" si="955"/>
        <v>-8.0400194803699147E-3</v>
      </c>
      <c r="IQ47" s="404">
        <f t="shared" si="956"/>
        <v>7.4697249655582068E-2</v>
      </c>
      <c r="IR47" s="395">
        <f t="shared" si="957"/>
        <v>0.4321083815756831</v>
      </c>
      <c r="IS47" s="404">
        <f t="shared" si="958"/>
        <v>126.45530428139318</v>
      </c>
      <c r="IT47" s="640">
        <f t="shared" si="959"/>
        <v>7.978118552888375E-3</v>
      </c>
      <c r="IU47" s="1077">
        <f t="shared" si="960"/>
        <v>8.0400194803699147E-3</v>
      </c>
      <c r="IV47" s="682">
        <f>(IU47-IT47)*100</f>
        <v>6.1900927481539636E-3</v>
      </c>
      <c r="IW47" s="117">
        <f>IF(ISERROR((IV47/IT47)/100),0,(IV47/IT47)/100)</f>
        <v>7.758837759953968E-3</v>
      </c>
      <c r="IX47" s="698"/>
      <c r="IY47" s="698"/>
      <c r="IZ47" s="698"/>
      <c r="JA47" s="2" t="str">
        <f t="shared" si="962"/>
        <v>Cost as % of System Implementation</v>
      </c>
      <c r="JB47" s="292" t="e">
        <f>#REF!</f>
        <v>#REF!</v>
      </c>
      <c r="JC47" s="292" t="e">
        <f>#REF!</f>
        <v>#REF!</v>
      </c>
      <c r="JD47" s="292" t="e">
        <f>#REF!</f>
        <v>#REF!</v>
      </c>
      <c r="JE47" s="292" t="e">
        <f>#REF!</f>
        <v>#REF!</v>
      </c>
      <c r="JF47" s="292" t="e">
        <f>#REF!</f>
        <v>#REF!</v>
      </c>
      <c r="JG47" s="292" t="e">
        <f>#REF!</f>
        <v>#REF!</v>
      </c>
      <c r="JH47" s="292" t="e">
        <f>#REF!</f>
        <v>#REF!</v>
      </c>
      <c r="JI47" s="292" t="e">
        <f>#REF!</f>
        <v>#REF!</v>
      </c>
      <c r="JJ47" s="292" t="e">
        <f>#REF!</f>
        <v>#REF!</v>
      </c>
      <c r="JK47" s="292" t="e">
        <f>#REF!</f>
        <v>#REF!</v>
      </c>
      <c r="JL47" s="292" t="e">
        <f>#REF!</f>
        <v>#REF!</v>
      </c>
      <c r="JM47" s="293">
        <f t="shared" si="963"/>
        <v>8.8951244754300485E-3</v>
      </c>
      <c r="JN47" s="293">
        <f t="shared" si="963"/>
        <v>7.6896613159759203E-3</v>
      </c>
      <c r="JO47" s="293">
        <f t="shared" si="963"/>
        <v>7.8854844030897091E-3</v>
      </c>
      <c r="JP47" s="293">
        <f t="shared" si="963"/>
        <v>7.7865536299089036E-3</v>
      </c>
      <c r="JQ47" s="293">
        <f t="shared" si="963"/>
        <v>7.6586944905147085E-3</v>
      </c>
      <c r="JR47" s="293">
        <f t="shared" si="963"/>
        <v>2.8801923365628271E-2</v>
      </c>
      <c r="JS47" s="293">
        <f t="shared" si="963"/>
        <v>7.8679093819097254E-3</v>
      </c>
      <c r="JT47" s="293">
        <f t="shared" si="963"/>
        <v>8.5418296461158335E-3</v>
      </c>
      <c r="JU47" s="293">
        <f t="shared" si="963"/>
        <v>8.164241145411635E-3</v>
      </c>
      <c r="JV47" s="293">
        <f t="shared" si="963"/>
        <v>7.7991098252933495E-3</v>
      </c>
      <c r="JW47" s="293">
        <f t="shared" si="963"/>
        <v>8.0902217777370274E-3</v>
      </c>
      <c r="JX47" s="293">
        <f t="shared" si="963"/>
        <v>8.2929884623269921E-3</v>
      </c>
      <c r="JY47" s="293">
        <f t="shared" si="964"/>
        <v>8.5479585354735921E-3</v>
      </c>
      <c r="JZ47" s="293">
        <f t="shared" si="964"/>
        <v>8.7922379660443431E-3</v>
      </c>
      <c r="KA47" s="293">
        <f t="shared" si="964"/>
        <v>7.8458876673521624E-3</v>
      </c>
      <c r="KB47" s="293">
        <f t="shared" si="964"/>
        <v>1.1262971545574771E-2</v>
      </c>
      <c r="KC47" s="293">
        <f t="shared" si="964"/>
        <v>9.1986772467391974E-3</v>
      </c>
      <c r="KD47" s="293">
        <f t="shared" si="964"/>
        <v>9.9028268978323709E-3</v>
      </c>
      <c r="KE47" s="293">
        <f t="shared" si="964"/>
        <v>2.4609103509247023E-2</v>
      </c>
      <c r="KF47" s="293">
        <f t="shared" si="964"/>
        <v>9.9007470592657621E-3</v>
      </c>
      <c r="KG47" s="293">
        <f t="shared" si="964"/>
        <v>9.724731154237885E-3</v>
      </c>
      <c r="KH47" s="293">
        <f t="shared" si="964"/>
        <v>8.4354820522799401E-3</v>
      </c>
      <c r="KI47" s="293">
        <f t="shared" si="964"/>
        <v>1.2829583371273172E-2</v>
      </c>
      <c r="KJ47" s="293">
        <f t="shared" si="964"/>
        <v>1.2557316848432009E-2</v>
      </c>
      <c r="KK47" s="803">
        <f t="shared" si="965"/>
        <v>8.8090824100168184E-3</v>
      </c>
      <c r="KL47" s="803">
        <f t="shared" si="965"/>
        <v>8.887947485928761E-3</v>
      </c>
      <c r="KM47" s="803">
        <f t="shared" si="965"/>
        <v>8.8813272171603761E-3</v>
      </c>
      <c r="KN47" s="803">
        <f t="shared" si="965"/>
        <v>8.7675815922580308E-3</v>
      </c>
      <c r="KO47" s="803">
        <f t="shared" si="965"/>
        <v>9.1024056225880567E-3</v>
      </c>
      <c r="KP47" s="803">
        <f t="shared" si="965"/>
        <v>9.4897753708901161E-3</v>
      </c>
      <c r="KQ47" s="803">
        <f t="shared" si="965"/>
        <v>2.9313269880962885E-2</v>
      </c>
      <c r="KR47" s="803">
        <f t="shared" si="965"/>
        <v>9.435385423125808E-3</v>
      </c>
      <c r="KS47" s="803">
        <f t="shared" si="965"/>
        <v>9.1529632331874295E-3</v>
      </c>
      <c r="KT47" s="803">
        <f t="shared" si="965"/>
        <v>9.3172267783221442E-3</v>
      </c>
      <c r="KU47" s="803">
        <f t="shared" si="965"/>
        <v>9.8541225951411342E-3</v>
      </c>
      <c r="KV47" s="803">
        <f t="shared" si="965"/>
        <v>2.4602854176514928E-2</v>
      </c>
      <c r="KW47" s="915">
        <f t="shared" si="966"/>
        <v>9.0150611642278236E-3</v>
      </c>
      <c r="KX47" s="915">
        <f t="shared" si="966"/>
        <v>9.3129272348690343E-3</v>
      </c>
      <c r="KY47" s="915">
        <f t="shared" si="966"/>
        <v>9.2459758137459422E-3</v>
      </c>
      <c r="KZ47" s="915">
        <f t="shared" si="966"/>
        <v>1.064940386229917E-2</v>
      </c>
      <c r="LA47" s="915">
        <f t="shared" si="966"/>
        <v>9.7967434138322238E-3</v>
      </c>
      <c r="LB47" s="915">
        <f t="shared" si="966"/>
        <v>1.0791165608330771E-2</v>
      </c>
      <c r="LC47" s="915">
        <f t="shared" si="966"/>
        <v>3.0779386753006444E-2</v>
      </c>
      <c r="LD47" s="915">
        <f t="shared" si="966"/>
        <v>1.0577223340883018E-2</v>
      </c>
      <c r="LE47" s="915">
        <f t="shared" si="966"/>
        <v>9.5318271036100351E-3</v>
      </c>
      <c r="LF47" s="915">
        <f t="shared" si="966"/>
        <v>7.3745044958524308E-3</v>
      </c>
      <c r="LG47" s="915">
        <f t="shared" si="966"/>
        <v>1.0674471812524157E-2</v>
      </c>
      <c r="LH47" s="915">
        <f t="shared" si="966"/>
        <v>1.0872703872684112E-2</v>
      </c>
      <c r="LI47" s="974">
        <f t="shared" si="967"/>
        <v>1.0300372263974636E-2</v>
      </c>
      <c r="LJ47" s="974">
        <f t="shared" si="967"/>
        <v>9.9870842690038281E-3</v>
      </c>
      <c r="LK47" s="974">
        <f t="shared" si="967"/>
        <v>1.0050731255955006E-2</v>
      </c>
      <c r="LL47" s="974">
        <f t="shared" si="967"/>
        <v>1.0319695244695018E-2</v>
      </c>
      <c r="LM47" s="974">
        <f t="shared" si="967"/>
        <v>9.1045903872844572E-3</v>
      </c>
      <c r="LN47" s="974">
        <f t="shared" si="967"/>
        <v>9.0032569746266878E-3</v>
      </c>
      <c r="LO47" s="974">
        <f t="shared" si="967"/>
        <v>7.9884062749034611E-3</v>
      </c>
      <c r="LP47" s="974">
        <f t="shared" si="967"/>
        <v>2.8945444154946379E-2</v>
      </c>
      <c r="LQ47" s="974">
        <f t="shared" si="967"/>
        <v>9.9802075962422254E-3</v>
      </c>
      <c r="LR47" s="974">
        <f t="shared" si="967"/>
        <v>7.978118552888375E-3</v>
      </c>
      <c r="LS47" s="974">
        <f t="shared" si="967"/>
        <v>8.3856260955887177E-3</v>
      </c>
      <c r="LT47" s="974">
        <f t="shared" si="967"/>
        <v>1.0243767783738675E-2</v>
      </c>
      <c r="LU47" s="1170">
        <f t="shared" si="968"/>
        <v>7.8568812656548675E-3</v>
      </c>
      <c r="LV47" s="1170">
        <f t="shared" si="968"/>
        <v>8.0351554047818907E-3</v>
      </c>
      <c r="LW47" s="1170">
        <f t="shared" si="968"/>
        <v>7.7753431068610145E-3</v>
      </c>
      <c r="LX47" s="1170">
        <f t="shared" si="968"/>
        <v>7.9107231485641902E-3</v>
      </c>
      <c r="LY47" s="1170">
        <f t="shared" si="968"/>
        <v>8.0362397118293565E-3</v>
      </c>
      <c r="LZ47" s="1170">
        <f t="shared" si="968"/>
        <v>7.8435330574416519E-3</v>
      </c>
      <c r="MA47" s="1170">
        <f t="shared" si="968"/>
        <v>3.1001436727949788E-2</v>
      </c>
      <c r="MB47" s="1170">
        <f t="shared" si="968"/>
        <v>8.3784200772285874E-3</v>
      </c>
      <c r="MC47" s="1170">
        <f t="shared" si="968"/>
        <v>8.3595094118632859E-3</v>
      </c>
      <c r="MD47" s="1170">
        <f t="shared" si="968"/>
        <v>8.0400194803699147E-3</v>
      </c>
      <c r="ME47" s="1170">
        <f t="shared" si="968"/>
        <v>0</v>
      </c>
      <c r="MF47" s="1170">
        <f t="shared" si="968"/>
        <v>0</v>
      </c>
      <c r="MG47" s="1192">
        <f t="shared" si="969"/>
        <v>0</v>
      </c>
      <c r="MH47" s="1192">
        <f t="shared" si="969"/>
        <v>0</v>
      </c>
      <c r="MI47" s="1192">
        <f t="shared" si="969"/>
        <v>0</v>
      </c>
      <c r="MJ47" s="1192">
        <f t="shared" si="969"/>
        <v>0</v>
      </c>
      <c r="MK47" s="1192">
        <f t="shared" si="969"/>
        <v>0</v>
      </c>
      <c r="ML47" s="1192">
        <f t="shared" si="969"/>
        <v>0</v>
      </c>
      <c r="MM47" s="1192">
        <f t="shared" si="969"/>
        <v>0</v>
      </c>
      <c r="MN47" s="1192">
        <f t="shared" si="969"/>
        <v>0</v>
      </c>
      <c r="MO47" s="1192">
        <f t="shared" si="969"/>
        <v>0</v>
      </c>
      <c r="MP47" s="1192">
        <f t="shared" si="969"/>
        <v>0</v>
      </c>
      <c r="MQ47" s="1192">
        <f t="shared" si="970"/>
        <v>0</v>
      </c>
      <c r="MR47" s="1192">
        <f t="shared" si="970"/>
        <v>0</v>
      </c>
    </row>
    <row r="48" spans="1:356" s="2" customFormat="1" x14ac:dyDescent="0.25">
      <c r="A48" s="764"/>
      <c r="B48" s="56">
        <v>7.4</v>
      </c>
      <c r="C48" s="7"/>
      <c r="D48" s="119"/>
      <c r="E48" s="1217" t="s">
        <v>92</v>
      </c>
      <c r="F48" s="1217"/>
      <c r="G48" s="1218"/>
      <c r="H48" s="386">
        <v>347642.16</v>
      </c>
      <c r="I48" s="72">
        <v>359007.76999999996</v>
      </c>
      <c r="J48" s="24">
        <v>360100.57</v>
      </c>
      <c r="K48" s="312">
        <v>354852.94</v>
      </c>
      <c r="L48" s="24">
        <v>355564.33</v>
      </c>
      <c r="M48" s="72">
        <v>355679.54</v>
      </c>
      <c r="N48" s="24">
        <v>362653.63999999996</v>
      </c>
      <c r="O48" s="72">
        <v>390465.75</v>
      </c>
      <c r="P48" s="220">
        <v>349186.38999999996</v>
      </c>
      <c r="Q48" s="72">
        <v>344863.45</v>
      </c>
      <c r="R48" s="220">
        <v>350159.59</v>
      </c>
      <c r="S48" s="413">
        <v>335428.02</v>
      </c>
      <c r="T48" s="140">
        <v>4265604.1500000004</v>
      </c>
      <c r="U48" s="160">
        <v>355467.01250000001</v>
      </c>
      <c r="V48" s="437">
        <f>320072.97+6333.54</f>
        <v>326406.50999999995</v>
      </c>
      <c r="W48" s="413">
        <f>347757.24+1947.06</f>
        <v>349704.3</v>
      </c>
      <c r="X48" s="437">
        <f>292593.25+5979.19</f>
        <v>298572.44</v>
      </c>
      <c r="Y48" s="413">
        <f>297626.76+7918.79</f>
        <v>305545.55</v>
      </c>
      <c r="Z48" s="437">
        <v>303619.43</v>
      </c>
      <c r="AA48" s="241">
        <v>283940.93</v>
      </c>
      <c r="AB48" s="437">
        <v>327578.63999999996</v>
      </c>
      <c r="AC48" s="72">
        <v>326744.15999999997</v>
      </c>
      <c r="AD48" s="437">
        <v>300482.21999999997</v>
      </c>
      <c r="AE48" s="72">
        <v>285921.49</v>
      </c>
      <c r="AF48" s="220">
        <v>288667.86</v>
      </c>
      <c r="AG48" s="72">
        <v>604781.77</v>
      </c>
      <c r="AH48" s="140">
        <v>4001965.3</v>
      </c>
      <c r="AI48" s="160">
        <v>333497.10833333334</v>
      </c>
      <c r="AJ48" s="647">
        <v>292824.03999999998</v>
      </c>
      <c r="AK48" s="648">
        <v>278002.14999999997</v>
      </c>
      <c r="AL48" s="647">
        <v>284766.60000000003</v>
      </c>
      <c r="AM48" s="648">
        <v>305211.06</v>
      </c>
      <c r="AN48" s="647">
        <v>297521.93</v>
      </c>
      <c r="AO48" s="649">
        <f>295385.19+2029.12</f>
        <v>297414.31</v>
      </c>
      <c r="AP48" s="647">
        <f>331495.19+2830.23</f>
        <v>334325.42</v>
      </c>
      <c r="AQ48" s="241">
        <f>357048.87+2350.53</f>
        <v>359399.4</v>
      </c>
      <c r="AR48" s="647">
        <f>302604.24+1279.2</f>
        <v>303883.44</v>
      </c>
      <c r="AS48" s="72">
        <v>298736.75</v>
      </c>
      <c r="AT48" s="220">
        <v>304236.69</v>
      </c>
      <c r="AU48" s="637">
        <v>343177.36</v>
      </c>
      <c r="AV48" s="140">
        <f>SUM(AJ48:AU48)</f>
        <v>3699499.15</v>
      </c>
      <c r="AW48" s="160">
        <f t="shared" si="835"/>
        <v>308291.59583333333</v>
      </c>
      <c r="AX48" s="647">
        <v>303418.21999999997</v>
      </c>
      <c r="AY48" s="648">
        <v>303223.7</v>
      </c>
      <c r="AZ48" s="647">
        <v>295959.09999999998</v>
      </c>
      <c r="BA48" s="648">
        <v>314548.46000000002</v>
      </c>
      <c r="BB48" s="647">
        <v>303876.49</v>
      </c>
      <c r="BC48" s="649">
        <v>348685.31</v>
      </c>
      <c r="BD48" s="647">
        <v>299324.71000000002</v>
      </c>
      <c r="BE48" s="241">
        <v>355846.17</v>
      </c>
      <c r="BF48" s="647">
        <v>323569.21000000002</v>
      </c>
      <c r="BG48" s="72">
        <v>343378.77</v>
      </c>
      <c r="BH48" s="647">
        <v>286742.75</v>
      </c>
      <c r="BI48" s="830">
        <v>350686.54</v>
      </c>
      <c r="BJ48" s="140">
        <f>SUM(AX48:BI48)</f>
        <v>3829259.43</v>
      </c>
      <c r="BK48" s="160">
        <f t="shared" si="836"/>
        <v>319104.95250000001</v>
      </c>
      <c r="BL48" s="647">
        <v>293558.21999999997</v>
      </c>
      <c r="BM48" s="648">
        <v>303319.34000000003</v>
      </c>
      <c r="BN48" s="647">
        <v>299105.14</v>
      </c>
      <c r="BO48" s="648">
        <v>300932.65000000002</v>
      </c>
      <c r="BP48" s="869">
        <v>321199.12</v>
      </c>
      <c r="BQ48" s="649">
        <v>306709.92</v>
      </c>
      <c r="BR48" s="647">
        <v>309899.40000000002</v>
      </c>
      <c r="BS48" s="241">
        <v>341196.43</v>
      </c>
      <c r="BT48" s="647">
        <v>337701.76</v>
      </c>
      <c r="BU48" s="647">
        <v>300637.15999999997</v>
      </c>
      <c r="BV48" s="647">
        <v>297776.81</v>
      </c>
      <c r="BW48" s="647">
        <v>294351.26</v>
      </c>
      <c r="BX48" s="140">
        <f>SUM(BL48:BW48)</f>
        <v>3706387.2100000009</v>
      </c>
      <c r="BY48" s="160">
        <f t="shared" si="837"/>
        <v>308865.60083333339</v>
      </c>
      <c r="BZ48" s="647">
        <v>305726.15000000002</v>
      </c>
      <c r="CA48" s="648">
        <v>308868.84000000003</v>
      </c>
      <c r="CB48" s="647">
        <v>297754.21999999997</v>
      </c>
      <c r="CC48" s="648">
        <v>327353.28999999998</v>
      </c>
      <c r="CD48" s="869">
        <v>310020.38</v>
      </c>
      <c r="CE48" s="649">
        <v>377692.01</v>
      </c>
      <c r="CF48" s="647">
        <v>327401.03999999998</v>
      </c>
      <c r="CG48" s="649">
        <v>370412.42</v>
      </c>
      <c r="CH48" s="647">
        <v>273803.44</v>
      </c>
      <c r="CI48" s="647">
        <v>297917.38</v>
      </c>
      <c r="CJ48" s="647">
        <v>320069.06</v>
      </c>
      <c r="CK48" s="647">
        <v>351383.72</v>
      </c>
      <c r="CL48" s="140">
        <f>SUM(BZ48:CK48)</f>
        <v>3868401.9499999993</v>
      </c>
      <c r="CM48" s="160">
        <f t="shared" si="838"/>
        <v>322366.8291666666</v>
      </c>
      <c r="CN48" s="647">
        <v>316280.34999999998</v>
      </c>
      <c r="CO48" s="648">
        <v>319218.59000000003</v>
      </c>
      <c r="CP48" s="220">
        <v>269886.71999999997</v>
      </c>
      <c r="CQ48" s="648">
        <v>343621.56</v>
      </c>
      <c r="CR48" s="869">
        <v>318805.53000000003</v>
      </c>
      <c r="CS48" s="649">
        <v>316517.11</v>
      </c>
      <c r="CT48" s="647">
        <v>292586.84000000003</v>
      </c>
      <c r="CU48" s="649">
        <v>373870.79</v>
      </c>
      <c r="CV48" s="647">
        <v>349301.06</v>
      </c>
      <c r="CW48" s="1105">
        <v>337549.33999999997</v>
      </c>
      <c r="CX48" s="647">
        <v>364754.64</v>
      </c>
      <c r="CY48" s="648">
        <v>353592.33</v>
      </c>
      <c r="CZ48" s="140">
        <f>SUM(CN48:CY48)</f>
        <v>3955984.86</v>
      </c>
      <c r="DA48" s="160">
        <f>SUM(CN48:CY48)/$CZ$4</f>
        <v>329665.40499999997</v>
      </c>
      <c r="DB48" s="647">
        <v>350713.94</v>
      </c>
      <c r="DC48" s="648">
        <v>356562.23999999993</v>
      </c>
      <c r="DD48" s="1131">
        <v>341221.77</v>
      </c>
      <c r="DE48" s="648">
        <v>348615.02</v>
      </c>
      <c r="DF48" s="869">
        <v>347410.22</v>
      </c>
      <c r="DG48" s="649">
        <v>344893.9</v>
      </c>
      <c r="DH48" s="647">
        <v>379818</v>
      </c>
      <c r="DI48" s="649">
        <v>382784.38</v>
      </c>
      <c r="DJ48" s="647">
        <v>389141.24</v>
      </c>
      <c r="DK48" s="649">
        <v>344779.91</v>
      </c>
      <c r="DL48" s="647"/>
      <c r="DM48" s="649"/>
      <c r="DN48" s="140">
        <f>SUM(DB48:DM48)</f>
        <v>3585940.62</v>
      </c>
      <c r="DO48" s="160">
        <f>SUM(DB48:DM48)/$DN$4</f>
        <v>358594.06200000003</v>
      </c>
      <c r="DP48" s="647"/>
      <c r="DQ48" s="648"/>
      <c r="DR48" s="1131"/>
      <c r="DS48" s="648"/>
      <c r="DT48" s="869"/>
      <c r="DU48" s="649"/>
      <c r="DV48" s="647"/>
      <c r="DW48" s="649"/>
      <c r="DX48" s="647"/>
      <c r="DY48" s="649"/>
      <c r="DZ48" s="647"/>
      <c r="EA48" s="649"/>
      <c r="EB48" s="140">
        <f>SUM(DP48:EA48)</f>
        <v>0</v>
      </c>
      <c r="EC48" s="160" t="e">
        <f>SUM(DP48:EA48)/$EB$4</f>
        <v>#DIV/0!</v>
      </c>
      <c r="ED48" s="680">
        <f t="shared" si="839"/>
        <v>-39759.140000000014</v>
      </c>
      <c r="EE48" s="663">
        <f t="shared" si="840"/>
        <v>-0.11585595273534366</v>
      </c>
      <c r="EF48" s="680">
        <f t="shared" si="841"/>
        <v>-194.51999999996042</v>
      </c>
      <c r="EG48" s="663">
        <f t="shared" si="842"/>
        <v>-6.4109531721582322E-4</v>
      </c>
      <c r="EH48" s="680">
        <f t="shared" si="843"/>
        <v>-7264.6000000000349</v>
      </c>
      <c r="EI48" s="663">
        <f t="shared" si="844"/>
        <v>-2.3957889835128438E-2</v>
      </c>
      <c r="EJ48" s="680">
        <f t="shared" si="845"/>
        <v>18589.360000000044</v>
      </c>
      <c r="EK48" s="663">
        <f t="shared" si="846"/>
        <v>6.2810570784949837E-2</v>
      </c>
      <c r="EL48" s="680">
        <f t="shared" si="847"/>
        <v>-10671.97000000003</v>
      </c>
      <c r="EM48" s="663">
        <f t="shared" si="848"/>
        <v>-3.3927904145517128E-2</v>
      </c>
      <c r="EN48" s="680">
        <f t="shared" si="849"/>
        <v>44808.820000000007</v>
      </c>
      <c r="EO48" s="663">
        <f t="shared" si="850"/>
        <v>0.14745734360693719</v>
      </c>
      <c r="EP48" s="680">
        <f t="shared" si="851"/>
        <v>-49360.599999999977</v>
      </c>
      <c r="EQ48" s="663">
        <f t="shared" si="852"/>
        <v>-0.1415620290972395</v>
      </c>
      <c r="ER48" s="680">
        <f t="shared" si="853"/>
        <v>56521.459999999963</v>
      </c>
      <c r="ES48" s="663">
        <f t="shared" si="854"/>
        <v>0.18882991651440992</v>
      </c>
      <c r="ET48" s="680">
        <f t="shared" si="855"/>
        <v>-32276.959999999963</v>
      </c>
      <c r="EU48" s="663">
        <f t="shared" si="856"/>
        <v>-9.070481213834608E-2</v>
      </c>
      <c r="EV48" s="680">
        <f t="shared" si="857"/>
        <v>19809.559999999998</v>
      </c>
      <c r="EW48" s="109">
        <f t="shared" si="858"/>
        <v>6.1222018003505331E-2</v>
      </c>
      <c r="EX48" s="680">
        <f t="shared" si="859"/>
        <v>-56636.020000000019</v>
      </c>
      <c r="EY48" s="663">
        <f t="shared" si="860"/>
        <v>-0.16493745376279381</v>
      </c>
      <c r="EZ48" s="680">
        <f t="shared" si="861"/>
        <v>63943.789999999979</v>
      </c>
      <c r="FA48" s="663">
        <f t="shared" si="862"/>
        <v>0.22300054665723887</v>
      </c>
      <c r="FB48" s="680">
        <f t="shared" si="863"/>
        <v>-57128.320000000007</v>
      </c>
      <c r="FC48" s="663">
        <f t="shared" si="864"/>
        <v>-0.16290422780412392</v>
      </c>
      <c r="FD48" s="327">
        <f t="shared" si="865"/>
        <v>9761.1200000000536</v>
      </c>
      <c r="FE48" s="402">
        <f t="shared" si="866"/>
        <v>3.3251053232302791E-2</v>
      </c>
      <c r="FF48" s="327">
        <f t="shared" si="867"/>
        <v>-4214.2000000000116</v>
      </c>
      <c r="FG48" s="402">
        <f t="shared" si="868"/>
        <v>-1.3893607971057867E-2</v>
      </c>
      <c r="FH48" s="327">
        <f t="shared" si="869"/>
        <v>1827.5100000000093</v>
      </c>
      <c r="FI48" s="402">
        <f t="shared" si="870"/>
        <v>6.1099250918924672E-3</v>
      </c>
      <c r="FJ48" s="327">
        <f t="shared" si="871"/>
        <v>20266.469999999972</v>
      </c>
      <c r="FK48" s="402">
        <f t="shared" si="872"/>
        <v>6.7345533959176487E-2</v>
      </c>
      <c r="FL48" s="327">
        <f t="shared" si="873"/>
        <v>-14489.200000000012</v>
      </c>
      <c r="FM48" s="402">
        <f t="shared" si="874"/>
        <v>-4.5109712629349707E-2</v>
      </c>
      <c r="FN48" s="327">
        <f t="shared" si="875"/>
        <v>3189.4800000000396</v>
      </c>
      <c r="FO48" s="402">
        <f t="shared" si="876"/>
        <v>1.0399011548110475E-2</v>
      </c>
      <c r="FP48" s="327">
        <f t="shared" si="877"/>
        <v>31297.02999999997</v>
      </c>
      <c r="FQ48" s="402">
        <f t="shared" si="878"/>
        <v>0.10099093447744645</v>
      </c>
      <c r="FR48" s="327">
        <f t="shared" si="879"/>
        <v>-3494.6699999999837</v>
      </c>
      <c r="FS48" s="402">
        <f t="shared" si="880"/>
        <v>-1.0242399077856658E-2</v>
      </c>
      <c r="FT48" s="327">
        <f t="shared" si="881"/>
        <v>-37064.600000000035</v>
      </c>
      <c r="FU48" s="402">
        <f t="shared" si="882"/>
        <v>-0.10975542443130895</v>
      </c>
      <c r="FV48" s="327">
        <f t="shared" si="883"/>
        <v>-2860.3499999999767</v>
      </c>
      <c r="FW48" s="402">
        <f t="shared" si="884"/>
        <v>-9.5142929104305562E-3</v>
      </c>
      <c r="FX48" s="327">
        <f t="shared" si="885"/>
        <v>-3425.5499999999884</v>
      </c>
      <c r="FY48" s="402">
        <f t="shared" si="886"/>
        <v>-1.1503750073754865E-2</v>
      </c>
      <c r="FZ48" s="327">
        <f t="shared" si="887"/>
        <v>11374.890000000014</v>
      </c>
      <c r="GA48" s="402">
        <f t="shared" si="888"/>
        <v>3.8643931743319239E-2</v>
      </c>
      <c r="GB48" s="327">
        <f t="shared" si="889"/>
        <v>3142.6900000000023</v>
      </c>
      <c r="GC48" s="402">
        <f t="shared" si="890"/>
        <v>1.0279428174528094E-2</v>
      </c>
      <c r="GD48" s="327">
        <f t="shared" si="891"/>
        <v>-11114.620000000054</v>
      </c>
      <c r="GE48" s="402">
        <f t="shared" si="892"/>
        <v>-3.5984918388012377E-2</v>
      </c>
      <c r="GF48" s="327">
        <f t="shared" si="893"/>
        <v>29599.070000000007</v>
      </c>
      <c r="GG48" s="402">
        <f t="shared" si="894"/>
        <v>9.9407726278405092E-2</v>
      </c>
      <c r="GH48" s="327">
        <f t="shared" si="895"/>
        <v>-17332.909999999974</v>
      </c>
      <c r="GI48" s="402">
        <f t="shared" si="896"/>
        <v>-5.2948635402442344E-2</v>
      </c>
      <c r="GJ48" s="327">
        <f t="shared" si="897"/>
        <v>67671.63</v>
      </c>
      <c r="GK48" s="402">
        <f t="shared" si="898"/>
        <v>0.21828123041459405</v>
      </c>
      <c r="GL48" s="327">
        <f t="shared" si="899"/>
        <v>-50290.97000000003</v>
      </c>
      <c r="GM48" s="402">
        <f t="shared" si="900"/>
        <v>-0.13315338600888069</v>
      </c>
      <c r="GN48" s="327">
        <f t="shared" si="901"/>
        <v>43011.380000000005</v>
      </c>
      <c r="GO48" s="402">
        <f t="shared" si="902"/>
        <v>0.13137215446841588</v>
      </c>
      <c r="GP48" s="327">
        <f t="shared" si="903"/>
        <v>-96608.979999999981</v>
      </c>
      <c r="GQ48" s="402">
        <f t="shared" si="904"/>
        <v>-0.2608146346712672</v>
      </c>
      <c r="GR48" s="327">
        <f t="shared" si="905"/>
        <v>24113.940000000002</v>
      </c>
      <c r="GS48" s="402">
        <f t="shared" si="906"/>
        <v>8.8070259453277872E-2</v>
      </c>
      <c r="GT48" s="327">
        <f t="shared" si="907"/>
        <v>22151.679999999993</v>
      </c>
      <c r="GU48" s="402">
        <f t="shared" si="908"/>
        <v>7.4355111474194602E-2</v>
      </c>
      <c r="GV48" s="327">
        <f t="shared" si="909"/>
        <v>31314.659999999974</v>
      </c>
      <c r="GW48" s="402">
        <f t="shared" si="910"/>
        <v>9.7837198009704446E-2</v>
      </c>
      <c r="GX48" s="327">
        <f t="shared" si="911"/>
        <v>-35103.369999999995</v>
      </c>
      <c r="GY48" s="402">
        <f t="shared" si="912"/>
        <v>-9.9900388099938148E-2</v>
      </c>
      <c r="GZ48" s="327">
        <f t="shared" si="913"/>
        <v>2938.2400000000489</v>
      </c>
      <c r="HA48" s="402">
        <f t="shared" si="914"/>
        <v>9.2899859254615379E-3</v>
      </c>
      <c r="HB48" s="327">
        <f t="shared" si="915"/>
        <v>-49331.870000000054</v>
      </c>
      <c r="HC48" s="402">
        <f t="shared" si="916"/>
        <v>-0.15453946463456295</v>
      </c>
      <c r="HD48" s="327">
        <f t="shared" si="917"/>
        <v>73734.840000000026</v>
      </c>
      <c r="HE48" s="402">
        <f t="shared" si="918"/>
        <v>0.27320662535748347</v>
      </c>
      <c r="HF48" s="327">
        <f t="shared" si="919"/>
        <v>-24816.02999999997</v>
      </c>
      <c r="HG48" s="402">
        <f t="shared" si="920"/>
        <v>-7.2219071469205739E-2</v>
      </c>
      <c r="HH48" s="327">
        <f t="shared" si="921"/>
        <v>-2288.4200000000419</v>
      </c>
      <c r="HI48" s="402">
        <f t="shared" si="922"/>
        <v>-7.1781063521703711E-3</v>
      </c>
      <c r="HJ48" s="327">
        <f t="shared" si="923"/>
        <v>-23930.26999999996</v>
      </c>
      <c r="HK48" s="402">
        <f t="shared" si="924"/>
        <v>-7.5604980722842954E-2</v>
      </c>
      <c r="HL48" s="327">
        <f t="shared" si="925"/>
        <v>81283.949999999953</v>
      </c>
      <c r="HM48" s="402">
        <f t="shared" si="926"/>
        <v>0.27781136704576304</v>
      </c>
      <c r="HN48" s="327">
        <f t="shared" si="927"/>
        <v>-24569.729999999981</v>
      </c>
      <c r="HO48" s="402">
        <f t="shared" si="928"/>
        <v>-6.5717169292631772E-2</v>
      </c>
      <c r="HP48" s="327">
        <f t="shared" si="929"/>
        <v>-11751.72000000003</v>
      </c>
      <c r="HQ48" s="402">
        <f t="shared" si="930"/>
        <v>-3.3643528021357935E-2</v>
      </c>
      <c r="HR48" s="327">
        <f t="shared" si="931"/>
        <v>27205.300000000047</v>
      </c>
      <c r="HS48" s="402">
        <f t="shared" si="932"/>
        <v>8.0596513683007201E-2</v>
      </c>
      <c r="HT48" s="327">
        <f t="shared" si="933"/>
        <v>-11162.309999999998</v>
      </c>
      <c r="HU48" s="402">
        <f t="shared" si="934"/>
        <v>-3.0602242647276529E-2</v>
      </c>
      <c r="HV48" s="327">
        <f t="shared" si="935"/>
        <v>-2878.390000000014</v>
      </c>
      <c r="HW48" s="402">
        <f t="shared" si="936"/>
        <v>-8.1404197879518872E-3</v>
      </c>
      <c r="HX48" s="327">
        <f t="shared" si="937"/>
        <v>5848.2999999999302</v>
      </c>
      <c r="HY48" s="402">
        <f t="shared" si="938"/>
        <v>1.6675413586354538E-2</v>
      </c>
      <c r="HZ48" s="327">
        <f t="shared" si="939"/>
        <v>-15340.469999999914</v>
      </c>
      <c r="IA48" s="402">
        <f t="shared" si="940"/>
        <v>-4.4957477361423664E-2</v>
      </c>
      <c r="IB48" s="327">
        <f t="shared" si="941"/>
        <v>7393.25</v>
      </c>
      <c r="IC48" s="402">
        <f t="shared" si="942"/>
        <v>2.1666993873222098E-2</v>
      </c>
      <c r="ID48" s="327">
        <f t="shared" si="943"/>
        <v>-1204.8000000000466</v>
      </c>
      <c r="IE48" s="402">
        <f t="shared" si="944"/>
        <v>-3.359787926438242E-3</v>
      </c>
      <c r="IF48" s="327">
        <f t="shared" si="945"/>
        <v>-2516.3199999999488</v>
      </c>
      <c r="IG48" s="402">
        <f t="shared" si="946"/>
        <v>-7.2430799531457337E-3</v>
      </c>
      <c r="IH48" s="327">
        <f t="shared" si="947"/>
        <v>34924.099999999977</v>
      </c>
      <c r="II48" s="402">
        <f t="shared" si="948"/>
        <v>0.1012604166092818</v>
      </c>
      <c r="IJ48" s="327">
        <f t="shared" si="949"/>
        <v>2966.3800000000047</v>
      </c>
      <c r="IK48" s="402">
        <f t="shared" si="950"/>
        <v>7.8100037386327256E-3</v>
      </c>
      <c r="IL48" s="327">
        <f t="shared" si="951"/>
        <v>6356.859999999986</v>
      </c>
      <c r="IM48" s="402">
        <f t="shared" si="952"/>
        <v>1.660689498354135E-2</v>
      </c>
      <c r="IN48" s="327">
        <f t="shared" si="953"/>
        <v>-44361.330000000016</v>
      </c>
      <c r="IO48" s="402">
        <f t="shared" si="954"/>
        <v>-0.11399801778911949</v>
      </c>
      <c r="IP48" s="327">
        <f t="shared" si="955"/>
        <v>-344779.91</v>
      </c>
      <c r="IQ48" s="402">
        <f t="shared" si="956"/>
        <v>14391080.031366695</v>
      </c>
      <c r="IR48" s="327">
        <f t="shared" si="957"/>
        <v>-18589.29718942926</v>
      </c>
      <c r="IS48" s="402">
        <f t="shared" si="958"/>
        <v>-0.99999662115474741</v>
      </c>
      <c r="IT48" s="647">
        <f t="shared" si="959"/>
        <v>337549.33999999997</v>
      </c>
      <c r="IU48" s="1075">
        <f t="shared" si="960"/>
        <v>344779.91</v>
      </c>
      <c r="IV48" s="662">
        <f>IU48-IT48</f>
        <v>7230.570000000007</v>
      </c>
      <c r="IW48" s="109">
        <f t="shared" si="961"/>
        <v>2.14207795518131E-2</v>
      </c>
      <c r="IX48" s="698"/>
      <c r="IY48" s="698"/>
      <c r="IZ48" s="698"/>
      <c r="JA48" s="2" t="str">
        <f t="shared" si="962"/>
        <v>Service Center Costs</v>
      </c>
      <c r="JB48" s="288" t="e">
        <f>#REF!</f>
        <v>#REF!</v>
      </c>
      <c r="JC48" s="288" t="e">
        <f>#REF!</f>
        <v>#REF!</v>
      </c>
      <c r="JD48" s="288" t="e">
        <f>#REF!</f>
        <v>#REF!</v>
      </c>
      <c r="JE48" s="288" t="e">
        <f>#REF!</f>
        <v>#REF!</v>
      </c>
      <c r="JF48" s="288" t="e">
        <f>#REF!</f>
        <v>#REF!</v>
      </c>
      <c r="JG48" s="288" t="e">
        <f>#REF!</f>
        <v>#REF!</v>
      </c>
      <c r="JH48" s="288" t="e">
        <f>#REF!</f>
        <v>#REF!</v>
      </c>
      <c r="JI48" s="288" t="e">
        <f>#REF!</f>
        <v>#REF!</v>
      </c>
      <c r="JJ48" s="288" t="e">
        <f>#REF!</f>
        <v>#REF!</v>
      </c>
      <c r="JK48" s="288" t="e">
        <f>#REF!</f>
        <v>#REF!</v>
      </c>
      <c r="JL48" s="288" t="e">
        <f>#REF!</f>
        <v>#REF!</v>
      </c>
      <c r="JM48" s="289">
        <f t="shared" si="963"/>
        <v>292824.03999999998</v>
      </c>
      <c r="JN48" s="289">
        <f t="shared" si="963"/>
        <v>278002.14999999997</v>
      </c>
      <c r="JO48" s="289">
        <f t="shared" si="963"/>
        <v>284766.60000000003</v>
      </c>
      <c r="JP48" s="289">
        <f t="shared" si="963"/>
        <v>305211.06</v>
      </c>
      <c r="JQ48" s="289">
        <f t="shared" si="963"/>
        <v>297521.93</v>
      </c>
      <c r="JR48" s="289">
        <f t="shared" si="963"/>
        <v>297414.31</v>
      </c>
      <c r="JS48" s="289">
        <f t="shared" si="963"/>
        <v>334325.42</v>
      </c>
      <c r="JT48" s="289">
        <f t="shared" si="963"/>
        <v>359399.4</v>
      </c>
      <c r="JU48" s="289">
        <f t="shared" si="963"/>
        <v>303883.44</v>
      </c>
      <c r="JV48" s="289">
        <f t="shared" si="963"/>
        <v>298736.75</v>
      </c>
      <c r="JW48" s="289">
        <f t="shared" si="963"/>
        <v>304236.69</v>
      </c>
      <c r="JX48" s="289">
        <f t="shared" si="963"/>
        <v>343177.36</v>
      </c>
      <c r="JY48" s="289">
        <f t="shared" si="964"/>
        <v>303418.21999999997</v>
      </c>
      <c r="JZ48" s="289">
        <f t="shared" si="964"/>
        <v>303223.7</v>
      </c>
      <c r="KA48" s="289">
        <f t="shared" si="964"/>
        <v>295959.09999999998</v>
      </c>
      <c r="KB48" s="289">
        <f t="shared" si="964"/>
        <v>314548.46000000002</v>
      </c>
      <c r="KC48" s="289">
        <f t="shared" si="964"/>
        <v>303876.49</v>
      </c>
      <c r="KD48" s="289">
        <f t="shared" si="964"/>
        <v>348685.31</v>
      </c>
      <c r="KE48" s="289">
        <f t="shared" si="964"/>
        <v>299324.71000000002</v>
      </c>
      <c r="KF48" s="289">
        <f t="shared" si="964"/>
        <v>355846.17</v>
      </c>
      <c r="KG48" s="289">
        <f t="shared" si="964"/>
        <v>323569.21000000002</v>
      </c>
      <c r="KH48" s="289">
        <f t="shared" si="964"/>
        <v>343378.77</v>
      </c>
      <c r="KI48" s="289">
        <f t="shared" si="964"/>
        <v>286742.75</v>
      </c>
      <c r="KJ48" s="289">
        <f t="shared" si="964"/>
        <v>350686.54</v>
      </c>
      <c r="KK48" s="801">
        <f t="shared" si="965"/>
        <v>293558.21999999997</v>
      </c>
      <c r="KL48" s="801">
        <f t="shared" si="965"/>
        <v>303319.34000000003</v>
      </c>
      <c r="KM48" s="801">
        <f t="shared" si="965"/>
        <v>299105.14</v>
      </c>
      <c r="KN48" s="801">
        <f t="shared" si="965"/>
        <v>300932.65000000002</v>
      </c>
      <c r="KO48" s="801">
        <f t="shared" si="965"/>
        <v>321199.12</v>
      </c>
      <c r="KP48" s="801">
        <f t="shared" si="965"/>
        <v>306709.92</v>
      </c>
      <c r="KQ48" s="801">
        <f t="shared" si="965"/>
        <v>309899.40000000002</v>
      </c>
      <c r="KR48" s="801">
        <f t="shared" si="965"/>
        <v>341196.43</v>
      </c>
      <c r="KS48" s="801">
        <f t="shared" si="965"/>
        <v>337701.76</v>
      </c>
      <c r="KT48" s="801">
        <f t="shared" si="965"/>
        <v>300637.15999999997</v>
      </c>
      <c r="KU48" s="801">
        <f t="shared" si="965"/>
        <v>297776.81</v>
      </c>
      <c r="KV48" s="801">
        <f t="shared" si="965"/>
        <v>294351.26</v>
      </c>
      <c r="KW48" s="913">
        <f t="shared" si="966"/>
        <v>305726.15000000002</v>
      </c>
      <c r="KX48" s="913">
        <f t="shared" si="966"/>
        <v>308868.84000000003</v>
      </c>
      <c r="KY48" s="913">
        <f t="shared" si="966"/>
        <v>297754.21999999997</v>
      </c>
      <c r="KZ48" s="913">
        <f t="shared" si="966"/>
        <v>327353.28999999998</v>
      </c>
      <c r="LA48" s="913">
        <f t="shared" si="966"/>
        <v>310020.38</v>
      </c>
      <c r="LB48" s="913">
        <f t="shared" si="966"/>
        <v>377692.01</v>
      </c>
      <c r="LC48" s="913">
        <f t="shared" si="966"/>
        <v>327401.03999999998</v>
      </c>
      <c r="LD48" s="913">
        <f t="shared" si="966"/>
        <v>370412.42</v>
      </c>
      <c r="LE48" s="913">
        <f t="shared" si="966"/>
        <v>273803.44</v>
      </c>
      <c r="LF48" s="913">
        <f t="shared" si="966"/>
        <v>297917.38</v>
      </c>
      <c r="LG48" s="913">
        <f t="shared" si="966"/>
        <v>320069.06</v>
      </c>
      <c r="LH48" s="913">
        <f t="shared" si="966"/>
        <v>351383.72</v>
      </c>
      <c r="LI48" s="972">
        <f t="shared" si="967"/>
        <v>316280.34999999998</v>
      </c>
      <c r="LJ48" s="972">
        <f t="shared" si="967"/>
        <v>319218.59000000003</v>
      </c>
      <c r="LK48" s="972">
        <f t="shared" si="967"/>
        <v>269886.71999999997</v>
      </c>
      <c r="LL48" s="972">
        <f t="shared" si="967"/>
        <v>343621.56</v>
      </c>
      <c r="LM48" s="972">
        <f t="shared" si="967"/>
        <v>318805.53000000003</v>
      </c>
      <c r="LN48" s="972">
        <f t="shared" si="967"/>
        <v>316517.11</v>
      </c>
      <c r="LO48" s="972">
        <f t="shared" si="967"/>
        <v>292586.84000000003</v>
      </c>
      <c r="LP48" s="972">
        <f t="shared" si="967"/>
        <v>373870.79</v>
      </c>
      <c r="LQ48" s="972">
        <f t="shared" si="967"/>
        <v>349301.06</v>
      </c>
      <c r="LR48" s="972">
        <f t="shared" si="967"/>
        <v>337549.33999999997</v>
      </c>
      <c r="LS48" s="972">
        <f t="shared" si="967"/>
        <v>364754.64</v>
      </c>
      <c r="LT48" s="972">
        <f t="shared" si="967"/>
        <v>353592.33</v>
      </c>
      <c r="LU48" s="1168">
        <f t="shared" si="968"/>
        <v>350713.94</v>
      </c>
      <c r="LV48" s="1168">
        <f t="shared" si="968"/>
        <v>356562.23999999993</v>
      </c>
      <c r="LW48" s="1168">
        <f t="shared" si="968"/>
        <v>341221.77</v>
      </c>
      <c r="LX48" s="1168">
        <f t="shared" si="968"/>
        <v>348615.02</v>
      </c>
      <c r="LY48" s="1168">
        <f t="shared" si="968"/>
        <v>347410.22</v>
      </c>
      <c r="LZ48" s="1168">
        <f t="shared" si="968"/>
        <v>344893.9</v>
      </c>
      <c r="MA48" s="1168">
        <f t="shared" si="968"/>
        <v>379818</v>
      </c>
      <c r="MB48" s="1168">
        <f t="shared" si="968"/>
        <v>382784.38</v>
      </c>
      <c r="MC48" s="1168">
        <f t="shared" si="968"/>
        <v>389141.24</v>
      </c>
      <c r="MD48" s="1168">
        <f t="shared" si="968"/>
        <v>344779.91</v>
      </c>
      <c r="ME48" s="1168">
        <f t="shared" si="968"/>
        <v>0</v>
      </c>
      <c r="MF48" s="1168">
        <f t="shared" si="968"/>
        <v>0</v>
      </c>
      <c r="MG48" s="1190">
        <f t="shared" si="969"/>
        <v>0</v>
      </c>
      <c r="MH48" s="1190">
        <f t="shared" si="969"/>
        <v>0</v>
      </c>
      <c r="MI48" s="1190">
        <f t="shared" si="969"/>
        <v>0</v>
      </c>
      <c r="MJ48" s="1190">
        <f t="shared" si="969"/>
        <v>0</v>
      </c>
      <c r="MK48" s="1190">
        <f t="shared" si="969"/>
        <v>0</v>
      </c>
      <c r="ML48" s="1190">
        <f t="shared" si="969"/>
        <v>0</v>
      </c>
      <c r="MM48" s="1190">
        <f t="shared" si="969"/>
        <v>0</v>
      </c>
      <c r="MN48" s="1190">
        <f t="shared" si="969"/>
        <v>0</v>
      </c>
      <c r="MO48" s="1190">
        <f t="shared" si="969"/>
        <v>0</v>
      </c>
      <c r="MP48" s="1190">
        <f t="shared" si="969"/>
        <v>0</v>
      </c>
      <c r="MQ48" s="1190">
        <f t="shared" si="970"/>
        <v>0</v>
      </c>
      <c r="MR48" s="1190">
        <f t="shared" si="970"/>
        <v>0</v>
      </c>
    </row>
    <row r="49" spans="1:356" s="87" customFormat="1" x14ac:dyDescent="0.25">
      <c r="A49" s="768"/>
      <c r="B49" s="85">
        <v>7.5</v>
      </c>
      <c r="C49" s="86"/>
      <c r="D49" s="455"/>
      <c r="E49" s="1231" t="s">
        <v>221</v>
      </c>
      <c r="F49" s="1231"/>
      <c r="G49" s="1232"/>
      <c r="H49" s="389">
        <v>74.858346253229968</v>
      </c>
      <c r="I49" s="89">
        <v>85.234513295346616</v>
      </c>
      <c r="J49" s="88">
        <v>85.595571666270502</v>
      </c>
      <c r="K49" s="89">
        <v>66.551564141035257</v>
      </c>
      <c r="L49" s="88">
        <v>85.103956438487316</v>
      </c>
      <c r="M49" s="89">
        <v>82.371361741547005</v>
      </c>
      <c r="N49" s="88">
        <v>74.299045277607036</v>
      </c>
      <c r="O49" s="89">
        <v>82.760862653666805</v>
      </c>
      <c r="P49" s="88">
        <v>84.856959902794642</v>
      </c>
      <c r="Q49" s="89">
        <v>98.419934360730593</v>
      </c>
      <c r="R49" s="88">
        <v>75.759322803980965</v>
      </c>
      <c r="S49" s="89">
        <v>74.639078771695594</v>
      </c>
      <c r="T49" s="143">
        <v>80.142868013151727</v>
      </c>
      <c r="U49" s="162">
        <v>80.142868013151713</v>
      </c>
      <c r="V49" s="389">
        <f t="shared" ref="V49:AG49" si="1028">V48/V22</f>
        <v>47.776128512880554</v>
      </c>
      <c r="W49" s="89">
        <f t="shared" si="1028"/>
        <v>51.34404639553663</v>
      </c>
      <c r="X49" s="88">
        <f t="shared" si="1028"/>
        <v>51.665070081328949</v>
      </c>
      <c r="Y49" s="89">
        <f t="shared" si="1028"/>
        <v>41.976308558867977</v>
      </c>
      <c r="Z49" s="88">
        <f t="shared" si="1028"/>
        <v>50.301429754804502</v>
      </c>
      <c r="AA49" s="89">
        <f t="shared" si="1028"/>
        <v>49.553390924956368</v>
      </c>
      <c r="AB49" s="88">
        <f t="shared" si="1028"/>
        <v>47.578596949891065</v>
      </c>
      <c r="AC49" s="89">
        <f t="shared" si="1028"/>
        <v>47.769614035087713</v>
      </c>
      <c r="AD49" s="88">
        <f t="shared" si="1028"/>
        <v>43.334614940871063</v>
      </c>
      <c r="AE49" s="89">
        <f t="shared" si="1028"/>
        <v>45.63790742218675</v>
      </c>
      <c r="AF49" s="88">
        <f t="shared" si="1028"/>
        <v>46.991349503499919</v>
      </c>
      <c r="AG49" s="89">
        <f t="shared" si="1028"/>
        <v>100.88102919099249</v>
      </c>
      <c r="AH49" s="143">
        <f t="shared" ref="AH49" si="1029">AH48/AH22</f>
        <v>51.618946458744468</v>
      </c>
      <c r="AI49" s="162">
        <v>51.62</v>
      </c>
      <c r="AJ49" s="389">
        <f>AJ48/AJ22</f>
        <v>43.265963356973991</v>
      </c>
      <c r="AK49" s="89">
        <f t="shared" ref="AK49:AU49" si="1030">AK48/AK22</f>
        <v>40.006065620952647</v>
      </c>
      <c r="AL49" s="88">
        <f t="shared" si="1030"/>
        <v>53.277193638914881</v>
      </c>
      <c r="AM49" s="89">
        <f t="shared" si="1030"/>
        <v>33.583963468309861</v>
      </c>
      <c r="AN49" s="88">
        <f t="shared" si="1030"/>
        <v>47.840799163852708</v>
      </c>
      <c r="AO49" s="89">
        <f t="shared" si="1030"/>
        <v>53.898932584269666</v>
      </c>
      <c r="AP49" s="642">
        <f t="shared" si="1030"/>
        <v>45.301547425474254</v>
      </c>
      <c r="AQ49" s="89">
        <f t="shared" si="1030"/>
        <v>51.637844827586207</v>
      </c>
      <c r="AR49" s="642">
        <f t="shared" si="1030"/>
        <v>49.989050830728736</v>
      </c>
      <c r="AS49" s="89">
        <f t="shared" si="1030"/>
        <v>45.174164524421592</v>
      </c>
      <c r="AT49" s="642">
        <f t="shared" si="1030"/>
        <v>36.597701190905809</v>
      </c>
      <c r="AU49" s="89">
        <f t="shared" si="1030"/>
        <v>54.386269413629158</v>
      </c>
      <c r="AV49" s="143">
        <f>AV48/AV22</f>
        <v>45.369247136445018</v>
      </c>
      <c r="AW49" s="162">
        <f t="shared" ref="AW49:BH49" si="1031">AW48/AW22</f>
        <v>45.369247136445018</v>
      </c>
      <c r="AX49" s="389">
        <f t="shared" si="1031"/>
        <v>42.018864423210076</v>
      </c>
      <c r="AY49" s="89">
        <f t="shared" si="1031"/>
        <v>43.604213402358354</v>
      </c>
      <c r="AZ49" s="88">
        <f t="shared" si="1031"/>
        <v>39.503350240256268</v>
      </c>
      <c r="BA49" s="89">
        <f t="shared" si="1031"/>
        <v>22.783460814138781</v>
      </c>
      <c r="BB49" s="88">
        <f t="shared" si="1031"/>
        <v>34.856215875200732</v>
      </c>
      <c r="BC49" s="89">
        <f t="shared" si="1031"/>
        <v>45.976438554852322</v>
      </c>
      <c r="BD49" s="642">
        <f t="shared" si="1031"/>
        <v>35.633894047619052</v>
      </c>
      <c r="BE49" s="89">
        <f t="shared" si="1031"/>
        <v>53.032216095380029</v>
      </c>
      <c r="BF49" s="642">
        <f t="shared" si="1031"/>
        <v>48.064350861556747</v>
      </c>
      <c r="BG49" s="89">
        <f t="shared" si="1031"/>
        <v>51.250562686567164</v>
      </c>
      <c r="BH49" s="642">
        <f t="shared" si="1031"/>
        <v>43.035081794987242</v>
      </c>
      <c r="BI49" s="89">
        <f t="shared" ref="BI49" si="1032">BI48/BI22</f>
        <v>49.323001406469757</v>
      </c>
      <c r="BJ49" s="143">
        <f t="shared" ref="BJ49:BO49" si="1033">BJ48/BJ22</f>
        <v>40.697836433202255</v>
      </c>
      <c r="BK49" s="162">
        <f t="shared" si="1033"/>
        <v>40.697836433202255</v>
      </c>
      <c r="BL49" s="389">
        <f t="shared" si="1033"/>
        <v>38.964457127687808</v>
      </c>
      <c r="BM49" s="89">
        <f t="shared" si="1033"/>
        <v>43.737467916366263</v>
      </c>
      <c r="BN49" s="88">
        <f t="shared" si="1033"/>
        <v>40.744468056123146</v>
      </c>
      <c r="BO49" s="89">
        <f t="shared" si="1033"/>
        <v>21.219337893103937</v>
      </c>
      <c r="BP49" s="88">
        <f t="shared" ref="BP49:BQ49" si="1034">BP48/BP22</f>
        <v>45.399168904593637</v>
      </c>
      <c r="BQ49" s="89">
        <f t="shared" si="1034"/>
        <v>43.972748387096772</v>
      </c>
      <c r="BR49" s="642">
        <f t="shared" ref="BR49" si="1035">BR48/BR22</f>
        <v>35.060459327978279</v>
      </c>
      <c r="BS49" s="89">
        <f t="shared" ref="BS49:BT49" si="1036">BS48/BS22</f>
        <v>48.212014978098061</v>
      </c>
      <c r="BT49" s="642">
        <f t="shared" si="1036"/>
        <v>42.034075180482951</v>
      </c>
      <c r="BU49" s="642">
        <f t="shared" ref="BU49:BV49" si="1037">BU48/BU22</f>
        <v>35.599426879810537</v>
      </c>
      <c r="BV49" s="642">
        <f t="shared" si="1037"/>
        <v>45.06989707885576</v>
      </c>
      <c r="BW49" s="642">
        <f t="shared" ref="BW49" si="1038">BW48/BW22</f>
        <v>40.03689608269859</v>
      </c>
      <c r="BX49" s="143">
        <f>BX48/BX22</f>
        <v>38.449595522635803</v>
      </c>
      <c r="BY49" s="162">
        <f>BY48/BY22</f>
        <v>38.449595522635803</v>
      </c>
      <c r="BZ49" s="642">
        <f t="shared" ref="BZ49:CA49" si="1039">BZ48/BZ22</f>
        <v>40.541857843787298</v>
      </c>
      <c r="CA49" s="89">
        <f t="shared" si="1039"/>
        <v>43.823615209988652</v>
      </c>
      <c r="CB49" s="88">
        <f t="shared" ref="CB49:CC49" si="1040">CB48/CB22</f>
        <v>43.903600707755821</v>
      </c>
      <c r="CC49" s="89">
        <f t="shared" si="1040"/>
        <v>44.910589930031549</v>
      </c>
      <c r="CD49" s="88">
        <f t="shared" ref="CD49:CE49" si="1041">CD48/CD22</f>
        <v>44.112177006260673</v>
      </c>
      <c r="CE49" s="89">
        <f t="shared" si="1041"/>
        <v>52.117015316682767</v>
      </c>
      <c r="CF49" s="642">
        <f t="shared" ref="CF49:CG49" si="1042">CF48/CF22</f>
        <v>47.566619206741244</v>
      </c>
      <c r="CG49" s="89">
        <f t="shared" si="1042"/>
        <v>48.938092218258681</v>
      </c>
      <c r="CH49" s="642">
        <f t="shared" ref="CH49:CI49" si="1043">CH48/CH22</f>
        <v>39.081278903796743</v>
      </c>
      <c r="CI49" s="642">
        <f t="shared" si="1043"/>
        <v>46.85709027996225</v>
      </c>
      <c r="CJ49" s="642">
        <f t="shared" ref="CJ49:CK49" si="1044">CJ48/CJ22</f>
        <v>53.811207128446533</v>
      </c>
      <c r="CK49" s="642">
        <f t="shared" si="1044"/>
        <v>53.860165542611888</v>
      </c>
      <c r="CL49" s="143">
        <f>CL48/CL22</f>
        <v>46.482366052653703</v>
      </c>
      <c r="CM49" s="162">
        <f>CM48/CM22</f>
        <v>46.482366052653703</v>
      </c>
      <c r="CN49" s="642">
        <f t="shared" ref="CN49:CO49" si="1045">CN48/CN22</f>
        <v>47.354446773469078</v>
      </c>
      <c r="CO49" s="89">
        <f t="shared" si="1045"/>
        <v>44.764912354508489</v>
      </c>
      <c r="CP49" s="88">
        <f t="shared" ref="CP49:CQ49" si="1046">CP48/CP22</f>
        <v>43.649801067442986</v>
      </c>
      <c r="CQ49" s="89">
        <f t="shared" si="1046"/>
        <v>46.795800081710475</v>
      </c>
      <c r="CR49" s="88">
        <f t="shared" ref="CR49:CS49" si="1047">CR48/CR22</f>
        <v>52.599493482923613</v>
      </c>
      <c r="CS49" s="89">
        <f t="shared" si="1047"/>
        <v>52.290948290104076</v>
      </c>
      <c r="CT49" s="222">
        <f t="shared" ref="CT49:CU49" si="1048">CT48/CT22</f>
        <v>42.092769385699903</v>
      </c>
      <c r="CU49" s="89">
        <f t="shared" si="1048"/>
        <v>56.78474939246658</v>
      </c>
      <c r="CV49" s="642">
        <f t="shared" ref="CV49:CW49" si="1049">CV48/CV22</f>
        <v>56.512062773014073</v>
      </c>
      <c r="CW49" s="1078">
        <f t="shared" si="1049"/>
        <v>64.85097790585975</v>
      </c>
      <c r="CX49" s="642">
        <f t="shared" ref="CX49:CY49" si="1050">CX48/CX22</f>
        <v>64.217366197183097</v>
      </c>
      <c r="CY49" s="89">
        <f t="shared" si="1050"/>
        <v>64.477084245076583</v>
      </c>
      <c r="CZ49" s="143">
        <f>CZ48/CZ22</f>
        <v>52.372871648904479</v>
      </c>
      <c r="DA49" s="162">
        <f>DA48/DA22</f>
        <v>52.372871648904479</v>
      </c>
      <c r="DB49" s="642">
        <f t="shared" ref="DB49:DC49" si="1051">DB48/DB22</f>
        <v>65.554007476635519</v>
      </c>
      <c r="DC49" s="89">
        <f t="shared" si="1051"/>
        <v>59.200106259339186</v>
      </c>
      <c r="DD49" s="88">
        <f t="shared" ref="DD49:DE49" si="1052">DD48/DD22</f>
        <v>69.808054418985279</v>
      </c>
      <c r="DE49" s="89">
        <f t="shared" si="1052"/>
        <v>62.186054227613276</v>
      </c>
      <c r="DF49" s="88">
        <f t="shared" ref="DF49:DG49" si="1053">DF48/DF22</f>
        <v>70.712440464074902</v>
      </c>
      <c r="DG49" s="89">
        <f t="shared" si="1053"/>
        <v>75.337243337702063</v>
      </c>
      <c r="DH49" s="222">
        <f t="shared" ref="DH49:DI49" si="1054">DH48/DH22</f>
        <v>56.537362310211371</v>
      </c>
      <c r="DI49" s="89">
        <f t="shared" si="1054"/>
        <v>60.672750039625932</v>
      </c>
      <c r="DJ49" s="642">
        <f t="shared" ref="DJ49:DK49" si="1055">DJ48/DJ22</f>
        <v>64.759733732734233</v>
      </c>
      <c r="DK49" s="89">
        <f t="shared" si="1055"/>
        <v>57.063871234690495</v>
      </c>
      <c r="DL49" s="642"/>
      <c r="DM49" s="89"/>
      <c r="DN49" s="143">
        <f>DN48/DN22</f>
        <v>63.539950031894534</v>
      </c>
      <c r="DO49" s="162">
        <f>DO48/DO22</f>
        <v>63.539950031894534</v>
      </c>
      <c r="DP49" s="642"/>
      <c r="DQ49" s="89"/>
      <c r="DR49" s="88"/>
      <c r="DS49" s="89"/>
      <c r="DT49" s="88"/>
      <c r="DU49" s="89"/>
      <c r="DV49" s="222"/>
      <c r="DW49" s="89"/>
      <c r="DX49" s="642"/>
      <c r="DY49" s="89"/>
      <c r="DZ49" s="642"/>
      <c r="EA49" s="89"/>
      <c r="EB49" s="143" t="e">
        <f>EB48/EB22</f>
        <v>#DIV/0!</v>
      </c>
      <c r="EC49" s="162" t="e">
        <f>EC48/EC22</f>
        <v>#DIV/0!</v>
      </c>
      <c r="ED49" s="680">
        <f t="shared" si="839"/>
        <v>-12.367404990419082</v>
      </c>
      <c r="EE49" s="663">
        <f t="shared" si="840"/>
        <v>-0.22739939921894733</v>
      </c>
      <c r="EF49" s="680">
        <f t="shared" si="841"/>
        <v>1.5853489791482787</v>
      </c>
      <c r="EG49" s="663">
        <f t="shared" si="842"/>
        <v>3.7729457968706435E-2</v>
      </c>
      <c r="EH49" s="680">
        <f t="shared" si="843"/>
        <v>-4.1008631621020868</v>
      </c>
      <c r="EI49" s="663">
        <f t="shared" si="844"/>
        <v>-9.4047406021554092E-2</v>
      </c>
      <c r="EJ49" s="680">
        <f t="shared" si="845"/>
        <v>-16.719889426117486</v>
      </c>
      <c r="EK49" s="663">
        <f t="shared" si="846"/>
        <v>-0.42325244123418482</v>
      </c>
      <c r="EL49" s="680">
        <f t="shared" si="847"/>
        <v>12.072755061061951</v>
      </c>
      <c r="EM49" s="663">
        <f t="shared" si="848"/>
        <v>0.52989118552041647</v>
      </c>
      <c r="EN49" s="680">
        <f t="shared" si="849"/>
        <v>11.12022267965159</v>
      </c>
      <c r="EO49" s="663">
        <f t="shared" si="850"/>
        <v>0.31903126602917709</v>
      </c>
      <c r="EP49" s="680">
        <f t="shared" si="851"/>
        <v>-10.342544507233271</v>
      </c>
      <c r="EQ49" s="663">
        <f t="shared" si="852"/>
        <v>-0.22495314627065052</v>
      </c>
      <c r="ER49" s="680">
        <f t="shared" si="853"/>
        <v>17.398322047760978</v>
      </c>
      <c r="ES49" s="663">
        <f t="shared" si="854"/>
        <v>0.48825205644128811</v>
      </c>
      <c r="ET49" s="680">
        <f t="shared" si="855"/>
        <v>-4.9678652338232823</v>
      </c>
      <c r="EU49" s="663">
        <f t="shared" si="856"/>
        <v>-9.3676365039854784E-2</v>
      </c>
      <c r="EV49" s="680">
        <f t="shared" si="857"/>
        <v>3.1862118250104174</v>
      </c>
      <c r="EW49" s="109">
        <f t="shared" si="858"/>
        <v>6.6290541074566792E-2</v>
      </c>
      <c r="EX49" s="680">
        <f t="shared" si="859"/>
        <v>-8.2154808915799222</v>
      </c>
      <c r="EY49" s="663">
        <f t="shared" si="860"/>
        <v>-0.16030030620001778</v>
      </c>
      <c r="EZ49" s="680">
        <f t="shared" si="861"/>
        <v>6.2879196114825149</v>
      </c>
      <c r="FA49" s="663">
        <f t="shared" si="862"/>
        <v>0.14611148275347152</v>
      </c>
      <c r="FB49" s="680">
        <f t="shared" si="863"/>
        <v>-10.358544278781949</v>
      </c>
      <c r="FC49" s="663">
        <f t="shared" si="864"/>
        <v>-0.21001447566861181</v>
      </c>
      <c r="FD49" s="327">
        <f t="shared" si="865"/>
        <v>4.7730107886784552</v>
      </c>
      <c r="FE49" s="402">
        <f t="shared" si="866"/>
        <v>0.12249652992821487</v>
      </c>
      <c r="FF49" s="327">
        <f t="shared" si="867"/>
        <v>-2.9929998602431169</v>
      </c>
      <c r="FG49" s="402">
        <f t="shared" si="868"/>
        <v>-6.8431027282289392E-2</v>
      </c>
      <c r="FH49" s="327">
        <f t="shared" si="869"/>
        <v>-19.52513016301921</v>
      </c>
      <c r="FI49" s="402">
        <f t="shared" si="870"/>
        <v>-0.47920935269358461</v>
      </c>
      <c r="FJ49" s="327">
        <f t="shared" si="871"/>
        <v>24.1798310114897</v>
      </c>
      <c r="FK49" s="402">
        <f t="shared" si="872"/>
        <v>1.1395186378245992</v>
      </c>
      <c r="FL49" s="327">
        <f t="shared" si="873"/>
        <v>-1.4264205174968652</v>
      </c>
      <c r="FM49" s="402">
        <f t="shared" si="874"/>
        <v>-3.1419529297870806E-2</v>
      </c>
      <c r="FN49" s="327">
        <f t="shared" si="875"/>
        <v>-8.9122890591184927</v>
      </c>
      <c r="FO49" s="402">
        <f t="shared" si="876"/>
        <v>-0.20267755339426743</v>
      </c>
      <c r="FP49" s="327">
        <f t="shared" si="877"/>
        <v>13.151555650119782</v>
      </c>
      <c r="FQ49" s="402">
        <f t="shared" si="878"/>
        <v>0.37511076301344487</v>
      </c>
      <c r="FR49" s="327">
        <f t="shared" si="879"/>
        <v>-6.1779397976151103</v>
      </c>
      <c r="FS49" s="402">
        <f t="shared" si="880"/>
        <v>-0.12814108268284677</v>
      </c>
      <c r="FT49" s="327">
        <f t="shared" si="881"/>
        <v>-6.4346483006724142</v>
      </c>
      <c r="FU49" s="402">
        <f t="shared" si="882"/>
        <v>-0.15308171460996287</v>
      </c>
      <c r="FV49" s="327">
        <f t="shared" si="883"/>
        <v>9.4704701990452236</v>
      </c>
      <c r="FW49" s="402">
        <f t="shared" si="884"/>
        <v>0.26602872655840987</v>
      </c>
      <c r="FX49" s="327">
        <f t="shared" si="885"/>
        <v>-5.0330009961571704</v>
      </c>
      <c r="FY49" s="402">
        <f t="shared" si="886"/>
        <v>-0.11167101152574783</v>
      </c>
      <c r="FZ49" s="327">
        <f t="shared" si="887"/>
        <v>0.50496176108870827</v>
      </c>
      <c r="GA49" s="402">
        <f t="shared" si="888"/>
        <v>1.2612410313868481E-2</v>
      </c>
      <c r="GB49" s="327">
        <f t="shared" si="889"/>
        <v>3.2817573662013544</v>
      </c>
      <c r="GC49" s="402">
        <f t="shared" si="890"/>
        <v>8.0947384770731629E-2</v>
      </c>
      <c r="GD49" s="327">
        <f t="shared" si="891"/>
        <v>7.9985497767168567E-2</v>
      </c>
      <c r="GE49" s="402">
        <f t="shared" si="892"/>
        <v>1.8251688589337922E-3</v>
      </c>
      <c r="GF49" s="327">
        <f t="shared" si="893"/>
        <v>1.0069892222757275</v>
      </c>
      <c r="GG49" s="402">
        <f t="shared" si="894"/>
        <v>2.29363698202967E-2</v>
      </c>
      <c r="GH49" s="327">
        <f t="shared" si="895"/>
        <v>-0.79841292377087569</v>
      </c>
      <c r="GI49" s="402">
        <f t="shared" si="896"/>
        <v>-1.7777832021684932E-2</v>
      </c>
      <c r="GJ49" s="327">
        <f t="shared" si="897"/>
        <v>8.0048383104220946</v>
      </c>
      <c r="GK49" s="402">
        <f t="shared" si="898"/>
        <v>0.18146550122171479</v>
      </c>
      <c r="GL49" s="327">
        <f t="shared" si="899"/>
        <v>-4.5503961099415235</v>
      </c>
      <c r="GM49" s="402">
        <f t="shared" si="900"/>
        <v>-8.7311141712386825E-2</v>
      </c>
      <c r="GN49" s="327">
        <f t="shared" si="901"/>
        <v>1.3714730115174376</v>
      </c>
      <c r="GO49" s="402">
        <f t="shared" si="902"/>
        <v>2.883267792391412E-2</v>
      </c>
      <c r="GP49" s="327">
        <f t="shared" si="903"/>
        <v>-9.8568133144619381</v>
      </c>
      <c r="GQ49" s="402">
        <f t="shared" si="904"/>
        <v>-0.20141392660959484</v>
      </c>
      <c r="GR49" s="327">
        <f t="shared" si="905"/>
        <v>7.7758113761655068</v>
      </c>
      <c r="GS49" s="402">
        <f t="shared" si="906"/>
        <v>0.19896512075018322</v>
      </c>
      <c r="GT49" s="327">
        <f t="shared" si="907"/>
        <v>6.9541168484842828</v>
      </c>
      <c r="GU49" s="402">
        <f t="shared" si="908"/>
        <v>0.14841119683136</v>
      </c>
      <c r="GV49" s="327">
        <f t="shared" si="909"/>
        <v>4.895841416535518E-2</v>
      </c>
      <c r="GW49" s="402">
        <f t="shared" si="910"/>
        <v>9.098181731640435E-4</v>
      </c>
      <c r="GX49" s="327">
        <f t="shared" si="911"/>
        <v>-6.5057187691428098</v>
      </c>
      <c r="GY49" s="402">
        <f t="shared" si="912"/>
        <v>-0.1207890600335374</v>
      </c>
      <c r="GZ49" s="327">
        <f t="shared" si="913"/>
        <v>-2.5895344189605893</v>
      </c>
      <c r="HA49" s="402">
        <f t="shared" si="914"/>
        <v>-5.468408133555492E-2</v>
      </c>
      <c r="HB49" s="327">
        <f t="shared" si="915"/>
        <v>-1.1151112870655027</v>
      </c>
      <c r="HC49" s="402">
        <f t="shared" si="916"/>
        <v>-2.4910386917203344E-2</v>
      </c>
      <c r="HD49" s="327">
        <f t="shared" si="917"/>
        <v>3.1459990142674883</v>
      </c>
      <c r="HE49" s="402">
        <f t="shared" si="918"/>
        <v>7.2073616312858524E-2</v>
      </c>
      <c r="HF49" s="327">
        <f t="shared" si="919"/>
        <v>5.8036934012131383</v>
      </c>
      <c r="HG49" s="402">
        <f t="shared" si="920"/>
        <v>0.12402167269454242</v>
      </c>
      <c r="HH49" s="327">
        <f t="shared" si="921"/>
        <v>-0.30854519281953685</v>
      </c>
      <c r="HI49" s="402">
        <f t="shared" si="922"/>
        <v>-5.8659346771030374E-3</v>
      </c>
      <c r="HJ49" s="327">
        <f t="shared" si="923"/>
        <v>-10.198178904404173</v>
      </c>
      <c r="HK49" s="402">
        <f t="shared" si="924"/>
        <v>-0.19502761448933509</v>
      </c>
      <c r="HL49" s="327">
        <f t="shared" si="925"/>
        <v>14.691980006766677</v>
      </c>
      <c r="HM49" s="402">
        <f t="shared" si="926"/>
        <v>0.34903809421857512</v>
      </c>
      <c r="HN49" s="327">
        <f t="shared" si="927"/>
        <v>-0.27268661945250727</v>
      </c>
      <c r="HO49" s="402">
        <f t="shared" si="928"/>
        <v>-4.8021101153029582E-3</v>
      </c>
      <c r="HP49" s="327">
        <f t="shared" si="929"/>
        <v>8.3389151328456776</v>
      </c>
      <c r="HQ49" s="402">
        <f t="shared" si="930"/>
        <v>0.14755991417867192</v>
      </c>
      <c r="HR49" s="327">
        <f t="shared" si="931"/>
        <v>-0.63361170867665351</v>
      </c>
      <c r="HS49" s="402">
        <f t="shared" si="932"/>
        <v>-9.7702722323852915E-3</v>
      </c>
      <c r="HT49" s="327">
        <f t="shared" si="933"/>
        <v>0.25971804789348596</v>
      </c>
      <c r="HU49" s="402">
        <f t="shared" si="934"/>
        <v>4.0443584543160306E-3</v>
      </c>
      <c r="HV49" s="327">
        <f t="shared" si="935"/>
        <v>1.0769232315589363</v>
      </c>
      <c r="HW49" s="402">
        <f t="shared" si="936"/>
        <v>1.6702418295864073E-2</v>
      </c>
      <c r="HX49" s="327">
        <f t="shared" si="937"/>
        <v>-6.3539012172963325</v>
      </c>
      <c r="HY49" s="402">
        <f t="shared" si="938"/>
        <v>-9.6926205763407575E-2</v>
      </c>
      <c r="HZ49" s="327">
        <f t="shared" si="939"/>
        <v>10.607948159646092</v>
      </c>
      <c r="IA49" s="402">
        <f t="shared" si="940"/>
        <v>0.15195879971066939</v>
      </c>
      <c r="IB49" s="327">
        <f t="shared" si="941"/>
        <v>-7.6220001913720026</v>
      </c>
      <c r="IC49" s="402">
        <f t="shared" si="942"/>
        <v>-0.10918511129998049</v>
      </c>
      <c r="ID49" s="327">
        <f t="shared" si="943"/>
        <v>8.5263862364616259</v>
      </c>
      <c r="IE49" s="402">
        <f t="shared" si="944"/>
        <v>0.13418937585222712</v>
      </c>
      <c r="IF49" s="327">
        <f t="shared" si="945"/>
        <v>4.6248028736271607</v>
      </c>
      <c r="IG49" s="402">
        <f t="shared" si="946"/>
        <v>6.5402959412449752E-2</v>
      </c>
      <c r="IH49" s="327">
        <f t="shared" si="947"/>
        <v>-18.799881027490692</v>
      </c>
      <c r="II49" s="402">
        <f t="shared" si="948"/>
        <v>-0.24954299088459486</v>
      </c>
      <c r="IJ49" s="327">
        <f t="shared" si="949"/>
        <v>4.1353877294145605</v>
      </c>
      <c r="IK49" s="402">
        <f t="shared" si="950"/>
        <v>7.3144334302763472E-2</v>
      </c>
      <c r="IL49" s="327">
        <f t="shared" si="951"/>
        <v>4.0869836931083015</v>
      </c>
      <c r="IM49" s="402">
        <f t="shared" si="952"/>
        <v>6.7361108412574922E-2</v>
      </c>
      <c r="IN49" s="327">
        <f t="shared" si="953"/>
        <v>-7.6958624980437378</v>
      </c>
      <c r="IO49" s="402">
        <f t="shared" si="954"/>
        <v>-0.11883715473267449</v>
      </c>
      <c r="IP49" s="327">
        <f t="shared" si="955"/>
        <v>-57.063871234690495</v>
      </c>
      <c r="IQ49" s="402">
        <f t="shared" si="956"/>
        <v>606.75646090241355</v>
      </c>
      <c r="IR49" s="327">
        <f t="shared" si="957"/>
        <v>16.296636984883303</v>
      </c>
      <c r="IS49" s="402">
        <f t="shared" si="958"/>
        <v>-0.97468569136748973</v>
      </c>
      <c r="IT49" s="642">
        <f t="shared" si="959"/>
        <v>64.85097790585975</v>
      </c>
      <c r="IU49" s="1078">
        <f t="shared" si="960"/>
        <v>57.063871234690495</v>
      </c>
      <c r="IV49" s="706">
        <f>IU49-IT49</f>
        <v>-7.7871066711692549</v>
      </c>
      <c r="IW49" s="114">
        <f t="shared" si="961"/>
        <v>-0.12007693519245503</v>
      </c>
      <c r="IX49" s="698"/>
      <c r="IY49" s="698"/>
      <c r="IZ49" s="698"/>
      <c r="JA49" s="87" t="str">
        <f t="shared" si="962"/>
        <v>Service Center Costs Per Ticket</v>
      </c>
      <c r="JB49" s="294" t="e">
        <f>#REF!</f>
        <v>#REF!</v>
      </c>
      <c r="JC49" s="294" t="e">
        <f>#REF!</f>
        <v>#REF!</v>
      </c>
      <c r="JD49" s="294" t="e">
        <f>#REF!</f>
        <v>#REF!</v>
      </c>
      <c r="JE49" s="294" t="e">
        <f>#REF!</f>
        <v>#REF!</v>
      </c>
      <c r="JF49" s="294" t="e">
        <f>#REF!</f>
        <v>#REF!</v>
      </c>
      <c r="JG49" s="294" t="e">
        <f>#REF!</f>
        <v>#REF!</v>
      </c>
      <c r="JH49" s="294" t="e">
        <f>#REF!</f>
        <v>#REF!</v>
      </c>
      <c r="JI49" s="294" t="e">
        <f>#REF!</f>
        <v>#REF!</v>
      </c>
      <c r="JJ49" s="294" t="e">
        <f>#REF!</f>
        <v>#REF!</v>
      </c>
      <c r="JK49" s="294" t="e">
        <f>#REF!</f>
        <v>#REF!</v>
      </c>
      <c r="JL49" s="294" t="e">
        <f>#REF!</f>
        <v>#REF!</v>
      </c>
      <c r="JM49" s="295">
        <f t="shared" si="963"/>
        <v>43.265963356973991</v>
      </c>
      <c r="JN49" s="295">
        <f t="shared" si="963"/>
        <v>40.006065620952647</v>
      </c>
      <c r="JO49" s="295">
        <f t="shared" si="963"/>
        <v>53.277193638914881</v>
      </c>
      <c r="JP49" s="295">
        <f t="shared" si="963"/>
        <v>33.583963468309861</v>
      </c>
      <c r="JQ49" s="295">
        <f t="shared" si="963"/>
        <v>47.840799163852708</v>
      </c>
      <c r="JR49" s="295">
        <f t="shared" si="963"/>
        <v>53.898932584269666</v>
      </c>
      <c r="JS49" s="295">
        <f t="shared" si="963"/>
        <v>45.301547425474254</v>
      </c>
      <c r="JT49" s="295">
        <f t="shared" si="963"/>
        <v>51.637844827586207</v>
      </c>
      <c r="JU49" s="295">
        <f t="shared" si="963"/>
        <v>49.989050830728736</v>
      </c>
      <c r="JV49" s="295">
        <f t="shared" si="963"/>
        <v>45.174164524421592</v>
      </c>
      <c r="JW49" s="295">
        <f t="shared" si="963"/>
        <v>36.597701190905809</v>
      </c>
      <c r="JX49" s="295">
        <f t="shared" si="963"/>
        <v>54.386269413629158</v>
      </c>
      <c r="JY49" s="295">
        <f t="shared" si="964"/>
        <v>42.018864423210076</v>
      </c>
      <c r="JZ49" s="295">
        <f t="shared" si="964"/>
        <v>43.604213402358354</v>
      </c>
      <c r="KA49" s="295">
        <f t="shared" si="964"/>
        <v>39.503350240256268</v>
      </c>
      <c r="KB49" s="295">
        <f t="shared" si="964"/>
        <v>22.783460814138781</v>
      </c>
      <c r="KC49" s="295">
        <f t="shared" si="964"/>
        <v>34.856215875200732</v>
      </c>
      <c r="KD49" s="295">
        <f t="shared" si="964"/>
        <v>45.976438554852322</v>
      </c>
      <c r="KE49" s="295">
        <f t="shared" si="964"/>
        <v>35.633894047619052</v>
      </c>
      <c r="KF49" s="295">
        <f t="shared" si="964"/>
        <v>53.032216095380029</v>
      </c>
      <c r="KG49" s="295">
        <f t="shared" si="964"/>
        <v>48.064350861556747</v>
      </c>
      <c r="KH49" s="295">
        <f t="shared" si="964"/>
        <v>51.250562686567164</v>
      </c>
      <c r="KI49" s="295">
        <f t="shared" si="964"/>
        <v>43.035081794987242</v>
      </c>
      <c r="KJ49" s="295">
        <f t="shared" si="964"/>
        <v>49.323001406469757</v>
      </c>
      <c r="KK49" s="804">
        <f t="shared" si="965"/>
        <v>38.964457127687808</v>
      </c>
      <c r="KL49" s="804">
        <f t="shared" si="965"/>
        <v>43.737467916366263</v>
      </c>
      <c r="KM49" s="804">
        <f t="shared" si="965"/>
        <v>40.744468056123146</v>
      </c>
      <c r="KN49" s="804">
        <f t="shared" si="965"/>
        <v>21.219337893103937</v>
      </c>
      <c r="KO49" s="804">
        <f t="shared" si="965"/>
        <v>45.399168904593637</v>
      </c>
      <c r="KP49" s="804">
        <f t="shared" si="965"/>
        <v>43.972748387096772</v>
      </c>
      <c r="KQ49" s="804">
        <f t="shared" si="965"/>
        <v>35.060459327978279</v>
      </c>
      <c r="KR49" s="804">
        <f t="shared" si="965"/>
        <v>48.212014978098061</v>
      </c>
      <c r="KS49" s="804">
        <f t="shared" si="965"/>
        <v>42.034075180482951</v>
      </c>
      <c r="KT49" s="804">
        <f t="shared" si="965"/>
        <v>35.599426879810537</v>
      </c>
      <c r="KU49" s="804">
        <f t="shared" si="965"/>
        <v>45.06989707885576</v>
      </c>
      <c r="KV49" s="804">
        <f t="shared" si="965"/>
        <v>40.03689608269859</v>
      </c>
      <c r="KW49" s="916">
        <f t="shared" si="966"/>
        <v>40.541857843787298</v>
      </c>
      <c r="KX49" s="916">
        <f t="shared" si="966"/>
        <v>43.823615209988652</v>
      </c>
      <c r="KY49" s="916">
        <f t="shared" si="966"/>
        <v>43.903600707755821</v>
      </c>
      <c r="KZ49" s="916">
        <f t="shared" si="966"/>
        <v>44.910589930031549</v>
      </c>
      <c r="LA49" s="916">
        <f t="shared" si="966"/>
        <v>44.112177006260673</v>
      </c>
      <c r="LB49" s="916">
        <f t="shared" si="966"/>
        <v>52.117015316682767</v>
      </c>
      <c r="LC49" s="916">
        <f t="shared" si="966"/>
        <v>47.566619206741244</v>
      </c>
      <c r="LD49" s="916">
        <f t="shared" si="966"/>
        <v>48.938092218258681</v>
      </c>
      <c r="LE49" s="916">
        <f t="shared" si="966"/>
        <v>39.081278903796743</v>
      </c>
      <c r="LF49" s="916">
        <f t="shared" si="966"/>
        <v>46.85709027996225</v>
      </c>
      <c r="LG49" s="916">
        <f t="shared" si="966"/>
        <v>53.811207128446533</v>
      </c>
      <c r="LH49" s="916">
        <f t="shared" si="966"/>
        <v>53.860165542611888</v>
      </c>
      <c r="LI49" s="975">
        <f t="shared" si="967"/>
        <v>47.354446773469078</v>
      </c>
      <c r="LJ49" s="975">
        <f t="shared" si="967"/>
        <v>44.764912354508489</v>
      </c>
      <c r="LK49" s="975">
        <f t="shared" si="967"/>
        <v>43.649801067442986</v>
      </c>
      <c r="LL49" s="975">
        <f t="shared" si="967"/>
        <v>46.795800081710475</v>
      </c>
      <c r="LM49" s="975">
        <f t="shared" si="967"/>
        <v>52.599493482923613</v>
      </c>
      <c r="LN49" s="975">
        <f t="shared" si="967"/>
        <v>52.290948290104076</v>
      </c>
      <c r="LO49" s="975">
        <f t="shared" si="967"/>
        <v>42.092769385699903</v>
      </c>
      <c r="LP49" s="975">
        <f t="shared" si="967"/>
        <v>56.78474939246658</v>
      </c>
      <c r="LQ49" s="975">
        <f t="shared" si="967"/>
        <v>56.512062773014073</v>
      </c>
      <c r="LR49" s="975">
        <f t="shared" si="967"/>
        <v>64.85097790585975</v>
      </c>
      <c r="LS49" s="975">
        <f t="shared" si="967"/>
        <v>64.217366197183097</v>
      </c>
      <c r="LT49" s="975">
        <f t="shared" si="967"/>
        <v>64.477084245076583</v>
      </c>
      <c r="LU49" s="1171">
        <f t="shared" si="968"/>
        <v>65.554007476635519</v>
      </c>
      <c r="LV49" s="1171">
        <f t="shared" si="968"/>
        <v>59.200106259339186</v>
      </c>
      <c r="LW49" s="1171">
        <f t="shared" si="968"/>
        <v>69.808054418985279</v>
      </c>
      <c r="LX49" s="1171">
        <f t="shared" si="968"/>
        <v>62.186054227613276</v>
      </c>
      <c r="LY49" s="1171">
        <f t="shared" si="968"/>
        <v>70.712440464074902</v>
      </c>
      <c r="LZ49" s="1171">
        <f t="shared" si="968"/>
        <v>75.337243337702063</v>
      </c>
      <c r="MA49" s="1171">
        <f t="shared" si="968"/>
        <v>56.537362310211371</v>
      </c>
      <c r="MB49" s="1171">
        <f t="shared" si="968"/>
        <v>60.672750039625932</v>
      </c>
      <c r="MC49" s="1171">
        <f t="shared" si="968"/>
        <v>64.759733732734233</v>
      </c>
      <c r="MD49" s="1171">
        <f t="shared" si="968"/>
        <v>57.063871234690495</v>
      </c>
      <c r="ME49" s="1171">
        <f t="shared" si="968"/>
        <v>0</v>
      </c>
      <c r="MF49" s="1171">
        <f t="shared" si="968"/>
        <v>0</v>
      </c>
      <c r="MG49" s="1193">
        <f t="shared" si="969"/>
        <v>0</v>
      </c>
      <c r="MH49" s="1193">
        <f t="shared" si="969"/>
        <v>0</v>
      </c>
      <c r="MI49" s="1193">
        <f t="shared" si="969"/>
        <v>0</v>
      </c>
      <c r="MJ49" s="1193">
        <f t="shared" si="969"/>
        <v>0</v>
      </c>
      <c r="MK49" s="1193">
        <f t="shared" si="969"/>
        <v>0</v>
      </c>
      <c r="ML49" s="1193">
        <f t="shared" si="969"/>
        <v>0</v>
      </c>
      <c r="MM49" s="1193">
        <f t="shared" si="969"/>
        <v>0</v>
      </c>
      <c r="MN49" s="1193">
        <f t="shared" si="969"/>
        <v>0</v>
      </c>
      <c r="MO49" s="1193">
        <f t="shared" si="969"/>
        <v>0</v>
      </c>
      <c r="MP49" s="1193">
        <f t="shared" si="969"/>
        <v>0</v>
      </c>
      <c r="MQ49" s="1193">
        <f t="shared" si="970"/>
        <v>0</v>
      </c>
      <c r="MR49" s="1193">
        <f t="shared" si="970"/>
        <v>0</v>
      </c>
    </row>
    <row r="50" spans="1:356" s="1" customFormat="1" ht="15.75" thickBot="1" x14ac:dyDescent="0.3">
      <c r="A50" s="765"/>
      <c r="B50" s="57">
        <v>7.6</v>
      </c>
      <c r="C50" s="4"/>
      <c r="D50" s="448"/>
      <c r="E50" s="1219" t="s">
        <v>93</v>
      </c>
      <c r="F50" s="1219"/>
      <c r="G50" s="1220"/>
      <c r="H50" s="383">
        <v>0.41818684290166169</v>
      </c>
      <c r="I50" s="188">
        <v>0.35095058676739438</v>
      </c>
      <c r="J50" s="189">
        <v>0.25429583261482458</v>
      </c>
      <c r="K50" s="188">
        <v>0.35817185351939257</v>
      </c>
      <c r="L50" s="189">
        <v>0.34175574713546847</v>
      </c>
      <c r="M50" s="188">
        <v>9.2142359943703761E-2</v>
      </c>
      <c r="N50" s="189">
        <v>0.36330657093622082</v>
      </c>
      <c r="O50" s="188">
        <v>0.34150423640148381</v>
      </c>
      <c r="P50" s="189">
        <v>0.35445295119569187</v>
      </c>
      <c r="Q50" s="188">
        <v>0.41442580326762452</v>
      </c>
      <c r="R50" s="189">
        <v>0.42510625665701318</v>
      </c>
      <c r="S50" s="188">
        <v>0.28894199958398931</v>
      </c>
      <c r="T50" s="144">
        <v>0.28239630552109057</v>
      </c>
      <c r="U50" s="159">
        <v>0.28239630552109052</v>
      </c>
      <c r="V50" s="383">
        <f t="shared" ref="V50:Y50" si="1056">V48/V45</f>
        <v>0.36401053048971238</v>
      </c>
      <c r="W50" s="188">
        <f t="shared" si="1056"/>
        <v>0.38015061192897082</v>
      </c>
      <c r="X50" s="189">
        <f t="shared" si="1056"/>
        <v>0.33838657078358619</v>
      </c>
      <c r="Y50" s="188">
        <f t="shared" si="1056"/>
        <v>0.39103823051721381</v>
      </c>
      <c r="Z50" s="189">
        <v>0.29995518940444288</v>
      </c>
      <c r="AA50" s="188">
        <v>0.10385482887893624</v>
      </c>
      <c r="AB50" s="189">
        <v>0.36375860564233709</v>
      </c>
      <c r="AC50" s="188">
        <v>0.37056793116420289</v>
      </c>
      <c r="AD50" s="189">
        <v>0.35144571861679758</v>
      </c>
      <c r="AE50" s="188">
        <v>0.37908487277865538</v>
      </c>
      <c r="AF50" s="189">
        <v>0.35104481693631656</v>
      </c>
      <c r="AG50" s="188">
        <v>0.52146147674305698</v>
      </c>
      <c r="AH50" s="144">
        <v>0.31761249818144038</v>
      </c>
      <c r="AI50" s="191">
        <v>0.31761249818144033</v>
      </c>
      <c r="AJ50" s="383">
        <f t="shared" ref="AJ50" si="1057">AJ48/AJ45</f>
        <v>0.34749772691299174</v>
      </c>
      <c r="AK50" s="188">
        <f t="shared" ref="AK50:AP50" si="1058">AK48/AK45</f>
        <v>0.38162622581033506</v>
      </c>
      <c r="AL50" s="189">
        <f t="shared" si="1058"/>
        <v>0.38120443324751174</v>
      </c>
      <c r="AM50" s="188">
        <f t="shared" si="1058"/>
        <v>0.41376357709130496</v>
      </c>
      <c r="AN50" s="189">
        <f t="shared" si="1058"/>
        <v>0.41007331280949383</v>
      </c>
      <c r="AO50" s="618">
        <f t="shared" si="1058"/>
        <v>0.1090027964615671</v>
      </c>
      <c r="AP50" s="633">
        <f t="shared" si="1058"/>
        <v>0.44854634205400062</v>
      </c>
      <c r="AQ50" s="618">
        <f t="shared" ref="AQ50:AW50" si="1059">AQ48/AQ45</f>
        <v>0.44414391013359522</v>
      </c>
      <c r="AR50" s="633">
        <f t="shared" si="1059"/>
        <v>0.39290583624576592</v>
      </c>
      <c r="AS50" s="618">
        <f t="shared" si="1059"/>
        <v>0.40433458044897463</v>
      </c>
      <c r="AT50" s="633">
        <f t="shared" si="1059"/>
        <v>0.39696153846555315</v>
      </c>
      <c r="AU50" s="618">
        <f t="shared" si="1059"/>
        <v>0.43682233655593361</v>
      </c>
      <c r="AV50" s="144">
        <f t="shared" si="1059"/>
        <v>0.33242937951128659</v>
      </c>
      <c r="AW50" s="191">
        <f t="shared" si="1059"/>
        <v>0.33242937951128659</v>
      </c>
      <c r="AX50" s="383">
        <f t="shared" ref="AX50:BC50" si="1060">AX48/AX45</f>
        <v>0.37469381055344114</v>
      </c>
      <c r="AY50" s="188">
        <f t="shared" si="1060"/>
        <v>0.36404995239386395</v>
      </c>
      <c r="AZ50" s="189">
        <f t="shared" si="1060"/>
        <v>0.39818682100942093</v>
      </c>
      <c r="BA50" s="188">
        <f t="shared" si="1060"/>
        <v>0.29480296428057762</v>
      </c>
      <c r="BB50" s="189">
        <f t="shared" si="1060"/>
        <v>0.34871368400754271</v>
      </c>
      <c r="BC50" s="618">
        <f t="shared" si="1060"/>
        <v>0.37168217445385709</v>
      </c>
      <c r="BD50" s="633">
        <f t="shared" ref="BD50:BK50" si="1061">BD48/BD45</f>
        <v>0.12839379839573162</v>
      </c>
      <c r="BE50" s="618">
        <f t="shared" si="1061"/>
        <v>0.37939499744213473</v>
      </c>
      <c r="BF50" s="633">
        <f t="shared" si="1061"/>
        <v>0.35122615916502953</v>
      </c>
      <c r="BG50" s="618">
        <f t="shared" si="1061"/>
        <v>0.42969549911936383</v>
      </c>
      <c r="BH50" s="633">
        <f t="shared" si="1061"/>
        <v>0.23592673769166653</v>
      </c>
      <c r="BI50" s="618">
        <f t="shared" si="1061"/>
        <v>0.29479459350006015</v>
      </c>
      <c r="BJ50" s="144">
        <f t="shared" si="1061"/>
        <v>0.30253884530149555</v>
      </c>
      <c r="BK50" s="191">
        <f t="shared" si="1061"/>
        <v>0.3025388453014955</v>
      </c>
      <c r="BL50" s="383">
        <f t="shared" ref="BL50:BM50" si="1062">BL48/BL45</f>
        <v>0.35177165543275707</v>
      </c>
      <c r="BM50" s="188">
        <f t="shared" si="1062"/>
        <v>0.36024328327478439</v>
      </c>
      <c r="BN50" s="189">
        <f t="shared" ref="BN50:BO50" si="1063">BN48/BN45</f>
        <v>0.35550300397847495</v>
      </c>
      <c r="BO50" s="188">
        <f t="shared" si="1063"/>
        <v>0.36231537435325778</v>
      </c>
      <c r="BP50" s="189">
        <f t="shared" ref="BP50:BQ50" si="1064">BP48/BP45</f>
        <v>0.37249069799926604</v>
      </c>
      <c r="BQ50" s="618">
        <f t="shared" si="1064"/>
        <v>0.34116868374782694</v>
      </c>
      <c r="BR50" s="633">
        <f t="shared" ref="BR50" si="1065">BR48/BR45</f>
        <v>0.1115973131895532</v>
      </c>
      <c r="BS50" s="618">
        <f t="shared" ref="BS50:BT50" si="1066">BS48/BS45</f>
        <v>0.38171752824395239</v>
      </c>
      <c r="BT50" s="633">
        <f t="shared" si="1066"/>
        <v>0.389465395389967</v>
      </c>
      <c r="BU50" s="633">
        <f t="shared" ref="BU50:BV50" si="1067">BU48/BU45</f>
        <v>0.34060676046681465</v>
      </c>
      <c r="BV50" s="633">
        <f t="shared" si="1067"/>
        <v>0.31898494172056546</v>
      </c>
      <c r="BW50" s="633">
        <f t="shared" ref="BW50" si="1068">BW48/BW45</f>
        <v>0.12629253376281391</v>
      </c>
      <c r="BX50" s="144">
        <f>BX48/BX45</f>
        <v>0.26868603832173082</v>
      </c>
      <c r="BY50" s="191">
        <f t="shared" si="837"/>
        <v>0.31767976429666944</v>
      </c>
      <c r="BZ50" s="633">
        <f t="shared" ref="BZ50:CA50" si="1069">BZ48/BZ45</f>
        <v>0.35798199124050728</v>
      </c>
      <c r="CA50" s="188">
        <f t="shared" si="1069"/>
        <v>0.35009439447202656</v>
      </c>
      <c r="CB50" s="189">
        <f t="shared" ref="CB50:CC50" si="1070">CB48/CB45</f>
        <v>0.33994013462214884</v>
      </c>
      <c r="CC50" s="188">
        <f t="shared" si="1070"/>
        <v>0.32448055977057194</v>
      </c>
      <c r="CD50" s="189">
        <f t="shared" ref="CD50:CE50" si="1071">CD48/CD45</f>
        <v>0.33404561903349567</v>
      </c>
      <c r="CE50" s="618">
        <f t="shared" si="1071"/>
        <v>0.36945939073145784</v>
      </c>
      <c r="CF50" s="633">
        <f t="shared" ref="CF50:CG50" si="1072">CF48/CF45</f>
        <v>0.11228386714602694</v>
      </c>
      <c r="CG50" s="618">
        <f t="shared" si="1072"/>
        <v>0.36966738495900592</v>
      </c>
      <c r="CH50" s="633">
        <f t="shared" ref="CH50:CI50" si="1073">CH48/CH45</f>
        <v>0.30322151536271108</v>
      </c>
      <c r="CI50" s="633">
        <f t="shared" si="1073"/>
        <v>0.42644228818244767</v>
      </c>
      <c r="CJ50" s="633">
        <f t="shared" ref="CJ50:CK50" si="1074">CJ48/CJ45</f>
        <v>0.31651519886082274</v>
      </c>
      <c r="CK50" s="633">
        <f t="shared" si="1074"/>
        <v>0.3411468348179717</v>
      </c>
      <c r="CL50" s="144">
        <f>CL48/CL45</f>
        <v>0.29457684058561423</v>
      </c>
      <c r="CM50" s="191">
        <f t="shared" si="838"/>
        <v>0.32877326493326614</v>
      </c>
      <c r="CN50" s="633">
        <f t="shared" ref="CN50:CO50" si="1075">CN48/CN45</f>
        <v>0.32412800767051542</v>
      </c>
      <c r="CO50" s="188">
        <f t="shared" si="1075"/>
        <v>0.33740128350247461</v>
      </c>
      <c r="CP50" s="189">
        <f t="shared" ref="CP50:CQ50" si="1076">CP48/CP45</f>
        <v>0.28345304343562916</v>
      </c>
      <c r="CQ50" s="188">
        <f t="shared" si="1076"/>
        <v>0.35148824297009063</v>
      </c>
      <c r="CR50" s="189">
        <f t="shared" ref="CR50:CS50" si="1077">CR48/CR45</f>
        <v>0.36962616301237411</v>
      </c>
      <c r="CS50" s="618">
        <f t="shared" si="1077"/>
        <v>0.37110329917386081</v>
      </c>
      <c r="CT50" s="1028">
        <f t="shared" ref="CT50:CU50" si="1078">CT48/CT45</f>
        <v>0.38662676365100973</v>
      </c>
      <c r="CU50" s="618">
        <f t="shared" si="1078"/>
        <v>0.13634480257515244</v>
      </c>
      <c r="CV50" s="633">
        <f t="shared" ref="CV50:CW50" si="1079">CV48/CV45</f>
        <v>0.36945163960405486</v>
      </c>
      <c r="CW50" s="1099">
        <f t="shared" si="1079"/>
        <v>0.44661576326373004</v>
      </c>
      <c r="CX50" s="633">
        <f t="shared" ref="CX50:CY50" si="1080">CX48/CX45</f>
        <v>0.45915847110167618</v>
      </c>
      <c r="CY50" s="188">
        <f t="shared" si="1080"/>
        <v>0.36436812749682207</v>
      </c>
      <c r="CZ50" s="144">
        <f>CZ48/CZ45</f>
        <v>0.31567030890447245</v>
      </c>
      <c r="DA50" s="191">
        <f>SUM(CN50:CY50)/$CZ$4</f>
        <v>0.34998046728811577</v>
      </c>
      <c r="DB50" s="633">
        <f t="shared" ref="DB50:DC50" si="1081">DB48/DB45</f>
        <v>0.47119438662790852</v>
      </c>
      <c r="DC50" s="188">
        <f t="shared" si="1081"/>
        <v>0.4684231372986411</v>
      </c>
      <c r="DD50" s="189">
        <f t="shared" ref="DD50:DE50" si="1082">DD48/DD45</f>
        <v>0.46324894477075407</v>
      </c>
      <c r="DE50" s="188">
        <f t="shared" si="1082"/>
        <v>0.46518658128774593</v>
      </c>
      <c r="DF50" s="189">
        <f t="shared" ref="DF50:DG50" si="1083">DF48/DF45</f>
        <v>0.45633835992194505</v>
      </c>
      <c r="DG50" s="618">
        <f t="shared" si="1083"/>
        <v>0.46416356998997155</v>
      </c>
      <c r="DH50" s="1028">
        <f t="shared" ref="DH50:DI50" si="1084">DH48/DH45</f>
        <v>0.12932753237968911</v>
      </c>
      <c r="DI50" s="618">
        <f t="shared" si="1084"/>
        <v>0.48226899940847823</v>
      </c>
      <c r="DJ50" s="633">
        <f t="shared" ref="DJ50:DK50" si="1085">DJ48/DJ45</f>
        <v>0.49138708418786076</v>
      </c>
      <c r="DK50" s="618">
        <f t="shared" si="1085"/>
        <v>0.4526704246890752</v>
      </c>
      <c r="DL50" s="633"/>
      <c r="DM50" s="618"/>
      <c r="DN50" s="144">
        <f>DN48/DN45</f>
        <v>0.36666029891448254</v>
      </c>
      <c r="DO50" s="191">
        <f>SUM(DB50:DM50)/$DN$4</f>
        <v>0.43442090205620698</v>
      </c>
      <c r="DP50" s="633"/>
      <c r="DQ50" s="188"/>
      <c r="DR50" s="189"/>
      <c r="DS50" s="188"/>
      <c r="DT50" s="189"/>
      <c r="DU50" s="618"/>
      <c r="DV50" s="1028"/>
      <c r="DW50" s="618"/>
      <c r="DX50" s="633"/>
      <c r="DY50" s="618"/>
      <c r="DZ50" s="633"/>
      <c r="EA50" s="618"/>
      <c r="EB50" s="144" t="e">
        <f>EB48/EB45</f>
        <v>#DIV/0!</v>
      </c>
      <c r="EC50" s="191" t="e">
        <f>SUM(DP50:EA50)/$EB$4</f>
        <v>#DIV/0!</v>
      </c>
      <c r="ED50" s="683">
        <f t="shared" si="839"/>
        <v>-6.2128526002492468E-2</v>
      </c>
      <c r="EE50" s="672">
        <f t="shared" si="840"/>
        <v>-0.14222836334867028</v>
      </c>
      <c r="EF50" s="683">
        <f t="shared" si="841"/>
        <v>-1.0643858159577191E-2</v>
      </c>
      <c r="EG50" s="672">
        <f t="shared" si="842"/>
        <v>-2.8406816071649781E-2</v>
      </c>
      <c r="EH50" s="683">
        <f t="shared" si="843"/>
        <v>3.4136868615556981E-2</v>
      </c>
      <c r="EI50" s="672">
        <f t="shared" si="844"/>
        <v>9.3769737891970559E-2</v>
      </c>
      <c r="EJ50" s="683">
        <f t="shared" si="845"/>
        <v>-0.10338385672884332</v>
      </c>
      <c r="EK50" s="672">
        <f t="shared" si="846"/>
        <v>-0.25963656071479396</v>
      </c>
      <c r="EL50" s="683">
        <f t="shared" si="847"/>
        <v>5.3910719726965095E-2</v>
      </c>
      <c r="EM50" s="672">
        <f t="shared" si="848"/>
        <v>0.18287034480309963</v>
      </c>
      <c r="EN50" s="683">
        <f t="shared" si="849"/>
        <v>2.2968490446314382E-2</v>
      </c>
      <c r="EO50" s="672">
        <f t="shared" si="850"/>
        <v>6.5866329598403633E-2</v>
      </c>
      <c r="EP50" s="683">
        <f t="shared" si="851"/>
        <v>-0.24328837605812548</v>
      </c>
      <c r="EQ50" s="672">
        <f t="shared" si="852"/>
        <v>-0.6545602473823473</v>
      </c>
      <c r="ER50" s="683">
        <f t="shared" si="853"/>
        <v>0.25100119904640311</v>
      </c>
      <c r="ES50" s="672">
        <f t="shared" si="854"/>
        <v>1.9549324202776099</v>
      </c>
      <c r="ET50" s="683">
        <f t="shared" si="855"/>
        <v>-2.8168838277105201E-2</v>
      </c>
      <c r="EU50" s="672">
        <f t="shared" si="856"/>
        <v>-7.4246730892653656E-2</v>
      </c>
      <c r="EV50" s="683">
        <f t="shared" si="857"/>
        <v>7.8469339954334305E-2</v>
      </c>
      <c r="EW50" s="192">
        <f t="shared" si="858"/>
        <v>0.22341542025479988</v>
      </c>
      <c r="EX50" s="683">
        <f t="shared" si="859"/>
        <v>-0.19376876142769731</v>
      </c>
      <c r="EY50" s="672">
        <f t="shared" si="860"/>
        <v>-0.45094435902823099</v>
      </c>
      <c r="EZ50" s="683">
        <f t="shared" si="861"/>
        <v>5.8867855808393627E-2</v>
      </c>
      <c r="FA50" s="672">
        <f t="shared" si="862"/>
        <v>0.24951752558596488</v>
      </c>
      <c r="FB50" s="683">
        <f t="shared" si="863"/>
        <v>5.6977061932696915E-2</v>
      </c>
      <c r="FC50" s="672">
        <f t="shared" si="864"/>
        <v>0.19327716039909426</v>
      </c>
      <c r="FD50" s="398">
        <f t="shared" si="865"/>
        <v>8.4716278420273183E-3</v>
      </c>
      <c r="FE50" s="405">
        <f t="shared" si="866"/>
        <v>2.4082747177584105E-2</v>
      </c>
      <c r="FF50" s="398">
        <f t="shared" si="867"/>
        <v>-4.7402792963094353E-3</v>
      </c>
      <c r="FG50" s="405">
        <f t="shared" si="868"/>
        <v>-1.3158550114295042E-2</v>
      </c>
      <c r="FH50" s="398">
        <f t="shared" si="869"/>
        <v>6.8123703747828279E-3</v>
      </c>
      <c r="FI50" s="405">
        <f t="shared" si="870"/>
        <v>1.9162623940008408E-2</v>
      </c>
      <c r="FJ50" s="398">
        <f t="shared" si="871"/>
        <v>1.0175323646008261E-2</v>
      </c>
      <c r="FK50" s="405">
        <f t="shared" si="872"/>
        <v>2.8084161938122205E-2</v>
      </c>
      <c r="FL50" s="398">
        <f t="shared" si="873"/>
        <v>-3.1322014251439101E-2</v>
      </c>
      <c r="FM50" s="405">
        <f t="shared" si="874"/>
        <v>-8.4088044130167294E-2</v>
      </c>
      <c r="FN50" s="398">
        <f t="shared" si="875"/>
        <v>-0.22957137055827376</v>
      </c>
      <c r="FO50" s="405">
        <f t="shared" si="876"/>
        <v>-0.67289696122273712</v>
      </c>
      <c r="FP50" s="398">
        <f t="shared" si="877"/>
        <v>0.2701202150543992</v>
      </c>
      <c r="FQ50" s="405">
        <f t="shared" si="878"/>
        <v>2.4204903087190597</v>
      </c>
      <c r="FR50" s="398">
        <f t="shared" si="879"/>
        <v>7.7478671460146087E-3</v>
      </c>
      <c r="FS50" s="405">
        <f t="shared" si="880"/>
        <v>2.0297383726803904E-2</v>
      </c>
      <c r="FT50" s="398">
        <f t="shared" si="881"/>
        <v>-4.8858634923152344E-2</v>
      </c>
      <c r="FU50" s="405">
        <f t="shared" si="882"/>
        <v>-0.12545051627560078</v>
      </c>
      <c r="FV50" s="398">
        <f t="shared" si="883"/>
        <v>-2.1621818746249188E-2</v>
      </c>
      <c r="FW50" s="405">
        <f t="shared" si="884"/>
        <v>-6.3480298267173718E-2</v>
      </c>
      <c r="FX50" s="398">
        <f t="shared" si="885"/>
        <v>-0.19269240795775155</v>
      </c>
      <c r="FY50" s="405">
        <f t="shared" si="886"/>
        <v>-0.60407995097948031</v>
      </c>
      <c r="FZ50" s="398">
        <f t="shared" si="887"/>
        <v>0.23168945747769337</v>
      </c>
      <c r="GA50" s="405">
        <f t="shared" si="888"/>
        <v>1.8345459590890951</v>
      </c>
      <c r="GB50" s="398">
        <f t="shared" si="889"/>
        <v>-7.8875967684807202E-3</v>
      </c>
      <c r="GC50" s="405">
        <f t="shared" si="890"/>
        <v>-2.2033501576847487E-2</v>
      </c>
      <c r="GD50" s="398">
        <f t="shared" si="891"/>
        <v>-1.0154259849877723E-2</v>
      </c>
      <c r="GE50" s="405">
        <f t="shared" si="892"/>
        <v>-2.9004348570594078E-2</v>
      </c>
      <c r="GF50" s="398">
        <f t="shared" si="893"/>
        <v>-1.5459574851576896E-2</v>
      </c>
      <c r="GG50" s="405">
        <f t="shared" si="894"/>
        <v>-4.5477345205974469E-2</v>
      </c>
      <c r="GH50" s="398">
        <f t="shared" si="895"/>
        <v>9.5650592629237252E-3</v>
      </c>
      <c r="GI50" s="405">
        <f t="shared" si="896"/>
        <v>2.9478065711199528E-2</v>
      </c>
      <c r="GJ50" s="398">
        <f t="shared" si="897"/>
        <v>3.5413771697962171E-2</v>
      </c>
      <c r="GK50" s="405">
        <f t="shared" si="898"/>
        <v>0.10601477666561206</v>
      </c>
      <c r="GL50" s="398">
        <f t="shared" si="899"/>
        <v>-0.25717552358543089</v>
      </c>
      <c r="GM50" s="405">
        <f t="shared" si="900"/>
        <v>-0.69608603824164084</v>
      </c>
      <c r="GN50" s="398">
        <f t="shared" si="901"/>
        <v>0.25738351781297897</v>
      </c>
      <c r="GO50" s="405">
        <f t="shared" si="902"/>
        <v>2.2922573327319378</v>
      </c>
      <c r="GP50" s="398">
        <f t="shared" si="903"/>
        <v>-6.6445869596294838E-2</v>
      </c>
      <c r="GQ50" s="405">
        <f t="shared" si="904"/>
        <v>-0.17974501484263569</v>
      </c>
      <c r="GR50" s="398">
        <f t="shared" si="905"/>
        <v>0.12322077281973659</v>
      </c>
      <c r="GS50" s="405">
        <f t="shared" si="906"/>
        <v>0.40637212920838062</v>
      </c>
      <c r="GT50" s="398">
        <f t="shared" si="907"/>
        <v>-0.10992708932162493</v>
      </c>
      <c r="GU50" s="405">
        <f t="shared" si="908"/>
        <v>-0.2577771772826481</v>
      </c>
      <c r="GV50" s="398">
        <f t="shared" si="909"/>
        <v>2.4631635957148956E-2</v>
      </c>
      <c r="GW50" s="405">
        <f t="shared" si="910"/>
        <v>7.78213370030926E-2</v>
      </c>
      <c r="GX50" s="398">
        <f t="shared" si="911"/>
        <v>-1.7018827147456284E-2</v>
      </c>
      <c r="GY50" s="405">
        <f t="shared" si="912"/>
        <v>-4.9887102591871173E-2</v>
      </c>
      <c r="GZ50" s="398">
        <f t="shared" si="913"/>
        <v>1.3273275831959197E-2</v>
      </c>
      <c r="HA50" s="405">
        <f t="shared" si="914"/>
        <v>4.0950721683551114E-2</v>
      </c>
      <c r="HB50" s="398">
        <f t="shared" si="915"/>
        <v>-5.3948240066845454E-2</v>
      </c>
      <c r="HC50" s="405">
        <f t="shared" si="916"/>
        <v>-0.15989340498892851</v>
      </c>
      <c r="HD50" s="398">
        <f t="shared" si="917"/>
        <v>6.8035199534461466E-2</v>
      </c>
      <c r="HE50" s="405">
        <f t="shared" si="918"/>
        <v>0.24002282250997223</v>
      </c>
      <c r="HF50" s="398">
        <f t="shared" si="919"/>
        <v>1.8137920042283484E-2</v>
      </c>
      <c r="HG50" s="405">
        <f t="shared" si="920"/>
        <v>5.1603205526925419E-2</v>
      </c>
      <c r="HH50" s="398">
        <f t="shared" si="921"/>
        <v>1.4771361614867029E-3</v>
      </c>
      <c r="HI50" s="405">
        <f t="shared" si="922"/>
        <v>3.9962976360990235E-3</v>
      </c>
      <c r="HJ50" s="398">
        <f t="shared" si="923"/>
        <v>1.5523464477148918E-2</v>
      </c>
      <c r="HK50" s="405">
        <f t="shared" si="924"/>
        <v>4.1830575237964192E-2</v>
      </c>
      <c r="HL50" s="398">
        <f t="shared" si="925"/>
        <v>-0.25028196107585732</v>
      </c>
      <c r="HM50" s="405">
        <f t="shared" si="926"/>
        <v>-0.6473477384555183</v>
      </c>
      <c r="HN50" s="398">
        <f t="shared" si="927"/>
        <v>0.23310683702890242</v>
      </c>
      <c r="HO50" s="405">
        <f t="shared" si="928"/>
        <v>1.7096862705889748</v>
      </c>
      <c r="HP50" s="398">
        <f t="shared" si="929"/>
        <v>7.7164123659675177E-2</v>
      </c>
      <c r="HQ50" s="405">
        <f t="shared" si="930"/>
        <v>0.20886122942199625</v>
      </c>
      <c r="HR50" s="398">
        <f t="shared" si="931"/>
        <v>1.2542707837946143E-2</v>
      </c>
      <c r="HS50" s="405">
        <f t="shared" si="932"/>
        <v>2.8083889709328458E-2</v>
      </c>
      <c r="HT50" s="398">
        <f t="shared" si="933"/>
        <v>-9.479034360485411E-2</v>
      </c>
      <c r="HU50" s="405">
        <f t="shared" si="934"/>
        <v>-0.2064436345417304</v>
      </c>
      <c r="HV50" s="398">
        <f t="shared" si="935"/>
        <v>0.10682625913108645</v>
      </c>
      <c r="HW50" s="405">
        <f t="shared" si="936"/>
        <v>0.29318222717495557</v>
      </c>
      <c r="HX50" s="398">
        <f t="shared" si="937"/>
        <v>-2.7712493292674223E-3</v>
      </c>
      <c r="HY50" s="405">
        <f t="shared" si="938"/>
        <v>-5.8813292516063332E-3</v>
      </c>
      <c r="HZ50" s="398">
        <f t="shared" si="939"/>
        <v>-5.1741925278870338E-3</v>
      </c>
      <c r="IA50" s="405">
        <f t="shared" si="940"/>
        <v>-1.1169356317579014E-2</v>
      </c>
      <c r="IB50" s="398">
        <f t="shared" si="941"/>
        <v>1.9376365169918586E-3</v>
      </c>
      <c r="IC50" s="405">
        <f t="shared" si="942"/>
        <v>4.1827111294354445E-3</v>
      </c>
      <c r="ID50" s="398">
        <f t="shared" si="943"/>
        <v>-8.848221365800879E-3</v>
      </c>
      <c r="IE50" s="405">
        <f t="shared" si="944"/>
        <v>-2.0367853673523433E-2</v>
      </c>
      <c r="IF50" s="398">
        <f t="shared" si="945"/>
        <v>7.8252100680265002E-3</v>
      </c>
      <c r="IG50" s="405">
        <f t="shared" si="946"/>
        <v>1.7147824411178084E-2</v>
      </c>
      <c r="IH50" s="398">
        <f t="shared" si="947"/>
        <v>-0.33483603761028247</v>
      </c>
      <c r="II50" s="405">
        <f t="shared" si="948"/>
        <v>-0.72137509115055443</v>
      </c>
      <c r="IJ50" s="398">
        <f t="shared" si="949"/>
        <v>0.35294146702878915</v>
      </c>
      <c r="IK50" s="405">
        <f t="shared" si="950"/>
        <v>2.7290512741911606</v>
      </c>
      <c r="IL50" s="398">
        <f t="shared" si="951"/>
        <v>9.1180847793825293E-3</v>
      </c>
      <c r="IM50" s="405">
        <f t="shared" si="952"/>
        <v>1.8906636732956537E-2</v>
      </c>
      <c r="IN50" s="398">
        <f t="shared" si="953"/>
        <v>-3.8716659498785555E-2</v>
      </c>
      <c r="IO50" s="405">
        <f t="shared" si="954"/>
        <v>-7.8790551776049336E-2</v>
      </c>
      <c r="IP50" s="398">
        <f t="shared" si="955"/>
        <v>-0.4526704246890752</v>
      </c>
      <c r="IQ50" s="405">
        <f t="shared" si="956"/>
        <v>-4.827468166868333</v>
      </c>
      <c r="IR50" s="398">
        <f t="shared" si="957"/>
        <v>-0.15625270398595065</v>
      </c>
      <c r="IS50" s="405">
        <f t="shared" si="958"/>
        <v>1.5113839716366213</v>
      </c>
      <c r="IT50" s="633">
        <f t="shared" si="959"/>
        <v>0.44661576326373004</v>
      </c>
      <c r="IU50" s="1072">
        <f t="shared" si="960"/>
        <v>0.4526704246890752</v>
      </c>
      <c r="IV50" s="683">
        <f>(IU50-IT50)*100</f>
        <v>0.60546614253451647</v>
      </c>
      <c r="IW50" s="192">
        <f>IF(ISERROR((IV50/IT50)/100),0,(IV50/IT50)/100)</f>
        <v>1.3556757112869394E-2</v>
      </c>
      <c r="IX50" s="696"/>
      <c r="IY50" s="696"/>
      <c r="IZ50" s="696"/>
      <c r="JA50" s="1" t="str">
        <f t="shared" si="962"/>
        <v>Service Center Costs % of Total Costs</v>
      </c>
      <c r="JB50" s="286" t="e">
        <f>#REF!</f>
        <v>#REF!</v>
      </c>
      <c r="JC50" s="286" t="e">
        <f>#REF!</f>
        <v>#REF!</v>
      </c>
      <c r="JD50" s="286" t="e">
        <f>#REF!</f>
        <v>#REF!</v>
      </c>
      <c r="JE50" s="286" t="e">
        <f>#REF!</f>
        <v>#REF!</v>
      </c>
      <c r="JF50" s="286" t="e">
        <f>#REF!</f>
        <v>#REF!</v>
      </c>
      <c r="JG50" s="286" t="e">
        <f>#REF!</f>
        <v>#REF!</v>
      </c>
      <c r="JH50" s="286" t="e">
        <f>#REF!</f>
        <v>#REF!</v>
      </c>
      <c r="JI50" s="286" t="e">
        <f>#REF!</f>
        <v>#REF!</v>
      </c>
      <c r="JJ50" s="286" t="e">
        <f>#REF!</f>
        <v>#REF!</v>
      </c>
      <c r="JK50" s="286" t="e">
        <f>#REF!</f>
        <v>#REF!</v>
      </c>
      <c r="JL50" s="286" t="e">
        <f>#REF!</f>
        <v>#REF!</v>
      </c>
      <c r="JM50" s="287">
        <f t="shared" si="963"/>
        <v>0.34749772691299174</v>
      </c>
      <c r="JN50" s="287">
        <f t="shared" si="963"/>
        <v>0.38162622581033506</v>
      </c>
      <c r="JO50" s="287">
        <f t="shared" si="963"/>
        <v>0.38120443324751174</v>
      </c>
      <c r="JP50" s="287">
        <f t="shared" si="963"/>
        <v>0.41376357709130496</v>
      </c>
      <c r="JQ50" s="287">
        <f t="shared" si="963"/>
        <v>0.41007331280949383</v>
      </c>
      <c r="JR50" s="287">
        <f t="shared" si="963"/>
        <v>0.1090027964615671</v>
      </c>
      <c r="JS50" s="287">
        <f t="shared" si="963"/>
        <v>0.44854634205400062</v>
      </c>
      <c r="JT50" s="287">
        <f t="shared" si="963"/>
        <v>0.44414391013359522</v>
      </c>
      <c r="JU50" s="287">
        <f t="shared" si="963"/>
        <v>0.39290583624576592</v>
      </c>
      <c r="JV50" s="287">
        <f t="shared" si="963"/>
        <v>0.40433458044897463</v>
      </c>
      <c r="JW50" s="287">
        <f t="shared" si="963"/>
        <v>0.39696153846555315</v>
      </c>
      <c r="JX50" s="287">
        <f t="shared" si="963"/>
        <v>0.43682233655593361</v>
      </c>
      <c r="JY50" s="287">
        <f t="shared" si="964"/>
        <v>0.37469381055344114</v>
      </c>
      <c r="JZ50" s="287">
        <f t="shared" si="964"/>
        <v>0.36404995239386395</v>
      </c>
      <c r="KA50" s="287">
        <f t="shared" si="964"/>
        <v>0.39818682100942093</v>
      </c>
      <c r="KB50" s="287">
        <f t="shared" si="964"/>
        <v>0.29480296428057762</v>
      </c>
      <c r="KC50" s="287">
        <f t="shared" si="964"/>
        <v>0.34871368400754271</v>
      </c>
      <c r="KD50" s="287">
        <f t="shared" si="964"/>
        <v>0.37168217445385709</v>
      </c>
      <c r="KE50" s="287">
        <f t="shared" si="964"/>
        <v>0.12839379839573162</v>
      </c>
      <c r="KF50" s="287">
        <f t="shared" si="964"/>
        <v>0.37939499744213473</v>
      </c>
      <c r="KG50" s="287">
        <f t="shared" si="964"/>
        <v>0.35122615916502953</v>
      </c>
      <c r="KH50" s="287">
        <f t="shared" si="964"/>
        <v>0.42969549911936383</v>
      </c>
      <c r="KI50" s="287">
        <f t="shared" si="964"/>
        <v>0.23592673769166653</v>
      </c>
      <c r="KJ50" s="287">
        <f t="shared" si="964"/>
        <v>0.29479459350006015</v>
      </c>
      <c r="KK50" s="800">
        <f t="shared" si="965"/>
        <v>0.35177165543275707</v>
      </c>
      <c r="KL50" s="800">
        <f t="shared" si="965"/>
        <v>0.36024328327478439</v>
      </c>
      <c r="KM50" s="800">
        <f t="shared" si="965"/>
        <v>0.35550300397847495</v>
      </c>
      <c r="KN50" s="800">
        <f t="shared" si="965"/>
        <v>0.36231537435325778</v>
      </c>
      <c r="KO50" s="800">
        <f t="shared" si="965"/>
        <v>0.37249069799926604</v>
      </c>
      <c r="KP50" s="800">
        <f t="shared" si="965"/>
        <v>0.34116868374782694</v>
      </c>
      <c r="KQ50" s="800">
        <f t="shared" si="965"/>
        <v>0.1115973131895532</v>
      </c>
      <c r="KR50" s="800">
        <f t="shared" si="965"/>
        <v>0.38171752824395239</v>
      </c>
      <c r="KS50" s="800">
        <f t="shared" si="965"/>
        <v>0.389465395389967</v>
      </c>
      <c r="KT50" s="800">
        <f t="shared" si="965"/>
        <v>0.34060676046681465</v>
      </c>
      <c r="KU50" s="800">
        <f t="shared" si="965"/>
        <v>0.31898494172056546</v>
      </c>
      <c r="KV50" s="800">
        <f t="shared" si="965"/>
        <v>0.12629253376281391</v>
      </c>
      <c r="KW50" s="912">
        <f t="shared" si="966"/>
        <v>0.35798199124050728</v>
      </c>
      <c r="KX50" s="912">
        <f t="shared" si="966"/>
        <v>0.35009439447202656</v>
      </c>
      <c r="KY50" s="912">
        <f t="shared" si="966"/>
        <v>0.33994013462214884</v>
      </c>
      <c r="KZ50" s="912">
        <f t="shared" si="966"/>
        <v>0.32448055977057194</v>
      </c>
      <c r="LA50" s="912">
        <f t="shared" si="966"/>
        <v>0.33404561903349567</v>
      </c>
      <c r="LB50" s="912">
        <f t="shared" si="966"/>
        <v>0.36945939073145784</v>
      </c>
      <c r="LC50" s="912">
        <f t="shared" si="966"/>
        <v>0.11228386714602694</v>
      </c>
      <c r="LD50" s="912">
        <f t="shared" si="966"/>
        <v>0.36966738495900592</v>
      </c>
      <c r="LE50" s="912">
        <f t="shared" si="966"/>
        <v>0.30322151536271108</v>
      </c>
      <c r="LF50" s="912">
        <f t="shared" si="966"/>
        <v>0.42644228818244767</v>
      </c>
      <c r="LG50" s="912">
        <f t="shared" si="966"/>
        <v>0.31651519886082274</v>
      </c>
      <c r="LH50" s="912">
        <f t="shared" si="966"/>
        <v>0.3411468348179717</v>
      </c>
      <c r="LI50" s="971">
        <f t="shared" si="967"/>
        <v>0.32412800767051542</v>
      </c>
      <c r="LJ50" s="971">
        <f t="shared" si="967"/>
        <v>0.33740128350247461</v>
      </c>
      <c r="LK50" s="971">
        <f t="shared" si="967"/>
        <v>0.28345304343562916</v>
      </c>
      <c r="LL50" s="971">
        <f t="shared" si="967"/>
        <v>0.35148824297009063</v>
      </c>
      <c r="LM50" s="971">
        <f t="shared" si="967"/>
        <v>0.36962616301237411</v>
      </c>
      <c r="LN50" s="971">
        <f t="shared" si="967"/>
        <v>0.37110329917386081</v>
      </c>
      <c r="LO50" s="971">
        <f t="shared" si="967"/>
        <v>0.38662676365100973</v>
      </c>
      <c r="LP50" s="971">
        <f t="shared" si="967"/>
        <v>0.13634480257515244</v>
      </c>
      <c r="LQ50" s="971">
        <f t="shared" si="967"/>
        <v>0.36945163960405486</v>
      </c>
      <c r="LR50" s="971">
        <f t="shared" si="967"/>
        <v>0.44661576326373004</v>
      </c>
      <c r="LS50" s="971">
        <f t="shared" si="967"/>
        <v>0.45915847110167618</v>
      </c>
      <c r="LT50" s="971">
        <f t="shared" si="967"/>
        <v>0.36436812749682207</v>
      </c>
      <c r="LU50" s="1167">
        <f t="shared" si="968"/>
        <v>0.47119438662790852</v>
      </c>
      <c r="LV50" s="1167">
        <f t="shared" si="968"/>
        <v>0.4684231372986411</v>
      </c>
      <c r="LW50" s="1167">
        <f t="shared" si="968"/>
        <v>0.46324894477075407</v>
      </c>
      <c r="LX50" s="1167">
        <f t="shared" si="968"/>
        <v>0.46518658128774593</v>
      </c>
      <c r="LY50" s="1167">
        <f t="shared" si="968"/>
        <v>0.45633835992194505</v>
      </c>
      <c r="LZ50" s="1167">
        <f t="shared" si="968"/>
        <v>0.46416356998997155</v>
      </c>
      <c r="MA50" s="1167">
        <f t="shared" si="968"/>
        <v>0.12932753237968911</v>
      </c>
      <c r="MB50" s="1167">
        <f t="shared" si="968"/>
        <v>0.48226899940847823</v>
      </c>
      <c r="MC50" s="1167">
        <f t="shared" si="968"/>
        <v>0.49138708418786076</v>
      </c>
      <c r="MD50" s="1167">
        <f t="shared" si="968"/>
        <v>0.4526704246890752</v>
      </c>
      <c r="ME50" s="1167">
        <f t="shared" si="968"/>
        <v>0</v>
      </c>
      <c r="MF50" s="1167">
        <f t="shared" si="968"/>
        <v>0</v>
      </c>
      <c r="MG50" s="1189">
        <f t="shared" si="969"/>
        <v>0</v>
      </c>
      <c r="MH50" s="1189">
        <f t="shared" si="969"/>
        <v>0</v>
      </c>
      <c r="MI50" s="1189">
        <f t="shared" si="969"/>
        <v>0</v>
      </c>
      <c r="MJ50" s="1189">
        <f t="shared" si="969"/>
        <v>0</v>
      </c>
      <c r="MK50" s="1189">
        <f t="shared" si="969"/>
        <v>0</v>
      </c>
      <c r="ML50" s="1189">
        <f t="shared" si="969"/>
        <v>0</v>
      </c>
      <c r="MM50" s="1189">
        <f t="shared" si="969"/>
        <v>0</v>
      </c>
      <c r="MN50" s="1189">
        <f t="shared" si="969"/>
        <v>0</v>
      </c>
      <c r="MO50" s="1189">
        <f t="shared" si="969"/>
        <v>0</v>
      </c>
      <c r="MP50" s="1189">
        <f t="shared" si="969"/>
        <v>0</v>
      </c>
      <c r="MQ50" s="1189">
        <f t="shared" si="970"/>
        <v>0</v>
      </c>
      <c r="MR50" s="1189">
        <f t="shared" si="970"/>
        <v>0</v>
      </c>
    </row>
    <row r="51" spans="1:356" ht="15.75" customHeight="1" x14ac:dyDescent="0.25">
      <c r="A51" s="764">
        <v>8</v>
      </c>
      <c r="B51" s="7" t="s">
        <v>5</v>
      </c>
      <c r="C51" s="9"/>
      <c r="D51" s="449"/>
      <c r="E51" s="450"/>
      <c r="F51" s="450"/>
      <c r="G51" s="450"/>
      <c r="H51" s="170"/>
      <c r="I51" s="67"/>
      <c r="K51" s="67"/>
      <c r="M51" s="67"/>
      <c r="O51" s="67"/>
      <c r="Q51" s="67"/>
      <c r="S51" s="67"/>
      <c r="T51" s="139"/>
      <c r="U51" s="154"/>
      <c r="V51" s="170"/>
      <c r="W51" s="67"/>
      <c r="Y51" s="67"/>
      <c r="AA51" s="67"/>
      <c r="AC51" s="67"/>
      <c r="AE51" s="67"/>
      <c r="AG51" s="67"/>
      <c r="AH51" s="139"/>
      <c r="AI51" s="154"/>
      <c r="AJ51" s="170"/>
      <c r="AK51" s="67"/>
      <c r="AM51" s="67"/>
      <c r="AO51" s="67"/>
      <c r="AP51" s="27"/>
      <c r="AQ51" s="67"/>
      <c r="AR51" s="27"/>
      <c r="AS51" s="67"/>
      <c r="AT51" s="27"/>
      <c r="AU51" s="67"/>
      <c r="AV51" s="139"/>
      <c r="AW51" s="154"/>
      <c r="AX51" s="170"/>
      <c r="AY51" s="67"/>
      <c r="BA51" s="67"/>
      <c r="BC51" s="67"/>
      <c r="BD51" s="27"/>
      <c r="BE51" s="67"/>
      <c r="BF51" s="27"/>
      <c r="BG51" s="67"/>
      <c r="BH51" s="27"/>
      <c r="BI51" s="67"/>
      <c r="BJ51" s="139"/>
      <c r="BK51" s="154"/>
      <c r="BL51" s="170"/>
      <c r="BM51" s="67"/>
      <c r="BO51" s="67"/>
      <c r="BQ51" s="67"/>
      <c r="BR51" s="27"/>
      <c r="BS51" s="67"/>
      <c r="BT51" s="27"/>
      <c r="BV51" s="27"/>
      <c r="BX51" s="139"/>
      <c r="BY51" s="154"/>
      <c r="BZ51" s="27"/>
      <c r="CA51" s="67"/>
      <c r="CC51" s="67"/>
      <c r="CE51" s="67"/>
      <c r="CF51" s="27"/>
      <c r="CG51" s="67"/>
      <c r="CH51" s="27"/>
      <c r="CJ51" s="27"/>
      <c r="CL51" s="139"/>
      <c r="CM51" s="154"/>
      <c r="CN51" s="27"/>
      <c r="CO51" s="67"/>
      <c r="CQ51" s="67"/>
      <c r="CS51" s="67"/>
      <c r="CT51" s="37"/>
      <c r="CU51" s="67"/>
      <c r="CV51" s="27"/>
      <c r="CW51" s="1066"/>
      <c r="CX51" s="27"/>
      <c r="CY51" s="67"/>
      <c r="CZ51" s="139"/>
      <c r="DA51" s="154"/>
      <c r="DB51" s="27"/>
      <c r="DC51" s="67"/>
      <c r="DE51" s="67"/>
      <c r="DG51" s="67"/>
      <c r="DH51" s="37"/>
      <c r="DI51" s="67"/>
      <c r="DJ51" s="27"/>
      <c r="DK51" s="67"/>
      <c r="DL51" s="27"/>
      <c r="DM51" s="67"/>
      <c r="DN51" s="139"/>
      <c r="DO51" s="154"/>
      <c r="DP51" s="27"/>
      <c r="DQ51" s="67"/>
      <c r="DS51" s="67"/>
      <c r="DU51" s="67"/>
      <c r="DV51" s="37"/>
      <c r="DW51" s="67"/>
      <c r="DX51" s="27"/>
      <c r="DY51" s="67"/>
      <c r="DZ51" s="27"/>
      <c r="EA51" s="67"/>
      <c r="EB51" s="139"/>
      <c r="EC51" s="154"/>
      <c r="ED51" s="684"/>
      <c r="EE51" s="685"/>
      <c r="EF51" s="684"/>
      <c r="EG51" s="685"/>
      <c r="EH51" s="684"/>
      <c r="EI51" s="685"/>
      <c r="EJ51" s="684"/>
      <c r="EK51" s="685"/>
      <c r="EL51" s="684"/>
      <c r="EM51" s="685"/>
      <c r="EN51" s="684"/>
      <c r="EO51" s="685"/>
      <c r="EP51" s="684"/>
      <c r="EQ51" s="685"/>
      <c r="ER51" s="684"/>
      <c r="ES51" s="685"/>
      <c r="ET51" s="684"/>
      <c r="EU51" s="685"/>
      <c r="EV51" s="684"/>
      <c r="EW51" s="116"/>
      <c r="EX51" s="684"/>
      <c r="EY51" s="685"/>
      <c r="EZ51" s="684"/>
      <c r="FA51" s="685"/>
      <c r="FB51" s="684"/>
      <c r="FC51" s="685"/>
      <c r="FD51" s="329"/>
      <c r="FE51" s="408"/>
      <c r="FF51" s="329"/>
      <c r="FG51" s="408"/>
      <c r="FH51" s="329"/>
      <c r="FI51" s="408"/>
      <c r="FJ51" s="329"/>
      <c r="FK51" s="408"/>
      <c r="FL51" s="329"/>
      <c r="FM51" s="408"/>
      <c r="FN51" s="329"/>
      <c r="FO51" s="408"/>
      <c r="FP51" s="329"/>
      <c r="FQ51" s="408"/>
      <c r="FR51" s="329"/>
      <c r="FS51" s="408"/>
      <c r="FT51" s="329"/>
      <c r="FU51" s="408"/>
      <c r="FV51" s="329"/>
      <c r="FW51" s="408"/>
      <c r="FX51" s="329"/>
      <c r="FY51" s="408"/>
      <c r="FZ51" s="329"/>
      <c r="GA51" s="408"/>
      <c r="GB51" s="329"/>
      <c r="GC51" s="408"/>
      <c r="GD51" s="329"/>
      <c r="GE51" s="408"/>
      <c r="GF51" s="329"/>
      <c r="GG51" s="408"/>
      <c r="GH51" s="329"/>
      <c r="GI51" s="408"/>
      <c r="GJ51" s="329"/>
      <c r="GK51" s="408"/>
      <c r="GL51" s="329"/>
      <c r="GM51" s="408"/>
      <c r="GN51" s="329"/>
      <c r="GO51" s="408"/>
      <c r="GP51" s="329"/>
      <c r="GQ51" s="408"/>
      <c r="GR51" s="329"/>
      <c r="GS51" s="408"/>
      <c r="GT51" s="329"/>
      <c r="GU51" s="408"/>
      <c r="GV51" s="329"/>
      <c r="GW51" s="408"/>
      <c r="GX51" s="329"/>
      <c r="GY51" s="408"/>
      <c r="GZ51" s="329"/>
      <c r="HA51" s="408"/>
      <c r="HB51" s="329"/>
      <c r="HC51" s="408"/>
      <c r="HD51" s="329"/>
      <c r="HE51" s="408"/>
      <c r="HF51" s="329"/>
      <c r="HG51" s="408"/>
      <c r="HH51" s="329"/>
      <c r="HI51" s="408"/>
      <c r="HJ51" s="329"/>
      <c r="HK51" s="408"/>
      <c r="HL51" s="329"/>
      <c r="HM51" s="408"/>
      <c r="HN51" s="329"/>
      <c r="HO51" s="408"/>
      <c r="HP51" s="329"/>
      <c r="HQ51" s="408"/>
      <c r="HR51" s="329"/>
      <c r="HS51" s="408"/>
      <c r="HT51" s="329"/>
      <c r="HU51" s="408"/>
      <c r="HV51" s="329"/>
      <c r="HW51" s="408"/>
      <c r="HX51" s="329"/>
      <c r="HY51" s="408"/>
      <c r="HZ51" s="329"/>
      <c r="IA51" s="408"/>
      <c r="IB51" s="329"/>
      <c r="IC51" s="408"/>
      <c r="ID51" s="329"/>
      <c r="IE51" s="408"/>
      <c r="IF51" s="329"/>
      <c r="IG51" s="408"/>
      <c r="IH51" s="329"/>
      <c r="II51" s="408"/>
      <c r="IJ51" s="329"/>
      <c r="IK51" s="408"/>
      <c r="IL51" s="329"/>
      <c r="IM51" s="408"/>
      <c r="IN51" s="329"/>
      <c r="IO51" s="408"/>
      <c r="IP51" s="329"/>
      <c r="IQ51" s="408"/>
      <c r="IR51" s="329"/>
      <c r="IS51" s="408"/>
      <c r="IT51" s="27"/>
      <c r="IU51" s="1066"/>
      <c r="IV51" s="115"/>
      <c r="IW51" s="116"/>
      <c r="IX51" s="701"/>
      <c r="IY51" s="701"/>
      <c r="IZ51" s="701"/>
      <c r="JA51" s="8"/>
      <c r="LI51" s="966"/>
      <c r="LJ51" s="966"/>
      <c r="LK51" s="966"/>
      <c r="LL51" s="966"/>
      <c r="LM51" s="966"/>
      <c r="LN51" s="966"/>
      <c r="LO51" s="966"/>
      <c r="LP51" s="966"/>
      <c r="LQ51" s="966"/>
      <c r="LR51" s="966"/>
      <c r="LS51" s="966"/>
      <c r="LT51" s="966"/>
      <c r="LU51" s="1162"/>
      <c r="LV51" s="1162"/>
      <c r="LW51" s="1162"/>
      <c r="LX51" s="1162"/>
      <c r="LY51" s="1162"/>
      <c r="LZ51" s="1162"/>
      <c r="MA51" s="1162"/>
      <c r="MB51" s="1162"/>
      <c r="MC51" s="1162"/>
      <c r="MD51" s="1162"/>
      <c r="ME51" s="1162"/>
      <c r="MF51" s="1162"/>
      <c r="MG51" s="1184"/>
      <c r="MH51" s="1184"/>
      <c r="MI51" s="1184"/>
      <c r="MJ51" s="1184"/>
      <c r="MK51" s="1184"/>
      <c r="ML51" s="1184"/>
      <c r="MM51" s="1184"/>
      <c r="MN51" s="1184"/>
      <c r="MO51" s="1184"/>
      <c r="MP51" s="1184"/>
      <c r="MQ51" s="1184"/>
      <c r="MR51" s="1184"/>
    </row>
    <row r="52" spans="1:356" x14ac:dyDescent="0.25">
      <c r="B52" s="56">
        <v>8.1</v>
      </c>
      <c r="C52" s="7"/>
      <c r="D52" s="119"/>
      <c r="E52" s="1217" t="s">
        <v>63</v>
      </c>
      <c r="F52" s="1217"/>
      <c r="G52" s="1218"/>
      <c r="H52" s="375">
        <v>127</v>
      </c>
      <c r="I52" s="77">
        <v>113</v>
      </c>
      <c r="J52" s="33">
        <v>146</v>
      </c>
      <c r="K52" s="77">
        <v>160</v>
      </c>
      <c r="L52" s="33">
        <v>127</v>
      </c>
      <c r="M52" s="77">
        <v>89</v>
      </c>
      <c r="N52" s="33">
        <v>92</v>
      </c>
      <c r="O52" s="77">
        <v>133</v>
      </c>
      <c r="P52" s="33">
        <v>149</v>
      </c>
      <c r="Q52" s="77">
        <v>134</v>
      </c>
      <c r="R52" s="33">
        <v>87</v>
      </c>
      <c r="S52" s="77">
        <v>82</v>
      </c>
      <c r="T52" s="130">
        <v>1439</v>
      </c>
      <c r="U52" s="163">
        <v>119.91666666666667</v>
      </c>
      <c r="V52" s="375">
        <f>SUM(V53:V62)</f>
        <v>79</v>
      </c>
      <c r="W52" s="77">
        <f>SUM(W53:W62)</f>
        <v>103</v>
      </c>
      <c r="X52" s="33">
        <f>SUM(X53:X62)</f>
        <v>116</v>
      </c>
      <c r="Y52" s="77">
        <f>SUM(Y53:Y62)</f>
        <v>96</v>
      </c>
      <c r="Z52" s="33">
        <v>70</v>
      </c>
      <c r="AA52" s="77">
        <v>70</v>
      </c>
      <c r="AB52" s="33">
        <v>71</v>
      </c>
      <c r="AC52" s="77">
        <v>78</v>
      </c>
      <c r="AD52" s="33">
        <v>107</v>
      </c>
      <c r="AE52" s="77">
        <v>103</v>
      </c>
      <c r="AF52" s="33">
        <v>97</v>
      </c>
      <c r="AG52" s="77">
        <v>102</v>
      </c>
      <c r="AH52" s="130">
        <v>1092</v>
      </c>
      <c r="AI52" s="163">
        <v>91</v>
      </c>
      <c r="AJ52" s="375">
        <f>SUM(AJ53:AJ62)</f>
        <v>90</v>
      </c>
      <c r="AK52" s="77">
        <f>SUM(AK53:AK62)</f>
        <v>111</v>
      </c>
      <c r="AL52" s="33">
        <f>SUM(AL53:AL62)</f>
        <v>94</v>
      </c>
      <c r="AM52" s="77">
        <f>SUM(AM53:AM62)</f>
        <v>118</v>
      </c>
      <c r="AN52" s="33">
        <f t="shared" ref="AN52:AU52" si="1086">SUM(AN53:AN62)</f>
        <v>101</v>
      </c>
      <c r="AO52" s="77">
        <f t="shared" si="1086"/>
        <v>99</v>
      </c>
      <c r="AP52" s="624">
        <f t="shared" si="1086"/>
        <v>122</v>
      </c>
      <c r="AQ52" s="77">
        <f t="shared" si="1086"/>
        <v>119</v>
      </c>
      <c r="AR52" s="624">
        <f t="shared" si="1086"/>
        <v>116</v>
      </c>
      <c r="AS52" s="77">
        <f t="shared" si="1086"/>
        <v>151</v>
      </c>
      <c r="AT52" s="624">
        <f t="shared" si="1086"/>
        <v>117</v>
      </c>
      <c r="AU52" s="77">
        <f t="shared" si="1086"/>
        <v>99</v>
      </c>
      <c r="AV52" s="130">
        <f t="shared" ref="AV52:AV64" si="1087">SUM(AJ52:AU52)</f>
        <v>1337</v>
      </c>
      <c r="AW52" s="163">
        <f t="shared" ref="AW52:AW64" si="1088">SUM(AJ52:AU52)/$AV$4</f>
        <v>111.41666666666667</v>
      </c>
      <c r="AX52" s="375">
        <f t="shared" ref="AX52:BC52" si="1089">SUM(AX53:AX62)</f>
        <v>88</v>
      </c>
      <c r="AY52" s="77">
        <f t="shared" si="1089"/>
        <v>121</v>
      </c>
      <c r="AZ52" s="33">
        <f t="shared" si="1089"/>
        <v>93</v>
      </c>
      <c r="BA52" s="77">
        <f t="shared" si="1089"/>
        <v>17</v>
      </c>
      <c r="BB52" s="33">
        <f t="shared" si="1089"/>
        <v>9</v>
      </c>
      <c r="BC52" s="77">
        <f t="shared" si="1089"/>
        <v>17</v>
      </c>
      <c r="BD52" s="624">
        <f t="shared" ref="BD52:BI52" si="1090">SUM(BD53:BD62)</f>
        <v>10</v>
      </c>
      <c r="BE52" s="77">
        <f t="shared" si="1090"/>
        <v>20</v>
      </c>
      <c r="BF52" s="624">
        <f t="shared" si="1090"/>
        <v>23</v>
      </c>
      <c r="BG52" s="77">
        <f t="shared" si="1090"/>
        <v>23</v>
      </c>
      <c r="BH52" s="624">
        <f t="shared" si="1090"/>
        <v>15</v>
      </c>
      <c r="BI52" s="77">
        <f t="shared" si="1090"/>
        <v>14</v>
      </c>
      <c r="BJ52" s="130">
        <f t="shared" ref="BJ52:BJ64" si="1091">SUM(AX52:BI52)</f>
        <v>450</v>
      </c>
      <c r="BK52" s="163">
        <f t="shared" ref="BK52:BK64" si="1092">SUM(AX52:BI52)/$BJ$4</f>
        <v>37.5</v>
      </c>
      <c r="BL52" s="375">
        <f t="shared" ref="BL52:BP52" si="1093">SUM(BL53:BL62)</f>
        <v>20</v>
      </c>
      <c r="BM52" s="77">
        <f t="shared" ref="BM52:BN52" si="1094">SUM(BM53:BM62)</f>
        <v>22</v>
      </c>
      <c r="BN52" s="33">
        <f t="shared" si="1094"/>
        <v>20</v>
      </c>
      <c r="BO52" s="77">
        <f t="shared" si="1093"/>
        <v>16</v>
      </c>
      <c r="BP52" s="33">
        <f t="shared" si="1093"/>
        <v>19</v>
      </c>
      <c r="BQ52" s="77">
        <f t="shared" ref="BQ52:BR52" si="1095">SUM(BQ53:BQ62)</f>
        <v>14</v>
      </c>
      <c r="BR52" s="624">
        <f t="shared" si="1095"/>
        <v>17</v>
      </c>
      <c r="BS52" s="77">
        <f t="shared" ref="BS52:BT52" si="1096">SUM(BS53:BS62)</f>
        <v>28</v>
      </c>
      <c r="BT52" s="624">
        <f t="shared" si="1096"/>
        <v>33</v>
      </c>
      <c r="BU52" s="624">
        <f t="shared" ref="BU52" si="1097">SUM(BU53:BU62)</f>
        <v>31</v>
      </c>
      <c r="BV52" s="624">
        <f t="shared" ref="BV52:BW52" si="1098">SUM(BV53:BV62)</f>
        <v>43</v>
      </c>
      <c r="BW52" s="624">
        <f t="shared" si="1098"/>
        <v>33</v>
      </c>
      <c r="BX52" s="130">
        <f t="shared" ref="BX52:BX64" si="1099">SUM(BL52:BW52)</f>
        <v>296</v>
      </c>
      <c r="BY52" s="163">
        <f t="shared" ref="BY52:BY64" si="1100">SUM(BL52:BW52)/$BX$4</f>
        <v>24.666666666666668</v>
      </c>
      <c r="BZ52" s="624">
        <f t="shared" ref="BZ52:CA52" si="1101">SUM(BZ53:BZ62)</f>
        <v>29</v>
      </c>
      <c r="CA52" s="77">
        <f t="shared" si="1101"/>
        <v>25</v>
      </c>
      <c r="CB52" s="33">
        <f t="shared" ref="CB52:CC52" si="1102">SUM(CB53:CB62)</f>
        <v>20</v>
      </c>
      <c r="CC52" s="77">
        <f t="shared" si="1102"/>
        <v>19</v>
      </c>
      <c r="CD52" s="33">
        <f t="shared" ref="CD52:CE52" si="1103">SUM(CD53:CD62)</f>
        <v>18</v>
      </c>
      <c r="CE52" s="77">
        <f t="shared" si="1103"/>
        <v>18</v>
      </c>
      <c r="CF52" s="624">
        <f t="shared" ref="CF52:CG52" si="1104">SUM(CF53:CF62)</f>
        <v>18</v>
      </c>
      <c r="CG52" s="77">
        <f t="shared" si="1104"/>
        <v>24</v>
      </c>
      <c r="CH52" s="624">
        <f t="shared" ref="CH52:CI52" si="1105">SUM(CH53:CH62)</f>
        <v>30</v>
      </c>
      <c r="CI52" s="624">
        <f t="shared" si="1105"/>
        <v>20</v>
      </c>
      <c r="CJ52" s="624">
        <f t="shared" ref="CJ52:CK52" si="1106">SUM(CJ53:CJ62)</f>
        <v>19</v>
      </c>
      <c r="CK52" s="624">
        <f t="shared" si="1106"/>
        <v>14</v>
      </c>
      <c r="CL52" s="130">
        <f t="shared" ref="CL52:CL64" si="1107">SUM(BZ52:CK52)</f>
        <v>254</v>
      </c>
      <c r="CM52" s="163">
        <f t="shared" ref="CM52:CM64" si="1108">SUM(BZ52:CK52)/$CL$4</f>
        <v>21.166666666666668</v>
      </c>
      <c r="CN52" s="624">
        <f t="shared" ref="CN52:CO52" si="1109">SUM(CN53:CN62)</f>
        <v>19</v>
      </c>
      <c r="CO52" s="77">
        <f t="shared" si="1109"/>
        <v>23</v>
      </c>
      <c r="CP52" s="33">
        <f t="shared" ref="CP52:CQ52" si="1110">SUM(CP53:CP62)</f>
        <v>22</v>
      </c>
      <c r="CQ52" s="77">
        <f t="shared" si="1110"/>
        <v>17</v>
      </c>
      <c r="CR52" s="33">
        <f t="shared" ref="CR52:CS52" si="1111">SUM(CR53:CR62)</f>
        <v>14</v>
      </c>
      <c r="CS52" s="77">
        <f t="shared" si="1111"/>
        <v>9</v>
      </c>
      <c r="CT52" s="1030">
        <f t="shared" ref="CT52:CU52" si="1112">SUM(CT53:CT62)</f>
        <v>18</v>
      </c>
      <c r="CU52" s="77">
        <f t="shared" si="1112"/>
        <v>26</v>
      </c>
      <c r="CV52" s="1106">
        <f t="shared" ref="CV52:CX52" si="1113">SUM(CV53:CV62)</f>
        <v>17</v>
      </c>
      <c r="CW52" s="1107">
        <f t="shared" si="1113"/>
        <v>20</v>
      </c>
      <c r="CX52" s="1106">
        <f t="shared" si="1113"/>
        <v>18</v>
      </c>
      <c r="CY52" s="1108">
        <f t="shared" ref="CY52" si="1114">SUM(CY53:CY62)</f>
        <v>10</v>
      </c>
      <c r="CZ52" s="1109">
        <f t="shared" ref="CZ52:CZ64" si="1115">SUM(CN52:CY52)</f>
        <v>213</v>
      </c>
      <c r="DA52" s="1110">
        <f t="shared" ref="DA52:DA64" si="1116">SUM(CN52:CY52)/$CZ$4</f>
        <v>17.75</v>
      </c>
      <c r="DB52" s="1127">
        <f t="shared" ref="DB52:DC52" si="1117">SUM(DB53:DB62)</f>
        <v>15</v>
      </c>
      <c r="DC52" s="1128">
        <f t="shared" si="1117"/>
        <v>14</v>
      </c>
      <c r="DD52" s="1129">
        <f t="shared" ref="DD52:DE52" si="1118">SUM(DD53:DD62)</f>
        <v>14</v>
      </c>
      <c r="DE52" s="1128">
        <f t="shared" si="1118"/>
        <v>13</v>
      </c>
      <c r="DF52" s="1129">
        <f t="shared" ref="DF52:DG52" si="1119">SUM(DF53:DF62)</f>
        <v>15</v>
      </c>
      <c r="DG52" s="1128">
        <f t="shared" si="1119"/>
        <v>5</v>
      </c>
      <c r="DH52" s="1130">
        <f t="shared" ref="DH52:DI52" si="1120">SUM(DH53:DH62)</f>
        <v>15</v>
      </c>
      <c r="DI52" s="1128">
        <f t="shared" si="1120"/>
        <v>12</v>
      </c>
      <c r="DJ52" s="1127">
        <f t="shared" ref="DJ52:DK52" si="1121">SUM(DJ53:DJ62)</f>
        <v>13</v>
      </c>
      <c r="DK52" s="1128">
        <f t="shared" si="1121"/>
        <v>12</v>
      </c>
      <c r="DL52" s="1127"/>
      <c r="DM52" s="1128"/>
      <c r="DN52" s="130">
        <f t="shared" ref="DN52:DN64" si="1122">SUM(DB52:DM52)</f>
        <v>128</v>
      </c>
      <c r="DO52" s="163">
        <f t="shared" ref="DO52:DO64" si="1123">SUM(DB52:DM52)/$DN$4</f>
        <v>12.8</v>
      </c>
      <c r="DP52" s="1127"/>
      <c r="DQ52" s="1128"/>
      <c r="DR52" s="1129"/>
      <c r="DS52" s="1128"/>
      <c r="DT52" s="1129"/>
      <c r="DU52" s="1128"/>
      <c r="DV52" s="1130"/>
      <c r="DW52" s="1128"/>
      <c r="DX52" s="1127"/>
      <c r="DY52" s="1128"/>
      <c r="DZ52" s="1127"/>
      <c r="EA52" s="1128"/>
      <c r="EB52" s="130">
        <f t="shared" ref="EB52:EB64" si="1124">SUM(DP52:EA52)</f>
        <v>0</v>
      </c>
      <c r="EC52" s="163" t="e">
        <f t="shared" ref="EC52:EC64" si="1125">SUM(DP52:EA52)/$EB$4</f>
        <v>#DIV/0!</v>
      </c>
      <c r="ED52" s="674">
        <f>AX52-AU52</f>
        <v>-11</v>
      </c>
      <c r="EE52" s="663">
        <f>ED52/AU52</f>
        <v>-0.1111111111111111</v>
      </c>
      <c r="EF52" s="674">
        <f>AY52-AX52</f>
        <v>33</v>
      </c>
      <c r="EG52" s="663">
        <f>EF52/AX52</f>
        <v>0.375</v>
      </c>
      <c r="EH52" s="674">
        <f>AZ52-AY52</f>
        <v>-28</v>
      </c>
      <c r="EI52" s="663">
        <f>EH52/AY52</f>
        <v>-0.23140495867768596</v>
      </c>
      <c r="EJ52" s="674">
        <f>BA52-AZ52</f>
        <v>-76</v>
      </c>
      <c r="EK52" s="663">
        <f>EJ52/AZ52</f>
        <v>-0.81720430107526887</v>
      </c>
      <c r="EL52" s="674">
        <f>BB52-BA52</f>
        <v>-8</v>
      </c>
      <c r="EM52" s="663">
        <f>EL52/BA52</f>
        <v>-0.47058823529411764</v>
      </c>
      <c r="EN52" s="674">
        <f>BC52-BB52</f>
        <v>8</v>
      </c>
      <c r="EO52" s="663">
        <f>EN52/BB52</f>
        <v>0.88888888888888884</v>
      </c>
      <c r="EP52" s="674">
        <f>BD52-BC52</f>
        <v>-7</v>
      </c>
      <c r="EQ52" s="663">
        <f>EP52/BC52</f>
        <v>-0.41176470588235292</v>
      </c>
      <c r="ER52" s="674">
        <f>BE52-BD52</f>
        <v>10</v>
      </c>
      <c r="ES52" s="663">
        <f>ER52/BD52</f>
        <v>1</v>
      </c>
      <c r="ET52" s="674">
        <f>BF52-BE52</f>
        <v>3</v>
      </c>
      <c r="EU52" s="663">
        <f>ET52/BE52</f>
        <v>0.15</v>
      </c>
      <c r="EV52" s="674">
        <f>BG52-BF52</f>
        <v>0</v>
      </c>
      <c r="EW52" s="109">
        <f>EV52/BF52</f>
        <v>0</v>
      </c>
      <c r="EX52" s="674">
        <f>BH52-BG52</f>
        <v>-8</v>
      </c>
      <c r="EY52" s="663">
        <f>EX52/BG52</f>
        <v>-0.34782608695652173</v>
      </c>
      <c r="EZ52" s="674">
        <f>BI52-BH52</f>
        <v>-1</v>
      </c>
      <c r="FA52" s="663">
        <f>EZ52/BH52</f>
        <v>-6.6666666666666666E-2</v>
      </c>
      <c r="FB52" s="674">
        <f>BL52-BI52</f>
        <v>6</v>
      </c>
      <c r="FC52" s="663">
        <f>FB52/BI52</f>
        <v>0.42857142857142855</v>
      </c>
      <c r="FD52" s="324">
        <f>BM52-BL52</f>
        <v>2</v>
      </c>
      <c r="FE52" s="402">
        <f>FD52/BL52</f>
        <v>0.1</v>
      </c>
      <c r="FF52" s="324">
        <f>BN52-BM52</f>
        <v>-2</v>
      </c>
      <c r="FG52" s="402">
        <f>FF52/BM52</f>
        <v>-9.0909090909090912E-2</v>
      </c>
      <c r="FH52" s="324">
        <f>BO52-BN52</f>
        <v>-4</v>
      </c>
      <c r="FI52" s="402">
        <f>FH52/BN52</f>
        <v>-0.2</v>
      </c>
      <c r="FJ52" s="324">
        <f>BP52-BO52</f>
        <v>3</v>
      </c>
      <c r="FK52" s="402">
        <f>FJ52/BO52</f>
        <v>0.1875</v>
      </c>
      <c r="FL52" s="324">
        <f t="shared" ref="FL52:FL64" si="1126">BQ52-BP52</f>
        <v>-5</v>
      </c>
      <c r="FM52" s="402">
        <f>FL52/BP52</f>
        <v>-0.26315789473684209</v>
      </c>
      <c r="FN52" s="324">
        <f t="shared" ref="FN52:FN64" si="1127">BR52-BQ52</f>
        <v>3</v>
      </c>
      <c r="FO52" s="402">
        <f>FN52/BQ52</f>
        <v>0.21428571428571427</v>
      </c>
      <c r="FP52" s="324">
        <f t="shared" ref="FP52:FP64" si="1128">BS52-BR52</f>
        <v>11</v>
      </c>
      <c r="FQ52" s="402">
        <f>FP52/BR52</f>
        <v>0.6470588235294118</v>
      </c>
      <c r="FR52" s="324">
        <f t="shared" ref="FR52:FR64" si="1129">BT52-BS52</f>
        <v>5</v>
      </c>
      <c r="FS52" s="402">
        <f>FR52/BS52</f>
        <v>0.17857142857142858</v>
      </c>
      <c r="FT52" s="324">
        <f t="shared" ref="FT52:FT64" si="1130">BU52-BT52</f>
        <v>-2</v>
      </c>
      <c r="FU52" s="402">
        <f>FT52/BT52</f>
        <v>-6.0606060606060608E-2</v>
      </c>
      <c r="FV52" s="324">
        <f t="shared" ref="FV52:FV64" si="1131">BV52-BU52</f>
        <v>12</v>
      </c>
      <c r="FW52" s="402">
        <f t="shared" ref="FW52:FW58" si="1132">FV52/BU52</f>
        <v>0.38709677419354838</v>
      </c>
      <c r="FX52" s="324">
        <f t="shared" ref="FX52:FX64" si="1133">BW52-BV52</f>
        <v>-10</v>
      </c>
      <c r="FY52" s="402">
        <f>FX52/BV52</f>
        <v>-0.23255813953488372</v>
      </c>
      <c r="FZ52" s="324">
        <f t="shared" ref="FZ52:FZ64" si="1134">BZ52-BW52</f>
        <v>-4</v>
      </c>
      <c r="GA52" s="402">
        <f>FZ52/BW52</f>
        <v>-0.12121212121212122</v>
      </c>
      <c r="GB52" s="324">
        <f t="shared" ref="GB52:GB64" si="1135">CA52-BZ52</f>
        <v>-4</v>
      </c>
      <c r="GC52" s="402">
        <f>GB52/BZ52</f>
        <v>-0.13793103448275862</v>
      </c>
      <c r="GD52" s="324">
        <f t="shared" ref="GD52:GD64" si="1136">CB52-CA52</f>
        <v>-5</v>
      </c>
      <c r="GE52" s="402">
        <f>GD52/CA52</f>
        <v>-0.2</v>
      </c>
      <c r="GF52" s="324">
        <f t="shared" ref="GF52:GF64" si="1137">CC52-CB52</f>
        <v>-1</v>
      </c>
      <c r="GG52" s="402">
        <f>GF52/CB52</f>
        <v>-0.05</v>
      </c>
      <c r="GH52" s="324">
        <f t="shared" ref="GH52:GH64" si="1138">CD52-CC52</f>
        <v>-1</v>
      </c>
      <c r="GI52" s="402">
        <f>GH52/CC52</f>
        <v>-5.2631578947368418E-2</v>
      </c>
      <c r="GJ52" s="324">
        <f t="shared" ref="GJ52:GJ64" si="1139">CE52-CD52</f>
        <v>0</v>
      </c>
      <c r="GK52" s="402">
        <f>GJ52/CD52</f>
        <v>0</v>
      </c>
      <c r="GL52" s="324">
        <f t="shared" ref="GL52:GL64" si="1140">CF52-CE52</f>
        <v>0</v>
      </c>
      <c r="GM52" s="402">
        <f>GL52/CE52</f>
        <v>0</v>
      </c>
      <c r="GN52" s="324">
        <f t="shared" ref="GN52:GN64" si="1141">CG52-CF52</f>
        <v>6</v>
      </c>
      <c r="GO52" s="402">
        <f>GN52/CF52</f>
        <v>0.33333333333333331</v>
      </c>
      <c r="GP52" s="324">
        <f t="shared" ref="GP52:GP64" si="1142">CH52-CG52</f>
        <v>6</v>
      </c>
      <c r="GQ52" s="402">
        <f>GP52/CG52</f>
        <v>0.25</v>
      </c>
      <c r="GR52" s="324">
        <f t="shared" ref="GR52:GR64" si="1143">CI52-CH52</f>
        <v>-10</v>
      </c>
      <c r="GS52" s="402">
        <f t="shared" ref="GS52:GS64" si="1144">GR52/CH52</f>
        <v>-0.33333333333333331</v>
      </c>
      <c r="GT52" s="324">
        <f t="shared" ref="GT52:GT64" si="1145">CJ52-CI52</f>
        <v>-1</v>
      </c>
      <c r="GU52" s="402">
        <f>GT52/CI52</f>
        <v>-0.05</v>
      </c>
      <c r="GV52" s="324">
        <f t="shared" ref="GV52:GV64" si="1146">CK52-CJ52</f>
        <v>-5</v>
      </c>
      <c r="GW52" s="402">
        <f t="shared" ref="GW52:GW64" si="1147">GV52/CJ52</f>
        <v>-0.26315789473684209</v>
      </c>
      <c r="GX52" s="324">
        <f t="shared" ref="GX52:GX64" si="1148">CN52-CK52</f>
        <v>5</v>
      </c>
      <c r="GY52" s="402">
        <f>GX52/CK52</f>
        <v>0.35714285714285715</v>
      </c>
      <c r="GZ52" s="324">
        <f t="shared" ref="GZ52:GZ64" si="1149">CO52-CN52</f>
        <v>4</v>
      </c>
      <c r="HA52" s="402">
        <f>GZ52/CN52</f>
        <v>0.21052631578947367</v>
      </c>
      <c r="HB52" s="324">
        <f t="shared" ref="HB52:HB64" si="1150">CP52-CO52</f>
        <v>-1</v>
      </c>
      <c r="HC52" s="402">
        <f>HB52/CO52</f>
        <v>-4.3478260869565216E-2</v>
      </c>
      <c r="HD52" s="324">
        <f t="shared" ref="HD52:HD64" si="1151">CQ52-CP52</f>
        <v>-5</v>
      </c>
      <c r="HE52" s="402">
        <f>HD52/CP52</f>
        <v>-0.22727272727272727</v>
      </c>
      <c r="HF52" s="324">
        <f t="shared" ref="HF52:HF64" si="1152">CR52-CQ52</f>
        <v>-3</v>
      </c>
      <c r="HG52" s="402">
        <f>HF52/CQ52</f>
        <v>-0.17647058823529413</v>
      </c>
      <c r="HH52" s="324">
        <f t="shared" ref="HH52:HH64" si="1153">CS52-CR52</f>
        <v>-5</v>
      </c>
      <c r="HI52" s="402">
        <f>HH52/CR52</f>
        <v>-0.35714285714285715</v>
      </c>
      <c r="HJ52" s="324">
        <f t="shared" ref="HJ52:HJ64" si="1154">CT52-CS52</f>
        <v>9</v>
      </c>
      <c r="HK52" s="402">
        <f>HJ52/CS52</f>
        <v>1</v>
      </c>
      <c r="HL52" s="324">
        <f t="shared" ref="HL52:HL64" si="1155">CU52-CT52</f>
        <v>8</v>
      </c>
      <c r="HM52" s="402">
        <f>HL52/CT52</f>
        <v>0.44444444444444442</v>
      </c>
      <c r="HN52" s="324">
        <f t="shared" ref="HN52:HN64" si="1156">CV52-CU52</f>
        <v>-9</v>
      </c>
      <c r="HO52" s="402">
        <f>HN52/CU52</f>
        <v>-0.34615384615384615</v>
      </c>
      <c r="HP52" s="324">
        <f t="shared" ref="HP52:HP64" si="1157">CW52-CV52</f>
        <v>3</v>
      </c>
      <c r="HQ52" s="402">
        <f>HP52/CV52</f>
        <v>0.17647058823529413</v>
      </c>
      <c r="HR52" s="324">
        <f t="shared" ref="HR52:HR64" si="1158">CX52-CW52</f>
        <v>-2</v>
      </c>
      <c r="HS52" s="402">
        <f>HR52/CW52</f>
        <v>-0.1</v>
      </c>
      <c r="HT52" s="324">
        <f t="shared" ref="HT52:HT64" si="1159">CY52-CX52</f>
        <v>-8</v>
      </c>
      <c r="HU52" s="402">
        <f>HT52/CX52</f>
        <v>-0.44444444444444442</v>
      </c>
      <c r="HV52" s="324">
        <f t="shared" ref="HV52:HV64" si="1160">DB52-CY52</f>
        <v>5</v>
      </c>
      <c r="HW52" s="402">
        <f>HV52/CY52</f>
        <v>0.5</v>
      </c>
      <c r="HX52" s="324">
        <f t="shared" ref="HX52:HX64" si="1161">DC52-DB52</f>
        <v>-1</v>
      </c>
      <c r="HY52" s="402">
        <f>HX52/DB52</f>
        <v>-6.6666666666666666E-2</v>
      </c>
      <c r="HZ52" s="324">
        <f t="shared" ref="HZ52:HZ64" si="1162">DD52-DC52</f>
        <v>0</v>
      </c>
      <c r="IA52" s="402">
        <f>HZ52/DD52</f>
        <v>0</v>
      </c>
      <c r="IB52" s="324">
        <f t="shared" ref="IB52:IB64" si="1163">DE52-DD52</f>
        <v>-1</v>
      </c>
      <c r="IC52" s="402">
        <f>IB52/DD52</f>
        <v>-7.1428571428571425E-2</v>
      </c>
      <c r="ID52" s="324">
        <f t="shared" ref="ID52:ID64" si="1164">DF52-DE52</f>
        <v>2</v>
      </c>
      <c r="IE52" s="402">
        <f>ID52/DO52</f>
        <v>0.15625</v>
      </c>
      <c r="IF52" s="324">
        <f t="shared" ref="IF52:IF64" si="1165">DG52-DF52</f>
        <v>-10</v>
      </c>
      <c r="IG52" s="402">
        <f t="shared" ref="IG52:IG64" si="1166">IF52/DF52</f>
        <v>-0.66666666666666663</v>
      </c>
      <c r="IH52" s="324">
        <f t="shared" ref="IH52:IH64" si="1167">DH52-DG52</f>
        <v>10</v>
      </c>
      <c r="II52" s="402">
        <f t="shared" ref="II52:II64" si="1168">IH52/DG52</f>
        <v>2</v>
      </c>
      <c r="IJ52" s="324">
        <f t="shared" ref="IJ52:IJ64" si="1169">DI52-DH52</f>
        <v>-3</v>
      </c>
      <c r="IK52" s="402">
        <f t="shared" ref="IK52:IK64" si="1170">IJ52/DH52</f>
        <v>-0.2</v>
      </c>
      <c r="IL52" s="324">
        <f t="shared" ref="IL52:IL64" si="1171">DJ52-DI52</f>
        <v>1</v>
      </c>
      <c r="IM52" s="402">
        <f t="shared" ref="IM52:IM64" si="1172">IL52/DI52</f>
        <v>8.3333333333333329E-2</v>
      </c>
      <c r="IN52" s="324">
        <f t="shared" ref="IN52:IN64" si="1173">DK52-DJ52</f>
        <v>-1</v>
      </c>
      <c r="IO52" s="402">
        <f t="shared" ref="IO52:IO64" si="1174">IN52/DJ52</f>
        <v>-7.6923076923076927E-2</v>
      </c>
      <c r="IP52" s="324">
        <f t="shared" ref="IP52:IP64" si="1175">DL52-DK52</f>
        <v>-12</v>
      </c>
      <c r="IQ52" s="402">
        <f t="shared" ref="IQ52:IQ64" si="1176">IP52/EI52</f>
        <v>51.857142857142854</v>
      </c>
      <c r="IR52" s="324">
        <f t="shared" ref="IR52:IR64" si="1177">EK52-EJ52</f>
        <v>75.182795698924735</v>
      </c>
      <c r="IS52" s="402">
        <f t="shared" ref="IS52:IS64" si="1178">IR52/EJ52</f>
        <v>-0.989247311827957</v>
      </c>
      <c r="IT52" s="624">
        <f t="shared" ref="IT52:IT64" si="1179">CW52</f>
        <v>20</v>
      </c>
      <c r="IU52" s="1061">
        <f t="shared" ref="IU52:IU64" si="1180">DK52</f>
        <v>12</v>
      </c>
      <c r="IV52" s="122">
        <f t="shared" ref="IV52:IV64" si="1181">IU52-IT52</f>
        <v>-8</v>
      </c>
      <c r="IW52" s="109">
        <f t="shared" ref="IW52:IW64" si="1182">IF(ISERROR(IV52/IT52),0,IV52/IT52)</f>
        <v>-0.4</v>
      </c>
      <c r="IX52" s="698"/>
      <c r="IY52" s="698"/>
      <c r="IZ52" s="698"/>
      <c r="JA52" t="str">
        <f t="shared" ref="JA52:JA64" si="1183">E52</f>
        <v>Number of Classes Offered</v>
      </c>
      <c r="JB52" s="262" t="e">
        <f>#REF!</f>
        <v>#REF!</v>
      </c>
      <c r="JC52" s="262" t="e">
        <f>#REF!</f>
        <v>#REF!</v>
      </c>
      <c r="JD52" s="262" t="e">
        <f>#REF!</f>
        <v>#REF!</v>
      </c>
      <c r="JE52" s="262" t="e">
        <f>#REF!</f>
        <v>#REF!</v>
      </c>
      <c r="JF52" s="262" t="e">
        <f>#REF!</f>
        <v>#REF!</v>
      </c>
      <c r="JG52" s="262" t="e">
        <f>#REF!</f>
        <v>#REF!</v>
      </c>
      <c r="JH52" s="262" t="e">
        <f>#REF!</f>
        <v>#REF!</v>
      </c>
      <c r="JI52" s="262" t="e">
        <f>#REF!</f>
        <v>#REF!</v>
      </c>
      <c r="JJ52" s="262" t="e">
        <f>#REF!</f>
        <v>#REF!</v>
      </c>
      <c r="JK52" s="262" t="e">
        <f>#REF!</f>
        <v>#REF!</v>
      </c>
      <c r="JL52" s="262" t="e">
        <f>#REF!</f>
        <v>#REF!</v>
      </c>
      <c r="JM52" s="263">
        <f t="shared" ref="JM52:JX55" si="1184">AJ52</f>
        <v>90</v>
      </c>
      <c r="JN52" s="263">
        <f t="shared" si="1184"/>
        <v>111</v>
      </c>
      <c r="JO52" s="263">
        <f t="shared" si="1184"/>
        <v>94</v>
      </c>
      <c r="JP52" s="263">
        <f t="shared" si="1184"/>
        <v>118</v>
      </c>
      <c r="JQ52" s="263">
        <f t="shared" si="1184"/>
        <v>101</v>
      </c>
      <c r="JR52" s="263">
        <f t="shared" si="1184"/>
        <v>99</v>
      </c>
      <c r="JS52" s="263">
        <f t="shared" si="1184"/>
        <v>122</v>
      </c>
      <c r="JT52" s="263">
        <f t="shared" si="1184"/>
        <v>119</v>
      </c>
      <c r="JU52" s="263">
        <f t="shared" si="1184"/>
        <v>116</v>
      </c>
      <c r="JV52" s="263">
        <f t="shared" si="1184"/>
        <v>151</v>
      </c>
      <c r="JW52" s="263">
        <f t="shared" si="1184"/>
        <v>117</v>
      </c>
      <c r="JX52" s="263">
        <f t="shared" si="1184"/>
        <v>99</v>
      </c>
      <c r="JY52" s="263">
        <f t="shared" ref="JY52:KJ55" si="1185">AX52</f>
        <v>88</v>
      </c>
      <c r="JZ52" s="263">
        <f t="shared" si="1185"/>
        <v>121</v>
      </c>
      <c r="KA52" s="263">
        <f t="shared" si="1185"/>
        <v>93</v>
      </c>
      <c r="KB52" s="263">
        <f t="shared" si="1185"/>
        <v>17</v>
      </c>
      <c r="KC52" s="263">
        <f t="shared" si="1185"/>
        <v>9</v>
      </c>
      <c r="KD52" s="263">
        <f t="shared" si="1185"/>
        <v>17</v>
      </c>
      <c r="KE52" s="263">
        <f t="shared" si="1185"/>
        <v>10</v>
      </c>
      <c r="KF52" s="263">
        <f t="shared" si="1185"/>
        <v>20</v>
      </c>
      <c r="KG52" s="263">
        <f t="shared" si="1185"/>
        <v>23</v>
      </c>
      <c r="KH52" s="263">
        <f t="shared" si="1185"/>
        <v>23</v>
      </c>
      <c r="KI52" s="263">
        <f t="shared" si="1185"/>
        <v>15</v>
      </c>
      <c r="KJ52" s="263">
        <f t="shared" si="1185"/>
        <v>14</v>
      </c>
      <c r="KK52" s="788">
        <f t="shared" ref="KK52:KV55" si="1186">BL52</f>
        <v>20</v>
      </c>
      <c r="KL52" s="788">
        <f t="shared" si="1186"/>
        <v>22</v>
      </c>
      <c r="KM52" s="788">
        <f t="shared" si="1186"/>
        <v>20</v>
      </c>
      <c r="KN52" s="788">
        <f t="shared" si="1186"/>
        <v>16</v>
      </c>
      <c r="KO52" s="788">
        <f t="shared" si="1186"/>
        <v>19</v>
      </c>
      <c r="KP52" s="788">
        <f t="shared" si="1186"/>
        <v>14</v>
      </c>
      <c r="KQ52" s="788">
        <f t="shared" si="1186"/>
        <v>17</v>
      </c>
      <c r="KR52" s="788">
        <f t="shared" si="1186"/>
        <v>28</v>
      </c>
      <c r="KS52" s="788">
        <f t="shared" si="1186"/>
        <v>33</v>
      </c>
      <c r="KT52" s="788">
        <f t="shared" si="1186"/>
        <v>31</v>
      </c>
      <c r="KU52" s="788">
        <f t="shared" si="1186"/>
        <v>43</v>
      </c>
      <c r="KV52" s="788">
        <f t="shared" si="1186"/>
        <v>33</v>
      </c>
      <c r="KW52" s="900">
        <f t="shared" ref="KW52:LH55" si="1187">BZ52</f>
        <v>29</v>
      </c>
      <c r="KX52" s="900">
        <f t="shared" si="1187"/>
        <v>25</v>
      </c>
      <c r="KY52" s="900">
        <f t="shared" si="1187"/>
        <v>20</v>
      </c>
      <c r="KZ52" s="900">
        <f t="shared" si="1187"/>
        <v>19</v>
      </c>
      <c r="LA52" s="900">
        <f t="shared" si="1187"/>
        <v>18</v>
      </c>
      <c r="LB52" s="900">
        <f t="shared" si="1187"/>
        <v>18</v>
      </c>
      <c r="LC52" s="900">
        <f t="shared" si="1187"/>
        <v>18</v>
      </c>
      <c r="LD52" s="900">
        <f t="shared" si="1187"/>
        <v>24</v>
      </c>
      <c r="LE52" s="900">
        <f t="shared" si="1187"/>
        <v>30</v>
      </c>
      <c r="LF52" s="900">
        <f t="shared" si="1187"/>
        <v>20</v>
      </c>
      <c r="LG52" s="900">
        <f t="shared" si="1187"/>
        <v>19</v>
      </c>
      <c r="LH52" s="900">
        <f t="shared" si="1187"/>
        <v>14</v>
      </c>
      <c r="LI52" s="959">
        <f t="shared" ref="LI52:LT55" si="1188">CN52</f>
        <v>19</v>
      </c>
      <c r="LJ52" s="959">
        <f t="shared" si="1188"/>
        <v>23</v>
      </c>
      <c r="LK52" s="959">
        <f t="shared" si="1188"/>
        <v>22</v>
      </c>
      <c r="LL52" s="959">
        <f t="shared" si="1188"/>
        <v>17</v>
      </c>
      <c r="LM52" s="959">
        <f t="shared" si="1188"/>
        <v>14</v>
      </c>
      <c r="LN52" s="959">
        <f t="shared" si="1188"/>
        <v>9</v>
      </c>
      <c r="LO52" s="959">
        <f t="shared" si="1188"/>
        <v>18</v>
      </c>
      <c r="LP52" s="959">
        <f t="shared" si="1188"/>
        <v>26</v>
      </c>
      <c r="LQ52" s="959">
        <f t="shared" si="1188"/>
        <v>17</v>
      </c>
      <c r="LR52" s="959">
        <f t="shared" si="1188"/>
        <v>20</v>
      </c>
      <c r="LS52" s="959">
        <f t="shared" si="1188"/>
        <v>18</v>
      </c>
      <c r="LT52" s="959">
        <f t="shared" si="1188"/>
        <v>10</v>
      </c>
      <c r="LU52" s="1155">
        <f t="shared" ref="LU52:MF56" si="1189">DB52</f>
        <v>15</v>
      </c>
      <c r="LV52" s="1155">
        <f t="shared" si="1189"/>
        <v>14</v>
      </c>
      <c r="LW52" s="1155">
        <f t="shared" si="1189"/>
        <v>14</v>
      </c>
      <c r="LX52" s="1155">
        <f t="shared" si="1189"/>
        <v>13</v>
      </c>
      <c r="LY52" s="1155">
        <f t="shared" si="1189"/>
        <v>15</v>
      </c>
      <c r="LZ52" s="1155">
        <f t="shared" si="1189"/>
        <v>5</v>
      </c>
      <c r="MA52" s="1155">
        <f t="shared" si="1189"/>
        <v>15</v>
      </c>
      <c r="MB52" s="1155">
        <f t="shared" si="1189"/>
        <v>12</v>
      </c>
      <c r="MC52" s="1155">
        <f t="shared" si="1189"/>
        <v>13</v>
      </c>
      <c r="MD52" s="1155">
        <f t="shared" si="1189"/>
        <v>12</v>
      </c>
      <c r="ME52" s="1155">
        <f t="shared" si="1189"/>
        <v>0</v>
      </c>
      <c r="MF52" s="1155">
        <f t="shared" si="1189"/>
        <v>0</v>
      </c>
      <c r="MG52" s="1177">
        <f t="shared" ref="MG52:MP55" si="1190">DP52</f>
        <v>0</v>
      </c>
      <c r="MH52" s="1177">
        <f t="shared" si="1190"/>
        <v>0</v>
      </c>
      <c r="MI52" s="1177">
        <f t="shared" si="1190"/>
        <v>0</v>
      </c>
      <c r="MJ52" s="1177">
        <f t="shared" si="1190"/>
        <v>0</v>
      </c>
      <c r="MK52" s="1177">
        <f t="shared" si="1190"/>
        <v>0</v>
      </c>
      <c r="ML52" s="1177">
        <f t="shared" si="1190"/>
        <v>0</v>
      </c>
      <c r="MM52" s="1177">
        <f t="shared" si="1190"/>
        <v>0</v>
      </c>
      <c r="MN52" s="1177">
        <f t="shared" si="1190"/>
        <v>0</v>
      </c>
      <c r="MO52" s="1177">
        <f t="shared" si="1190"/>
        <v>0</v>
      </c>
      <c r="MP52" s="1177">
        <f t="shared" si="1190"/>
        <v>0</v>
      </c>
      <c r="MQ52" s="1177">
        <f t="shared" ref="MQ52:MR55" si="1191">DZ52</f>
        <v>0</v>
      </c>
      <c r="MR52" s="1177">
        <f t="shared" si="1191"/>
        <v>0</v>
      </c>
    </row>
    <row r="53" spans="1:356" x14ac:dyDescent="0.25">
      <c r="A53" s="764"/>
      <c r="B53" s="56">
        <v>8.1999999999999993</v>
      </c>
      <c r="C53" s="7"/>
      <c r="D53" s="119"/>
      <c r="E53" s="1221" t="s">
        <v>6</v>
      </c>
      <c r="F53" s="1221"/>
      <c r="G53" s="1222"/>
      <c r="H53" s="368">
        <v>1</v>
      </c>
      <c r="I53" s="70">
        <v>1</v>
      </c>
      <c r="J53" s="23">
        <v>1</v>
      </c>
      <c r="K53" s="70">
        <v>1</v>
      </c>
      <c r="L53" s="23">
        <v>2</v>
      </c>
      <c r="M53" s="70">
        <v>1</v>
      </c>
      <c r="N53" s="23">
        <v>1</v>
      </c>
      <c r="O53" s="70">
        <v>1</v>
      </c>
      <c r="P53" s="23">
        <v>1</v>
      </c>
      <c r="Q53" s="70">
        <v>1</v>
      </c>
      <c r="R53" s="23">
        <v>0</v>
      </c>
      <c r="S53" s="70">
        <v>1</v>
      </c>
      <c r="T53" s="130">
        <v>12</v>
      </c>
      <c r="U53" s="163">
        <v>1</v>
      </c>
      <c r="V53" s="368">
        <v>0</v>
      </c>
      <c r="W53" s="70">
        <v>1</v>
      </c>
      <c r="X53" s="23">
        <v>1</v>
      </c>
      <c r="Y53" s="70">
        <v>1</v>
      </c>
      <c r="Z53" s="23">
        <v>1</v>
      </c>
      <c r="AA53" s="70">
        <v>1</v>
      </c>
      <c r="AB53" s="23">
        <v>1</v>
      </c>
      <c r="AC53" s="70">
        <v>1</v>
      </c>
      <c r="AD53" s="23">
        <v>1</v>
      </c>
      <c r="AE53" s="70">
        <v>3</v>
      </c>
      <c r="AF53" s="23">
        <v>1</v>
      </c>
      <c r="AG53" s="70">
        <v>8</v>
      </c>
      <c r="AH53" s="130">
        <v>20</v>
      </c>
      <c r="AI53" s="163">
        <v>1.6666666666666667</v>
      </c>
      <c r="AJ53" s="368">
        <v>1</v>
      </c>
      <c r="AK53" s="70">
        <v>1</v>
      </c>
      <c r="AL53" s="23">
        <v>1</v>
      </c>
      <c r="AM53" s="70">
        <v>1</v>
      </c>
      <c r="AN53" s="23">
        <v>1</v>
      </c>
      <c r="AO53" s="70">
        <v>1</v>
      </c>
      <c r="AP53" s="625">
        <v>1</v>
      </c>
      <c r="AQ53" s="70">
        <v>1</v>
      </c>
      <c r="AR53" s="625">
        <v>1</v>
      </c>
      <c r="AS53" s="70">
        <v>0</v>
      </c>
      <c r="AT53" s="625">
        <v>2</v>
      </c>
      <c r="AU53" s="70">
        <v>2</v>
      </c>
      <c r="AV53" s="130">
        <f t="shared" si="1087"/>
        <v>13</v>
      </c>
      <c r="AW53" s="163">
        <f t="shared" si="1088"/>
        <v>1.0833333333333333</v>
      </c>
      <c r="AX53" s="368">
        <v>0</v>
      </c>
      <c r="AY53" s="70">
        <v>2</v>
      </c>
      <c r="AZ53" s="23">
        <v>0</v>
      </c>
      <c r="BA53" s="70">
        <v>2</v>
      </c>
      <c r="BB53" s="23">
        <v>0</v>
      </c>
      <c r="BC53" s="70">
        <v>0</v>
      </c>
      <c r="BD53" s="625">
        <v>0</v>
      </c>
      <c r="BE53" s="70">
        <v>1</v>
      </c>
      <c r="BF53" s="625">
        <v>1</v>
      </c>
      <c r="BG53" s="70">
        <v>3</v>
      </c>
      <c r="BH53" s="625">
        <v>0</v>
      </c>
      <c r="BI53" s="70">
        <v>0</v>
      </c>
      <c r="BJ53" s="130">
        <f t="shared" si="1091"/>
        <v>9</v>
      </c>
      <c r="BK53" s="163">
        <f t="shared" si="1092"/>
        <v>0.75</v>
      </c>
      <c r="BL53" s="368">
        <v>1</v>
      </c>
      <c r="BM53" s="70">
        <v>1</v>
      </c>
      <c r="BN53" s="23">
        <v>1</v>
      </c>
      <c r="BO53" s="70">
        <v>1</v>
      </c>
      <c r="BP53" s="23">
        <v>1</v>
      </c>
      <c r="BQ53" s="70">
        <v>1</v>
      </c>
      <c r="BR53" s="625">
        <v>1</v>
      </c>
      <c r="BS53" s="70">
        <v>0</v>
      </c>
      <c r="BT53" s="625">
        <v>1</v>
      </c>
      <c r="BU53" s="625">
        <v>1</v>
      </c>
      <c r="BV53" s="625">
        <v>1</v>
      </c>
      <c r="BW53" s="625">
        <v>1</v>
      </c>
      <c r="BX53" s="130">
        <f t="shared" si="1099"/>
        <v>11</v>
      </c>
      <c r="BY53" s="163">
        <f t="shared" si="1100"/>
        <v>0.91666666666666663</v>
      </c>
      <c r="BZ53" s="625">
        <v>0</v>
      </c>
      <c r="CA53" s="70">
        <v>0</v>
      </c>
      <c r="CB53" s="23">
        <v>2</v>
      </c>
      <c r="CC53" s="70">
        <v>1</v>
      </c>
      <c r="CD53" s="23">
        <v>0</v>
      </c>
      <c r="CE53" s="70">
        <v>1</v>
      </c>
      <c r="CF53" s="625">
        <v>1</v>
      </c>
      <c r="CG53" s="70">
        <v>1</v>
      </c>
      <c r="CH53" s="625">
        <v>1</v>
      </c>
      <c r="CI53" s="625">
        <v>1</v>
      </c>
      <c r="CJ53" s="952">
        <v>0</v>
      </c>
      <c r="CK53" s="625">
        <v>1</v>
      </c>
      <c r="CL53" s="130">
        <f t="shared" si="1107"/>
        <v>9</v>
      </c>
      <c r="CM53" s="163">
        <f t="shared" si="1108"/>
        <v>0.75</v>
      </c>
      <c r="CN53" s="625">
        <v>1</v>
      </c>
      <c r="CO53" s="70">
        <v>0</v>
      </c>
      <c r="CP53" s="23">
        <v>1</v>
      </c>
      <c r="CQ53" s="70">
        <v>0</v>
      </c>
      <c r="CR53" s="1013">
        <v>1</v>
      </c>
      <c r="CS53" s="1014">
        <v>0</v>
      </c>
      <c r="CT53" s="1015">
        <v>1</v>
      </c>
      <c r="CU53" s="1014">
        <v>1</v>
      </c>
      <c r="CV53" s="1111">
        <v>1</v>
      </c>
      <c r="CW53" s="1112">
        <v>1</v>
      </c>
      <c r="CX53" s="1111">
        <v>0</v>
      </c>
      <c r="CY53" s="1113">
        <v>0</v>
      </c>
      <c r="CZ53" s="1109">
        <f t="shared" si="1115"/>
        <v>7</v>
      </c>
      <c r="DA53" s="1110">
        <f t="shared" si="1116"/>
        <v>0.58333333333333337</v>
      </c>
      <c r="DB53" s="1015">
        <v>1</v>
      </c>
      <c r="DC53" s="1014">
        <v>1</v>
      </c>
      <c r="DD53" s="1013">
        <v>0</v>
      </c>
      <c r="DE53" s="1014">
        <v>0</v>
      </c>
      <c r="DF53" s="1013">
        <v>1</v>
      </c>
      <c r="DG53" s="1014">
        <v>0</v>
      </c>
      <c r="DH53" s="1015">
        <v>1</v>
      </c>
      <c r="DI53" s="1014">
        <v>0</v>
      </c>
      <c r="DJ53" s="1015">
        <v>1</v>
      </c>
      <c r="DK53" s="1014">
        <v>0</v>
      </c>
      <c r="DL53" s="1015"/>
      <c r="DM53" s="1014"/>
      <c r="DN53" s="1016">
        <f t="shared" si="1122"/>
        <v>5</v>
      </c>
      <c r="DO53" s="163">
        <f t="shared" si="1123"/>
        <v>0.5</v>
      </c>
      <c r="DP53" s="1015"/>
      <c r="DQ53" s="1014"/>
      <c r="DR53" s="1013"/>
      <c r="DS53" s="1014"/>
      <c r="DT53" s="1013"/>
      <c r="DU53" s="1014"/>
      <c r="DV53" s="1015"/>
      <c r="DW53" s="1014"/>
      <c r="DX53" s="1015"/>
      <c r="DY53" s="1014"/>
      <c r="DZ53" s="1015"/>
      <c r="EA53" s="1014"/>
      <c r="EB53" s="1016">
        <f t="shared" si="1124"/>
        <v>0</v>
      </c>
      <c r="EC53" s="163" t="e">
        <f t="shared" si="1125"/>
        <v>#DIV/0!</v>
      </c>
      <c r="ED53" s="674">
        <f>AX53-AU53</f>
        <v>-2</v>
      </c>
      <c r="EE53" s="663">
        <f>ED53/AU53</f>
        <v>-1</v>
      </c>
      <c r="EF53" s="674">
        <f>AY53-AX53</f>
        <v>2</v>
      </c>
      <c r="EG53" s="473">
        <v>-1</v>
      </c>
      <c r="EH53" s="674">
        <f>AZ53-AY53</f>
        <v>-2</v>
      </c>
      <c r="EI53" s="663">
        <f>EH53/AY53</f>
        <v>-1</v>
      </c>
      <c r="EJ53" s="674">
        <f>BA53-AZ53</f>
        <v>2</v>
      </c>
      <c r="EK53" s="473">
        <v>1</v>
      </c>
      <c r="EL53" s="674">
        <f>BB53-BA53</f>
        <v>-2</v>
      </c>
      <c r="EM53" s="663">
        <f>EL53/BA53</f>
        <v>-1</v>
      </c>
      <c r="EN53" s="674">
        <f>BC53-BB53</f>
        <v>0</v>
      </c>
      <c r="EO53" s="617">
        <v>0</v>
      </c>
      <c r="EP53" s="674">
        <f>BD53-BC53</f>
        <v>0</v>
      </c>
      <c r="EQ53" s="750">
        <v>0</v>
      </c>
      <c r="ER53" s="674">
        <f>BE53-BD53</f>
        <v>1</v>
      </c>
      <c r="ES53" s="663">
        <v>1</v>
      </c>
      <c r="ET53" s="674">
        <f>BF53-BE53</f>
        <v>0</v>
      </c>
      <c r="EU53" s="663">
        <f>ET53/BE53</f>
        <v>0</v>
      </c>
      <c r="EV53" s="674">
        <f>BG53-BF53</f>
        <v>2</v>
      </c>
      <c r="EW53" s="109">
        <f>EV53/BF53</f>
        <v>2</v>
      </c>
      <c r="EX53" s="674">
        <f>BH53-BG53</f>
        <v>-3</v>
      </c>
      <c r="EY53" s="663">
        <f>EX53/BG53</f>
        <v>-1</v>
      </c>
      <c r="EZ53" s="674">
        <f>BI53-BH53</f>
        <v>0</v>
      </c>
      <c r="FA53" s="663">
        <v>0</v>
      </c>
      <c r="FB53" s="674">
        <f>BL53-BI53</f>
        <v>1</v>
      </c>
      <c r="FC53" s="663" t="e">
        <f>FB53/BI53</f>
        <v>#DIV/0!</v>
      </c>
      <c r="FD53" s="324">
        <f>BM53-BL53</f>
        <v>0</v>
      </c>
      <c r="FE53" s="402">
        <f>FD53/BL53</f>
        <v>0</v>
      </c>
      <c r="FF53" s="324">
        <f>BN53-BM53</f>
        <v>0</v>
      </c>
      <c r="FG53" s="402">
        <f>FF53/BM53</f>
        <v>0</v>
      </c>
      <c r="FH53" s="324">
        <f>BO53-BN53</f>
        <v>0</v>
      </c>
      <c r="FI53" s="402">
        <f>FH53/BN53</f>
        <v>0</v>
      </c>
      <c r="FJ53" s="324">
        <f>BP53-BO53</f>
        <v>0</v>
      </c>
      <c r="FK53" s="402">
        <f>FJ53/BO53</f>
        <v>0</v>
      </c>
      <c r="FL53" s="324">
        <f t="shared" si="1126"/>
        <v>0</v>
      </c>
      <c r="FM53" s="402">
        <f>FL53/BP53</f>
        <v>0</v>
      </c>
      <c r="FN53" s="324">
        <f t="shared" si="1127"/>
        <v>0</v>
      </c>
      <c r="FO53" s="402">
        <f>FN53/BQ53</f>
        <v>0</v>
      </c>
      <c r="FP53" s="324">
        <f t="shared" si="1128"/>
        <v>-1</v>
      </c>
      <c r="FQ53" s="402">
        <f>FP53/BR53</f>
        <v>-1</v>
      </c>
      <c r="FR53" s="324">
        <f t="shared" si="1129"/>
        <v>1</v>
      </c>
      <c r="FS53" s="402">
        <v>1</v>
      </c>
      <c r="FT53" s="324">
        <f t="shared" si="1130"/>
        <v>0</v>
      </c>
      <c r="FU53" s="402">
        <f>FT53/BT53</f>
        <v>0</v>
      </c>
      <c r="FV53" s="324">
        <f t="shared" si="1131"/>
        <v>0</v>
      </c>
      <c r="FW53" s="402">
        <f t="shared" si="1132"/>
        <v>0</v>
      </c>
      <c r="FX53" s="324">
        <f t="shared" si="1133"/>
        <v>0</v>
      </c>
      <c r="FY53" s="402">
        <f>FX53/BV53</f>
        <v>0</v>
      </c>
      <c r="FZ53" s="324">
        <f t="shared" si="1134"/>
        <v>-1</v>
      </c>
      <c r="GA53" s="402">
        <f>FZ53/BW53</f>
        <v>-1</v>
      </c>
      <c r="GB53" s="324">
        <f t="shared" si="1135"/>
        <v>0</v>
      </c>
      <c r="GC53" s="402">
        <v>0</v>
      </c>
      <c r="GD53" s="324">
        <f t="shared" si="1136"/>
        <v>2</v>
      </c>
      <c r="GE53" s="402">
        <v>1</v>
      </c>
      <c r="GF53" s="324">
        <f t="shared" si="1137"/>
        <v>-1</v>
      </c>
      <c r="GG53" s="402">
        <f>GF53/CB53</f>
        <v>-0.5</v>
      </c>
      <c r="GH53" s="324">
        <f t="shared" si="1138"/>
        <v>-1</v>
      </c>
      <c r="GI53" s="402">
        <f>GH53/CC53</f>
        <v>-1</v>
      </c>
      <c r="GJ53" s="324">
        <f t="shared" si="1139"/>
        <v>1</v>
      </c>
      <c r="GK53" s="402">
        <v>0</v>
      </c>
      <c r="GL53" s="324">
        <f t="shared" si="1140"/>
        <v>0</v>
      </c>
      <c r="GM53" s="402">
        <f>GL53/CE53</f>
        <v>0</v>
      </c>
      <c r="GN53" s="324">
        <f t="shared" si="1141"/>
        <v>0</v>
      </c>
      <c r="GO53" s="402">
        <f>GN53/CF53</f>
        <v>0</v>
      </c>
      <c r="GP53" s="324">
        <f t="shared" si="1142"/>
        <v>0</v>
      </c>
      <c r="GQ53" s="402">
        <f>GP53/CG53</f>
        <v>0</v>
      </c>
      <c r="GR53" s="324">
        <f t="shared" si="1143"/>
        <v>0</v>
      </c>
      <c r="GS53" s="402">
        <f t="shared" si="1144"/>
        <v>0</v>
      </c>
      <c r="GT53" s="324">
        <f t="shared" si="1145"/>
        <v>-1</v>
      </c>
      <c r="GU53" s="402">
        <f>GT53/CI53</f>
        <v>-1</v>
      </c>
      <c r="GV53" s="324">
        <f t="shared" si="1146"/>
        <v>1</v>
      </c>
      <c r="GW53" s="402" t="e">
        <f t="shared" si="1147"/>
        <v>#DIV/0!</v>
      </c>
      <c r="GX53" s="324">
        <f t="shared" si="1148"/>
        <v>0</v>
      </c>
      <c r="GY53" s="402">
        <f>GX53/CK53</f>
        <v>0</v>
      </c>
      <c r="GZ53" s="324">
        <f t="shared" si="1149"/>
        <v>-1</v>
      </c>
      <c r="HA53" s="402">
        <f>GZ53/CN53</f>
        <v>-1</v>
      </c>
      <c r="HB53" s="324">
        <f t="shared" si="1150"/>
        <v>1</v>
      </c>
      <c r="HC53" s="402">
        <v>0</v>
      </c>
      <c r="HD53" s="324">
        <f t="shared" si="1151"/>
        <v>-1</v>
      </c>
      <c r="HE53" s="402">
        <f>HD53/CP53</f>
        <v>-1</v>
      </c>
      <c r="HF53" s="324">
        <f t="shared" si="1152"/>
        <v>1</v>
      </c>
      <c r="HG53" s="402">
        <v>0</v>
      </c>
      <c r="HH53" s="324">
        <f t="shared" si="1153"/>
        <v>-1</v>
      </c>
      <c r="HI53" s="402">
        <f>HH53/CR53</f>
        <v>-1</v>
      </c>
      <c r="HJ53" s="324">
        <f t="shared" si="1154"/>
        <v>1</v>
      </c>
      <c r="HK53" s="402">
        <v>0</v>
      </c>
      <c r="HL53" s="324">
        <f t="shared" si="1155"/>
        <v>0</v>
      </c>
      <c r="HM53" s="402">
        <f>HL53/CT53</f>
        <v>0</v>
      </c>
      <c r="HN53" s="324">
        <f t="shared" si="1156"/>
        <v>0</v>
      </c>
      <c r="HO53" s="402">
        <f>HN53/CU53</f>
        <v>0</v>
      </c>
      <c r="HP53" s="324">
        <f t="shared" si="1157"/>
        <v>0</v>
      </c>
      <c r="HQ53" s="402">
        <f>HP53/CV53</f>
        <v>0</v>
      </c>
      <c r="HR53" s="324">
        <f t="shared" si="1158"/>
        <v>-1</v>
      </c>
      <c r="HS53" s="402">
        <f>HR53/CW53</f>
        <v>-1</v>
      </c>
      <c r="HT53" s="324">
        <f t="shared" si="1159"/>
        <v>0</v>
      </c>
      <c r="HU53" s="402">
        <v>0</v>
      </c>
      <c r="HV53" s="324">
        <f t="shared" si="1160"/>
        <v>1</v>
      </c>
      <c r="HW53" s="402">
        <v>0</v>
      </c>
      <c r="HX53" s="324">
        <f t="shared" si="1161"/>
        <v>0</v>
      </c>
      <c r="HY53" s="402">
        <f>HX53/DB53</f>
        <v>0</v>
      </c>
      <c r="HZ53" s="324">
        <f t="shared" si="1162"/>
        <v>-1</v>
      </c>
      <c r="IA53" s="402">
        <v>0</v>
      </c>
      <c r="IB53" s="324">
        <f t="shared" si="1163"/>
        <v>0</v>
      </c>
      <c r="IC53" s="402">
        <v>0</v>
      </c>
      <c r="ID53" s="324">
        <f t="shared" si="1164"/>
        <v>1</v>
      </c>
      <c r="IE53" s="402">
        <f>ID53/DO53</f>
        <v>2</v>
      </c>
      <c r="IF53" s="324">
        <f t="shared" si="1165"/>
        <v>-1</v>
      </c>
      <c r="IG53" s="402">
        <f t="shared" si="1166"/>
        <v>-1</v>
      </c>
      <c r="IH53" s="324">
        <f t="shared" si="1167"/>
        <v>1</v>
      </c>
      <c r="II53" s="402">
        <v>0</v>
      </c>
      <c r="IJ53" s="324">
        <f t="shared" si="1169"/>
        <v>-1</v>
      </c>
      <c r="IK53" s="402">
        <f t="shared" si="1170"/>
        <v>-1</v>
      </c>
      <c r="IL53" s="324">
        <f t="shared" si="1171"/>
        <v>1</v>
      </c>
      <c r="IM53" s="402">
        <v>0</v>
      </c>
      <c r="IN53" s="324">
        <f t="shared" si="1173"/>
        <v>-1</v>
      </c>
      <c r="IO53" s="402">
        <f t="shared" si="1174"/>
        <v>-1</v>
      </c>
      <c r="IP53" s="324">
        <f t="shared" si="1175"/>
        <v>0</v>
      </c>
      <c r="IQ53" s="402">
        <f t="shared" si="1176"/>
        <v>0</v>
      </c>
      <c r="IR53" s="324">
        <f t="shared" si="1177"/>
        <v>-1</v>
      </c>
      <c r="IS53" s="402">
        <f t="shared" si="1178"/>
        <v>-0.5</v>
      </c>
      <c r="IT53" s="625">
        <f t="shared" si="1179"/>
        <v>1</v>
      </c>
      <c r="IU53" s="1079">
        <f t="shared" si="1180"/>
        <v>0</v>
      </c>
      <c r="IV53" s="122">
        <f t="shared" si="1181"/>
        <v>-1</v>
      </c>
      <c r="IW53" s="109">
        <f t="shared" si="1182"/>
        <v>-1</v>
      </c>
      <c r="IX53" s="698"/>
      <c r="IY53" s="698"/>
      <c r="IZ53" s="698"/>
      <c r="JA53" t="str">
        <f t="shared" si="1183"/>
        <v>Benefits</v>
      </c>
      <c r="JB53" s="262" t="e">
        <f>#REF!</f>
        <v>#REF!</v>
      </c>
      <c r="JC53" s="262" t="e">
        <f>#REF!</f>
        <v>#REF!</v>
      </c>
      <c r="JD53" s="262" t="e">
        <f>#REF!</f>
        <v>#REF!</v>
      </c>
      <c r="JE53" s="262" t="e">
        <f>#REF!</f>
        <v>#REF!</v>
      </c>
      <c r="JF53" s="262" t="e">
        <f>#REF!</f>
        <v>#REF!</v>
      </c>
      <c r="JG53" s="262" t="e">
        <f>#REF!</f>
        <v>#REF!</v>
      </c>
      <c r="JH53" s="262" t="e">
        <f>#REF!</f>
        <v>#REF!</v>
      </c>
      <c r="JI53" s="262" t="e">
        <f>#REF!</f>
        <v>#REF!</v>
      </c>
      <c r="JJ53" s="262" t="e">
        <f>#REF!</f>
        <v>#REF!</v>
      </c>
      <c r="JK53" s="262" t="e">
        <f>#REF!</f>
        <v>#REF!</v>
      </c>
      <c r="JL53" s="262" t="e">
        <f>#REF!</f>
        <v>#REF!</v>
      </c>
      <c r="JM53" s="263">
        <f t="shared" si="1184"/>
        <v>1</v>
      </c>
      <c r="JN53" s="263">
        <f t="shared" si="1184"/>
        <v>1</v>
      </c>
      <c r="JO53" s="263">
        <f t="shared" si="1184"/>
        <v>1</v>
      </c>
      <c r="JP53" s="263">
        <f t="shared" si="1184"/>
        <v>1</v>
      </c>
      <c r="JQ53" s="263">
        <f t="shared" si="1184"/>
        <v>1</v>
      </c>
      <c r="JR53" s="263">
        <f t="shared" si="1184"/>
        <v>1</v>
      </c>
      <c r="JS53" s="263">
        <f t="shared" si="1184"/>
        <v>1</v>
      </c>
      <c r="JT53" s="263">
        <f t="shared" si="1184"/>
        <v>1</v>
      </c>
      <c r="JU53" s="263">
        <f t="shared" si="1184"/>
        <v>1</v>
      </c>
      <c r="JV53" s="263">
        <f t="shared" si="1184"/>
        <v>0</v>
      </c>
      <c r="JW53" s="263">
        <f t="shared" si="1184"/>
        <v>2</v>
      </c>
      <c r="JX53" s="263">
        <f t="shared" si="1184"/>
        <v>2</v>
      </c>
      <c r="JY53" s="263">
        <f t="shared" si="1185"/>
        <v>0</v>
      </c>
      <c r="JZ53" s="263">
        <f t="shared" si="1185"/>
        <v>2</v>
      </c>
      <c r="KA53" s="263">
        <f t="shared" si="1185"/>
        <v>0</v>
      </c>
      <c r="KB53" s="263">
        <f t="shared" si="1185"/>
        <v>2</v>
      </c>
      <c r="KC53" s="263">
        <f t="shared" si="1185"/>
        <v>0</v>
      </c>
      <c r="KD53" s="263">
        <f t="shared" si="1185"/>
        <v>0</v>
      </c>
      <c r="KE53" s="263">
        <f t="shared" si="1185"/>
        <v>0</v>
      </c>
      <c r="KF53" s="263">
        <f t="shared" si="1185"/>
        <v>1</v>
      </c>
      <c r="KG53" s="263">
        <f t="shared" si="1185"/>
        <v>1</v>
      </c>
      <c r="KH53" s="263">
        <f t="shared" si="1185"/>
        <v>3</v>
      </c>
      <c r="KI53" s="263">
        <f t="shared" si="1185"/>
        <v>0</v>
      </c>
      <c r="KJ53" s="263">
        <f t="shared" si="1185"/>
        <v>0</v>
      </c>
      <c r="KK53" s="788">
        <f t="shared" si="1186"/>
        <v>1</v>
      </c>
      <c r="KL53" s="788">
        <f t="shared" si="1186"/>
        <v>1</v>
      </c>
      <c r="KM53" s="788">
        <f t="shared" si="1186"/>
        <v>1</v>
      </c>
      <c r="KN53" s="788">
        <f t="shared" si="1186"/>
        <v>1</v>
      </c>
      <c r="KO53" s="788">
        <f t="shared" si="1186"/>
        <v>1</v>
      </c>
      <c r="KP53" s="788">
        <f t="shared" si="1186"/>
        <v>1</v>
      </c>
      <c r="KQ53" s="788">
        <f t="shared" si="1186"/>
        <v>1</v>
      </c>
      <c r="KR53" s="788">
        <f t="shared" si="1186"/>
        <v>0</v>
      </c>
      <c r="KS53" s="788">
        <f t="shared" si="1186"/>
        <v>1</v>
      </c>
      <c r="KT53" s="788">
        <f t="shared" si="1186"/>
        <v>1</v>
      </c>
      <c r="KU53" s="788">
        <f t="shared" si="1186"/>
        <v>1</v>
      </c>
      <c r="KV53" s="788">
        <f t="shared" si="1186"/>
        <v>1</v>
      </c>
      <c r="KW53" s="900">
        <f t="shared" si="1187"/>
        <v>0</v>
      </c>
      <c r="KX53" s="900">
        <f t="shared" si="1187"/>
        <v>0</v>
      </c>
      <c r="KY53" s="900">
        <f t="shared" si="1187"/>
        <v>2</v>
      </c>
      <c r="KZ53" s="900">
        <f t="shared" si="1187"/>
        <v>1</v>
      </c>
      <c r="LA53" s="900">
        <f t="shared" si="1187"/>
        <v>0</v>
      </c>
      <c r="LB53" s="900">
        <f t="shared" si="1187"/>
        <v>1</v>
      </c>
      <c r="LC53" s="900">
        <f t="shared" si="1187"/>
        <v>1</v>
      </c>
      <c r="LD53" s="900">
        <f t="shared" si="1187"/>
        <v>1</v>
      </c>
      <c r="LE53" s="900">
        <f t="shared" si="1187"/>
        <v>1</v>
      </c>
      <c r="LF53" s="900">
        <f t="shared" si="1187"/>
        <v>1</v>
      </c>
      <c r="LG53" s="900">
        <f t="shared" si="1187"/>
        <v>0</v>
      </c>
      <c r="LH53" s="900">
        <f t="shared" si="1187"/>
        <v>1</v>
      </c>
      <c r="LI53" s="959">
        <f t="shared" si="1188"/>
        <v>1</v>
      </c>
      <c r="LJ53" s="959">
        <f t="shared" si="1188"/>
        <v>0</v>
      </c>
      <c r="LK53" s="959">
        <f t="shared" si="1188"/>
        <v>1</v>
      </c>
      <c r="LL53" s="959">
        <f t="shared" si="1188"/>
        <v>0</v>
      </c>
      <c r="LM53" s="959">
        <f t="shared" si="1188"/>
        <v>1</v>
      </c>
      <c r="LN53" s="959">
        <f t="shared" si="1188"/>
        <v>0</v>
      </c>
      <c r="LO53" s="959">
        <f t="shared" si="1188"/>
        <v>1</v>
      </c>
      <c r="LP53" s="959">
        <f t="shared" si="1188"/>
        <v>1</v>
      </c>
      <c r="LQ53" s="959">
        <f t="shared" si="1188"/>
        <v>1</v>
      </c>
      <c r="LR53" s="959">
        <f t="shared" si="1188"/>
        <v>1</v>
      </c>
      <c r="LS53" s="959">
        <f t="shared" si="1188"/>
        <v>0</v>
      </c>
      <c r="LT53" s="959">
        <f t="shared" si="1188"/>
        <v>0</v>
      </c>
      <c r="LU53" s="1155">
        <f t="shared" si="1189"/>
        <v>1</v>
      </c>
      <c r="LV53" s="1155">
        <f t="shared" si="1189"/>
        <v>1</v>
      </c>
      <c r="LW53" s="1155">
        <f t="shared" si="1189"/>
        <v>0</v>
      </c>
      <c r="LX53" s="1155">
        <f t="shared" si="1189"/>
        <v>0</v>
      </c>
      <c r="LY53" s="1155">
        <f t="shared" si="1189"/>
        <v>1</v>
      </c>
      <c r="LZ53" s="1155">
        <f t="shared" si="1189"/>
        <v>0</v>
      </c>
      <c r="MA53" s="1155">
        <f t="shared" si="1189"/>
        <v>1</v>
      </c>
      <c r="MB53" s="1155">
        <f t="shared" si="1189"/>
        <v>0</v>
      </c>
      <c r="MC53" s="1155">
        <f t="shared" si="1189"/>
        <v>1</v>
      </c>
      <c r="MD53" s="1155">
        <f t="shared" si="1189"/>
        <v>0</v>
      </c>
      <c r="ME53" s="1155">
        <f t="shared" si="1189"/>
        <v>0</v>
      </c>
      <c r="MF53" s="1155">
        <f t="shared" si="1189"/>
        <v>0</v>
      </c>
      <c r="MG53" s="1177">
        <f t="shared" si="1190"/>
        <v>0</v>
      </c>
      <c r="MH53" s="1177">
        <f t="shared" si="1190"/>
        <v>0</v>
      </c>
      <c r="MI53" s="1177">
        <f t="shared" si="1190"/>
        <v>0</v>
      </c>
      <c r="MJ53" s="1177">
        <f t="shared" si="1190"/>
        <v>0</v>
      </c>
      <c r="MK53" s="1177">
        <f t="shared" si="1190"/>
        <v>0</v>
      </c>
      <c r="ML53" s="1177">
        <f t="shared" si="1190"/>
        <v>0</v>
      </c>
      <c r="MM53" s="1177">
        <f t="shared" si="1190"/>
        <v>0</v>
      </c>
      <c r="MN53" s="1177">
        <f t="shared" si="1190"/>
        <v>0</v>
      </c>
      <c r="MO53" s="1177">
        <f t="shared" si="1190"/>
        <v>0</v>
      </c>
      <c r="MP53" s="1177">
        <f t="shared" si="1190"/>
        <v>0</v>
      </c>
      <c r="MQ53" s="1177">
        <f t="shared" si="1191"/>
        <v>0</v>
      </c>
      <c r="MR53" s="1177">
        <f t="shared" si="1191"/>
        <v>0</v>
      </c>
    </row>
    <row r="54" spans="1:356" x14ac:dyDescent="0.25">
      <c r="A54" s="764"/>
      <c r="B54" s="56">
        <v>8.3000000000000007</v>
      </c>
      <c r="C54" s="7"/>
      <c r="D54" s="119"/>
      <c r="E54" s="1221" t="s">
        <v>7</v>
      </c>
      <c r="F54" s="1221"/>
      <c r="G54" s="1222"/>
      <c r="H54" s="368">
        <v>0</v>
      </c>
      <c r="I54" s="70">
        <v>2</v>
      </c>
      <c r="J54" s="23">
        <v>0</v>
      </c>
      <c r="K54" s="70">
        <v>1</v>
      </c>
      <c r="L54" s="23">
        <v>0</v>
      </c>
      <c r="M54" s="70">
        <v>2</v>
      </c>
      <c r="N54" s="23">
        <v>0</v>
      </c>
      <c r="O54" s="70">
        <v>1</v>
      </c>
      <c r="P54" s="23">
        <v>1</v>
      </c>
      <c r="Q54" s="70">
        <v>1</v>
      </c>
      <c r="R54" s="23">
        <v>1</v>
      </c>
      <c r="S54" s="70">
        <v>1</v>
      </c>
      <c r="T54" s="130">
        <v>10</v>
      </c>
      <c r="U54" s="163">
        <v>0.83333333333333337</v>
      </c>
      <c r="V54" s="368">
        <v>1</v>
      </c>
      <c r="W54" s="70">
        <v>1</v>
      </c>
      <c r="X54" s="23">
        <v>1</v>
      </c>
      <c r="Y54" s="70">
        <v>1</v>
      </c>
      <c r="Z54" s="23">
        <v>0</v>
      </c>
      <c r="AA54" s="70">
        <v>1</v>
      </c>
      <c r="AB54" s="23">
        <v>1</v>
      </c>
      <c r="AC54" s="70">
        <v>0</v>
      </c>
      <c r="AD54" s="23">
        <v>1</v>
      </c>
      <c r="AE54" s="70">
        <v>1</v>
      </c>
      <c r="AF54" s="23">
        <v>2</v>
      </c>
      <c r="AG54" s="70">
        <v>9</v>
      </c>
      <c r="AH54" s="130">
        <v>19</v>
      </c>
      <c r="AI54" s="163">
        <v>1.5833333333333333</v>
      </c>
      <c r="AJ54" s="368">
        <v>1</v>
      </c>
      <c r="AK54" s="70">
        <v>1</v>
      </c>
      <c r="AL54" s="23">
        <v>0</v>
      </c>
      <c r="AM54" s="70">
        <v>1</v>
      </c>
      <c r="AN54" s="23">
        <v>2</v>
      </c>
      <c r="AO54" s="70">
        <v>0</v>
      </c>
      <c r="AP54" s="625">
        <v>4</v>
      </c>
      <c r="AQ54" s="70">
        <v>3</v>
      </c>
      <c r="AR54" s="625">
        <v>1</v>
      </c>
      <c r="AS54" s="70">
        <v>2</v>
      </c>
      <c r="AT54" s="625">
        <v>1</v>
      </c>
      <c r="AU54" s="70">
        <v>0</v>
      </c>
      <c r="AV54" s="130">
        <f t="shared" si="1087"/>
        <v>16</v>
      </c>
      <c r="AW54" s="163">
        <f t="shared" si="1088"/>
        <v>1.3333333333333333</v>
      </c>
      <c r="AX54" s="368">
        <v>1</v>
      </c>
      <c r="AY54" s="70">
        <v>4</v>
      </c>
      <c r="AZ54" s="23">
        <v>2</v>
      </c>
      <c r="BA54" s="70">
        <v>1</v>
      </c>
      <c r="BB54" s="23">
        <v>0</v>
      </c>
      <c r="BC54" s="70">
        <v>1</v>
      </c>
      <c r="BD54" s="625">
        <v>2</v>
      </c>
      <c r="BE54" s="70">
        <v>2</v>
      </c>
      <c r="BF54" s="625">
        <v>2</v>
      </c>
      <c r="BG54" s="70">
        <v>1</v>
      </c>
      <c r="BH54" s="625">
        <v>0</v>
      </c>
      <c r="BI54" s="70">
        <v>1</v>
      </c>
      <c r="BJ54" s="130">
        <f t="shared" si="1091"/>
        <v>17</v>
      </c>
      <c r="BK54" s="163">
        <f t="shared" si="1092"/>
        <v>1.4166666666666667</v>
      </c>
      <c r="BL54" s="368">
        <v>2</v>
      </c>
      <c r="BM54" s="70">
        <v>2</v>
      </c>
      <c r="BN54" s="23">
        <v>1</v>
      </c>
      <c r="BO54" s="70">
        <v>1</v>
      </c>
      <c r="BP54" s="23">
        <v>1</v>
      </c>
      <c r="BQ54" s="70">
        <v>1</v>
      </c>
      <c r="BR54" s="625">
        <v>1</v>
      </c>
      <c r="BS54" s="70">
        <v>1</v>
      </c>
      <c r="BT54" s="625">
        <v>1</v>
      </c>
      <c r="BU54" s="625">
        <v>2</v>
      </c>
      <c r="BV54" s="625">
        <v>1</v>
      </c>
      <c r="BW54" s="625">
        <v>0</v>
      </c>
      <c r="BX54" s="130">
        <f t="shared" si="1099"/>
        <v>14</v>
      </c>
      <c r="BY54" s="163">
        <f t="shared" si="1100"/>
        <v>1.1666666666666667</v>
      </c>
      <c r="BZ54" s="625">
        <v>1</v>
      </c>
      <c r="CA54" s="70">
        <v>1</v>
      </c>
      <c r="CB54" s="23">
        <v>1</v>
      </c>
      <c r="CC54" s="70">
        <v>1</v>
      </c>
      <c r="CD54" s="23">
        <v>0</v>
      </c>
      <c r="CE54" s="950">
        <v>1</v>
      </c>
      <c r="CF54" s="952">
        <v>0</v>
      </c>
      <c r="CG54" s="950">
        <v>0</v>
      </c>
      <c r="CH54" s="952">
        <v>1</v>
      </c>
      <c r="CI54" s="952">
        <v>0</v>
      </c>
      <c r="CJ54" s="952">
        <v>0</v>
      </c>
      <c r="CK54" s="952">
        <v>0</v>
      </c>
      <c r="CL54" s="953">
        <f t="shared" si="1107"/>
        <v>6</v>
      </c>
      <c r="CM54" s="163">
        <f t="shared" si="1108"/>
        <v>0.5</v>
      </c>
      <c r="CN54" s="625">
        <v>0</v>
      </c>
      <c r="CO54" s="70">
        <v>0</v>
      </c>
      <c r="CP54" s="23">
        <v>0</v>
      </c>
      <c r="CQ54" s="70">
        <v>0</v>
      </c>
      <c r="CR54" s="1013">
        <v>0</v>
      </c>
      <c r="CS54" s="1014">
        <v>0</v>
      </c>
      <c r="CT54" s="1015">
        <v>0</v>
      </c>
      <c r="CU54" s="1014">
        <v>0</v>
      </c>
      <c r="CV54" s="1111">
        <v>0</v>
      </c>
      <c r="CW54" s="1112">
        <v>0</v>
      </c>
      <c r="CX54" s="1111">
        <v>1</v>
      </c>
      <c r="CY54" s="1113">
        <v>0</v>
      </c>
      <c r="CZ54" s="1109">
        <f t="shared" si="1115"/>
        <v>1</v>
      </c>
      <c r="DA54" s="1110">
        <f t="shared" si="1116"/>
        <v>8.3333333333333329E-2</v>
      </c>
      <c r="DB54" s="1015">
        <v>0</v>
      </c>
      <c r="DC54" s="1014">
        <v>0</v>
      </c>
      <c r="DD54" s="1013">
        <v>0</v>
      </c>
      <c r="DE54" s="1014">
        <v>0</v>
      </c>
      <c r="DF54" s="1013">
        <v>0</v>
      </c>
      <c r="DG54" s="1014">
        <v>0</v>
      </c>
      <c r="DH54" s="1015">
        <v>0</v>
      </c>
      <c r="DI54" s="1014">
        <v>0</v>
      </c>
      <c r="DJ54" s="1015">
        <v>0</v>
      </c>
      <c r="DK54" s="1014">
        <v>0</v>
      </c>
      <c r="DL54" s="1015"/>
      <c r="DM54" s="1014"/>
      <c r="DN54" s="1016">
        <f t="shared" si="1122"/>
        <v>0</v>
      </c>
      <c r="DO54" s="163">
        <f t="shared" si="1123"/>
        <v>0</v>
      </c>
      <c r="DP54" s="1015"/>
      <c r="DQ54" s="1014"/>
      <c r="DR54" s="1013"/>
      <c r="DS54" s="1014"/>
      <c r="DT54" s="1013"/>
      <c r="DU54" s="1014"/>
      <c r="DV54" s="1015"/>
      <c r="DW54" s="1014"/>
      <c r="DX54" s="1015"/>
      <c r="DY54" s="1014"/>
      <c r="DZ54" s="1015"/>
      <c r="EA54" s="1014"/>
      <c r="EB54" s="1016">
        <f t="shared" si="1124"/>
        <v>0</v>
      </c>
      <c r="EC54" s="163" t="e">
        <f t="shared" si="1125"/>
        <v>#DIV/0!</v>
      </c>
      <c r="ED54" s="674">
        <f>AX54-AU54</f>
        <v>1</v>
      </c>
      <c r="EE54" s="750">
        <v>1</v>
      </c>
      <c r="EF54" s="674">
        <f>AY54-AX54</f>
        <v>3</v>
      </c>
      <c r="EG54" s="663">
        <f>EF54/AX54</f>
        <v>3</v>
      </c>
      <c r="EH54" s="674">
        <f>AZ54-AY54</f>
        <v>-2</v>
      </c>
      <c r="EI54" s="663">
        <f>EH54/AY54</f>
        <v>-0.5</v>
      </c>
      <c r="EJ54" s="674">
        <f>BA54-AZ54</f>
        <v>-1</v>
      </c>
      <c r="EK54" s="663">
        <f>EJ54/AZ54</f>
        <v>-0.5</v>
      </c>
      <c r="EL54" s="674">
        <f>BB54-BA54</f>
        <v>-1</v>
      </c>
      <c r="EM54" s="663">
        <f>EL54/BA54</f>
        <v>-1</v>
      </c>
      <c r="EN54" s="674">
        <f>BC54-BB54</f>
        <v>1</v>
      </c>
      <c r="EO54" s="617">
        <v>0</v>
      </c>
      <c r="EP54" s="674">
        <f>BD54-BC54</f>
        <v>1</v>
      </c>
      <c r="EQ54" s="663">
        <f>EP54/BC54</f>
        <v>1</v>
      </c>
      <c r="ER54" s="674">
        <f>BE54-BD54</f>
        <v>0</v>
      </c>
      <c r="ES54" s="663">
        <f>ER54/BD54</f>
        <v>0</v>
      </c>
      <c r="ET54" s="674">
        <f>BF54-BE54</f>
        <v>0</v>
      </c>
      <c r="EU54" s="663">
        <f>ET54/BE54</f>
        <v>0</v>
      </c>
      <c r="EV54" s="674">
        <f>BG54-BF54</f>
        <v>-1</v>
      </c>
      <c r="EW54" s="109">
        <f>EV54/BF54</f>
        <v>-0.5</v>
      </c>
      <c r="EX54" s="674">
        <f>BH54-BG54</f>
        <v>-1</v>
      </c>
      <c r="EY54" s="663">
        <f>EX54/BG54</f>
        <v>-1</v>
      </c>
      <c r="EZ54" s="674">
        <f>BI54-BH54</f>
        <v>1</v>
      </c>
      <c r="FA54" s="663">
        <v>1</v>
      </c>
      <c r="FB54" s="674">
        <f>BL54-BI54</f>
        <v>1</v>
      </c>
      <c r="FC54" s="663">
        <f>FB54/BI54</f>
        <v>1</v>
      </c>
      <c r="FD54" s="324">
        <f>BM54-BL54</f>
        <v>0</v>
      </c>
      <c r="FE54" s="402">
        <f>FD54/BL54</f>
        <v>0</v>
      </c>
      <c r="FF54" s="324">
        <f>BN54-BM54</f>
        <v>-1</v>
      </c>
      <c r="FG54" s="402">
        <f>FF54/BM54</f>
        <v>-0.5</v>
      </c>
      <c r="FH54" s="324">
        <f>BO54-BN54</f>
        <v>0</v>
      </c>
      <c r="FI54" s="402">
        <f>FH54/BN54</f>
        <v>0</v>
      </c>
      <c r="FJ54" s="324">
        <f>BP54-BO54</f>
        <v>0</v>
      </c>
      <c r="FK54" s="402">
        <f>FJ54/BO54</f>
        <v>0</v>
      </c>
      <c r="FL54" s="324">
        <f t="shared" si="1126"/>
        <v>0</v>
      </c>
      <c r="FM54" s="402">
        <f>FL54/BP54</f>
        <v>0</v>
      </c>
      <c r="FN54" s="324">
        <f t="shared" si="1127"/>
        <v>0</v>
      </c>
      <c r="FO54" s="402">
        <f>FN54/BQ54</f>
        <v>0</v>
      </c>
      <c r="FP54" s="324">
        <f t="shared" si="1128"/>
        <v>0</v>
      </c>
      <c r="FQ54" s="402">
        <f>FP54/BR54</f>
        <v>0</v>
      </c>
      <c r="FR54" s="324">
        <f t="shared" si="1129"/>
        <v>0</v>
      </c>
      <c r="FS54" s="402">
        <f>FR54/BS54</f>
        <v>0</v>
      </c>
      <c r="FT54" s="324">
        <f t="shared" si="1130"/>
        <v>1</v>
      </c>
      <c r="FU54" s="402">
        <f>FT54/BT54</f>
        <v>1</v>
      </c>
      <c r="FV54" s="324">
        <f t="shared" si="1131"/>
        <v>-1</v>
      </c>
      <c r="FW54" s="402">
        <f t="shared" si="1132"/>
        <v>-0.5</v>
      </c>
      <c r="FX54" s="324">
        <f t="shared" si="1133"/>
        <v>-1</v>
      </c>
      <c r="FY54" s="402">
        <f>FX54/BV54</f>
        <v>-1</v>
      </c>
      <c r="FZ54" s="324">
        <f t="shared" si="1134"/>
        <v>1</v>
      </c>
      <c r="GA54" s="402">
        <v>0</v>
      </c>
      <c r="GB54" s="324">
        <f t="shared" si="1135"/>
        <v>0</v>
      </c>
      <c r="GC54" s="402">
        <f>GB54/BZ54</f>
        <v>0</v>
      </c>
      <c r="GD54" s="324">
        <f t="shared" si="1136"/>
        <v>0</v>
      </c>
      <c r="GE54" s="402">
        <f>GD54/CA54</f>
        <v>0</v>
      </c>
      <c r="GF54" s="324">
        <f t="shared" si="1137"/>
        <v>0</v>
      </c>
      <c r="GG54" s="402">
        <f>GF54/CB54</f>
        <v>0</v>
      </c>
      <c r="GH54" s="324">
        <f t="shared" si="1138"/>
        <v>-1</v>
      </c>
      <c r="GI54" s="402">
        <f>GH54/CC54</f>
        <v>-1</v>
      </c>
      <c r="GJ54" s="324">
        <f t="shared" si="1139"/>
        <v>1</v>
      </c>
      <c r="GK54" s="402">
        <v>0</v>
      </c>
      <c r="GL54" s="324">
        <f t="shared" si="1140"/>
        <v>-1</v>
      </c>
      <c r="GM54" s="402">
        <f>GL54/CE54</f>
        <v>-1</v>
      </c>
      <c r="GN54" s="324">
        <f t="shared" si="1141"/>
        <v>0</v>
      </c>
      <c r="GO54" s="402">
        <v>0</v>
      </c>
      <c r="GP54" s="324">
        <f t="shared" si="1142"/>
        <v>1</v>
      </c>
      <c r="GQ54" s="402">
        <v>0</v>
      </c>
      <c r="GR54" s="324">
        <f t="shared" si="1143"/>
        <v>-1</v>
      </c>
      <c r="GS54" s="402">
        <f t="shared" si="1144"/>
        <v>-1</v>
      </c>
      <c r="GT54" s="324">
        <f t="shared" si="1145"/>
        <v>0</v>
      </c>
      <c r="GU54" s="402">
        <v>0</v>
      </c>
      <c r="GV54" s="324">
        <f t="shared" si="1146"/>
        <v>0</v>
      </c>
      <c r="GW54" s="402" t="e">
        <f t="shared" si="1147"/>
        <v>#DIV/0!</v>
      </c>
      <c r="GX54" s="324">
        <f t="shared" si="1148"/>
        <v>0</v>
      </c>
      <c r="GY54" s="402">
        <v>0</v>
      </c>
      <c r="GZ54" s="324">
        <f t="shared" si="1149"/>
        <v>0</v>
      </c>
      <c r="HA54" s="402">
        <v>0</v>
      </c>
      <c r="HB54" s="324">
        <f t="shared" si="1150"/>
        <v>0</v>
      </c>
      <c r="HC54" s="402">
        <v>0</v>
      </c>
      <c r="HD54" s="324">
        <f t="shared" si="1151"/>
        <v>0</v>
      </c>
      <c r="HE54" s="402">
        <v>0</v>
      </c>
      <c r="HF54" s="324">
        <f t="shared" si="1152"/>
        <v>0</v>
      </c>
      <c r="HG54" s="402">
        <v>0</v>
      </c>
      <c r="HH54" s="324">
        <f t="shared" si="1153"/>
        <v>0</v>
      </c>
      <c r="HI54" s="402">
        <v>0</v>
      </c>
      <c r="HJ54" s="324">
        <f t="shared" si="1154"/>
        <v>0</v>
      </c>
      <c r="HK54" s="402">
        <v>0</v>
      </c>
      <c r="HL54" s="324">
        <f t="shared" si="1155"/>
        <v>0</v>
      </c>
      <c r="HM54" s="402">
        <v>0</v>
      </c>
      <c r="HN54" s="324">
        <f t="shared" si="1156"/>
        <v>0</v>
      </c>
      <c r="HO54" s="402">
        <v>0</v>
      </c>
      <c r="HP54" s="324">
        <f t="shared" si="1157"/>
        <v>0</v>
      </c>
      <c r="HQ54" s="402">
        <v>0</v>
      </c>
      <c r="HR54" s="324">
        <f t="shared" si="1158"/>
        <v>1</v>
      </c>
      <c r="HS54" s="402">
        <v>0</v>
      </c>
      <c r="HT54" s="324">
        <f t="shared" si="1159"/>
        <v>-1</v>
      </c>
      <c r="HU54" s="402">
        <f>HT54/CX54</f>
        <v>-1</v>
      </c>
      <c r="HV54" s="324">
        <f t="shared" si="1160"/>
        <v>0</v>
      </c>
      <c r="HW54" s="402">
        <v>0</v>
      </c>
      <c r="HX54" s="324">
        <f t="shared" si="1161"/>
        <v>0</v>
      </c>
      <c r="HY54" s="402">
        <v>0</v>
      </c>
      <c r="HZ54" s="324">
        <f t="shared" si="1162"/>
        <v>0</v>
      </c>
      <c r="IA54" s="402">
        <v>0</v>
      </c>
      <c r="IB54" s="324">
        <f t="shared" si="1163"/>
        <v>0</v>
      </c>
      <c r="IC54" s="402">
        <v>0</v>
      </c>
      <c r="ID54" s="324">
        <f t="shared" si="1164"/>
        <v>0</v>
      </c>
      <c r="IE54" s="402">
        <v>0</v>
      </c>
      <c r="IF54" s="324">
        <f t="shared" si="1165"/>
        <v>0</v>
      </c>
      <c r="IG54" s="402" t="e">
        <f t="shared" si="1166"/>
        <v>#DIV/0!</v>
      </c>
      <c r="IH54" s="324">
        <f t="shared" si="1167"/>
        <v>0</v>
      </c>
      <c r="II54" s="402">
        <v>0</v>
      </c>
      <c r="IJ54" s="324">
        <f t="shared" si="1169"/>
        <v>0</v>
      </c>
      <c r="IK54" s="402">
        <v>0</v>
      </c>
      <c r="IL54" s="324">
        <f t="shared" si="1171"/>
        <v>0</v>
      </c>
      <c r="IM54" s="402">
        <v>0</v>
      </c>
      <c r="IN54" s="324">
        <f t="shared" si="1173"/>
        <v>0</v>
      </c>
      <c r="IO54" s="402">
        <v>0</v>
      </c>
      <c r="IP54" s="324">
        <f t="shared" si="1175"/>
        <v>0</v>
      </c>
      <c r="IQ54" s="402">
        <f t="shared" si="1176"/>
        <v>0</v>
      </c>
      <c r="IR54" s="324">
        <f t="shared" si="1177"/>
        <v>0.5</v>
      </c>
      <c r="IS54" s="402">
        <f t="shared" si="1178"/>
        <v>-0.5</v>
      </c>
      <c r="IT54" s="952">
        <f t="shared" si="1179"/>
        <v>0</v>
      </c>
      <c r="IU54" s="1079">
        <f t="shared" si="1180"/>
        <v>0</v>
      </c>
      <c r="IV54" s="122">
        <f t="shared" si="1181"/>
        <v>0</v>
      </c>
      <c r="IW54" s="109">
        <f t="shared" si="1182"/>
        <v>0</v>
      </c>
      <c r="IX54" s="698"/>
      <c r="IY54" s="698"/>
      <c r="IZ54" s="698"/>
      <c r="JA54" t="str">
        <f t="shared" si="1183"/>
        <v xml:space="preserve">BI </v>
      </c>
      <c r="JB54" s="262" t="e">
        <f>#REF!</f>
        <v>#REF!</v>
      </c>
      <c r="JC54" s="262" t="e">
        <f>#REF!</f>
        <v>#REF!</v>
      </c>
      <c r="JD54" s="262" t="e">
        <f>#REF!</f>
        <v>#REF!</v>
      </c>
      <c r="JE54" s="262" t="e">
        <f>#REF!</f>
        <v>#REF!</v>
      </c>
      <c r="JF54" s="262" t="e">
        <f>#REF!</f>
        <v>#REF!</v>
      </c>
      <c r="JG54" s="262" t="e">
        <f>#REF!</f>
        <v>#REF!</v>
      </c>
      <c r="JH54" s="262" t="e">
        <f>#REF!</f>
        <v>#REF!</v>
      </c>
      <c r="JI54" s="262" t="e">
        <f>#REF!</f>
        <v>#REF!</v>
      </c>
      <c r="JJ54" s="262" t="e">
        <f>#REF!</f>
        <v>#REF!</v>
      </c>
      <c r="JK54" s="262" t="e">
        <f>#REF!</f>
        <v>#REF!</v>
      </c>
      <c r="JL54" s="262" t="e">
        <f>#REF!</f>
        <v>#REF!</v>
      </c>
      <c r="JM54" s="263">
        <f t="shared" si="1184"/>
        <v>1</v>
      </c>
      <c r="JN54" s="263">
        <f t="shared" si="1184"/>
        <v>1</v>
      </c>
      <c r="JO54" s="263">
        <f t="shared" si="1184"/>
        <v>0</v>
      </c>
      <c r="JP54" s="263">
        <f t="shared" si="1184"/>
        <v>1</v>
      </c>
      <c r="JQ54" s="263">
        <f t="shared" si="1184"/>
        <v>2</v>
      </c>
      <c r="JR54" s="263">
        <f t="shared" si="1184"/>
        <v>0</v>
      </c>
      <c r="JS54" s="263">
        <f t="shared" si="1184"/>
        <v>4</v>
      </c>
      <c r="JT54" s="263">
        <f t="shared" si="1184"/>
        <v>3</v>
      </c>
      <c r="JU54" s="263">
        <f t="shared" si="1184"/>
        <v>1</v>
      </c>
      <c r="JV54" s="263">
        <f t="shared" si="1184"/>
        <v>2</v>
      </c>
      <c r="JW54" s="263">
        <f t="shared" si="1184"/>
        <v>1</v>
      </c>
      <c r="JX54" s="263">
        <f t="shared" si="1184"/>
        <v>0</v>
      </c>
      <c r="JY54" s="263">
        <f t="shared" si="1185"/>
        <v>1</v>
      </c>
      <c r="JZ54" s="263">
        <f t="shared" si="1185"/>
        <v>4</v>
      </c>
      <c r="KA54" s="263">
        <f t="shared" si="1185"/>
        <v>2</v>
      </c>
      <c r="KB54" s="263">
        <f t="shared" si="1185"/>
        <v>1</v>
      </c>
      <c r="KC54" s="263">
        <f t="shared" si="1185"/>
        <v>0</v>
      </c>
      <c r="KD54" s="263">
        <f t="shared" si="1185"/>
        <v>1</v>
      </c>
      <c r="KE54" s="263">
        <f t="shared" si="1185"/>
        <v>2</v>
      </c>
      <c r="KF54" s="263">
        <f t="shared" si="1185"/>
        <v>2</v>
      </c>
      <c r="KG54" s="263">
        <f t="shared" si="1185"/>
        <v>2</v>
      </c>
      <c r="KH54" s="263">
        <f t="shared" si="1185"/>
        <v>1</v>
      </c>
      <c r="KI54" s="263">
        <f t="shared" si="1185"/>
        <v>0</v>
      </c>
      <c r="KJ54" s="263">
        <f t="shared" si="1185"/>
        <v>1</v>
      </c>
      <c r="KK54" s="788">
        <f t="shared" si="1186"/>
        <v>2</v>
      </c>
      <c r="KL54" s="788">
        <f t="shared" si="1186"/>
        <v>2</v>
      </c>
      <c r="KM54" s="788">
        <f t="shared" si="1186"/>
        <v>1</v>
      </c>
      <c r="KN54" s="788">
        <f t="shared" si="1186"/>
        <v>1</v>
      </c>
      <c r="KO54" s="788">
        <f t="shared" si="1186"/>
        <v>1</v>
      </c>
      <c r="KP54" s="788">
        <f t="shared" si="1186"/>
        <v>1</v>
      </c>
      <c r="KQ54" s="788">
        <f t="shared" si="1186"/>
        <v>1</v>
      </c>
      <c r="KR54" s="788">
        <f t="shared" si="1186"/>
        <v>1</v>
      </c>
      <c r="KS54" s="788">
        <f t="shared" si="1186"/>
        <v>1</v>
      </c>
      <c r="KT54" s="788">
        <f t="shared" si="1186"/>
        <v>2</v>
      </c>
      <c r="KU54" s="788">
        <f t="shared" si="1186"/>
        <v>1</v>
      </c>
      <c r="KV54" s="788">
        <f t="shared" si="1186"/>
        <v>0</v>
      </c>
      <c r="KW54" s="900">
        <f t="shared" si="1187"/>
        <v>1</v>
      </c>
      <c r="KX54" s="900">
        <f t="shared" si="1187"/>
        <v>1</v>
      </c>
      <c r="KY54" s="900">
        <f t="shared" si="1187"/>
        <v>1</v>
      </c>
      <c r="KZ54" s="900">
        <f t="shared" si="1187"/>
        <v>1</v>
      </c>
      <c r="LA54" s="900">
        <f t="shared" si="1187"/>
        <v>0</v>
      </c>
      <c r="LB54" s="900">
        <f t="shared" si="1187"/>
        <v>1</v>
      </c>
      <c r="LC54" s="900">
        <f t="shared" si="1187"/>
        <v>0</v>
      </c>
      <c r="LD54" s="900">
        <f t="shared" si="1187"/>
        <v>0</v>
      </c>
      <c r="LE54" s="900">
        <f t="shared" si="1187"/>
        <v>1</v>
      </c>
      <c r="LF54" s="900">
        <f t="shared" si="1187"/>
        <v>0</v>
      </c>
      <c r="LG54" s="900">
        <f t="shared" si="1187"/>
        <v>0</v>
      </c>
      <c r="LH54" s="900">
        <f t="shared" si="1187"/>
        <v>0</v>
      </c>
      <c r="LI54" s="959">
        <f t="shared" si="1188"/>
        <v>0</v>
      </c>
      <c r="LJ54" s="959">
        <f t="shared" si="1188"/>
        <v>0</v>
      </c>
      <c r="LK54" s="959">
        <f t="shared" si="1188"/>
        <v>0</v>
      </c>
      <c r="LL54" s="959">
        <f t="shared" si="1188"/>
        <v>0</v>
      </c>
      <c r="LM54" s="959">
        <f t="shared" si="1188"/>
        <v>0</v>
      </c>
      <c r="LN54" s="959">
        <f t="shared" si="1188"/>
        <v>0</v>
      </c>
      <c r="LO54" s="959">
        <f t="shared" si="1188"/>
        <v>0</v>
      </c>
      <c r="LP54" s="959">
        <f t="shared" si="1188"/>
        <v>0</v>
      </c>
      <c r="LQ54" s="959">
        <f t="shared" si="1188"/>
        <v>0</v>
      </c>
      <c r="LR54" s="959">
        <f t="shared" si="1188"/>
        <v>0</v>
      </c>
      <c r="LS54" s="959">
        <f t="shared" si="1188"/>
        <v>1</v>
      </c>
      <c r="LT54" s="959">
        <f t="shared" si="1188"/>
        <v>0</v>
      </c>
      <c r="LU54" s="1155">
        <f t="shared" si="1189"/>
        <v>0</v>
      </c>
      <c r="LV54" s="1155">
        <f t="shared" si="1189"/>
        <v>0</v>
      </c>
      <c r="LW54" s="1155">
        <f t="shared" si="1189"/>
        <v>0</v>
      </c>
      <c r="LX54" s="1155">
        <f t="shared" si="1189"/>
        <v>0</v>
      </c>
      <c r="LY54" s="1155">
        <f t="shared" si="1189"/>
        <v>0</v>
      </c>
      <c r="LZ54" s="1155">
        <f t="shared" si="1189"/>
        <v>0</v>
      </c>
      <c r="MA54" s="1155">
        <f t="shared" si="1189"/>
        <v>0</v>
      </c>
      <c r="MB54" s="1155">
        <f t="shared" si="1189"/>
        <v>0</v>
      </c>
      <c r="MC54" s="1155">
        <f t="shared" si="1189"/>
        <v>0</v>
      </c>
      <c r="MD54" s="1155">
        <f t="shared" si="1189"/>
        <v>0</v>
      </c>
      <c r="ME54" s="1155">
        <f t="shared" si="1189"/>
        <v>0</v>
      </c>
      <c r="MF54" s="1155">
        <f t="shared" si="1189"/>
        <v>0</v>
      </c>
      <c r="MG54" s="1177">
        <f t="shared" si="1190"/>
        <v>0</v>
      </c>
      <c r="MH54" s="1177">
        <f t="shared" si="1190"/>
        <v>0</v>
      </c>
      <c r="MI54" s="1177">
        <f t="shared" si="1190"/>
        <v>0</v>
      </c>
      <c r="MJ54" s="1177">
        <f t="shared" si="1190"/>
        <v>0</v>
      </c>
      <c r="MK54" s="1177">
        <f t="shared" si="1190"/>
        <v>0</v>
      </c>
      <c r="ML54" s="1177">
        <f t="shared" si="1190"/>
        <v>0</v>
      </c>
      <c r="MM54" s="1177">
        <f t="shared" si="1190"/>
        <v>0</v>
      </c>
      <c r="MN54" s="1177">
        <f t="shared" si="1190"/>
        <v>0</v>
      </c>
      <c r="MO54" s="1177">
        <f t="shared" si="1190"/>
        <v>0</v>
      </c>
      <c r="MP54" s="1177">
        <f t="shared" si="1190"/>
        <v>0</v>
      </c>
      <c r="MQ54" s="1177">
        <f t="shared" si="1191"/>
        <v>0</v>
      </c>
      <c r="MR54" s="1177">
        <f t="shared" si="1191"/>
        <v>0</v>
      </c>
    </row>
    <row r="55" spans="1:356" x14ac:dyDescent="0.25">
      <c r="A55" s="764"/>
      <c r="B55" s="56">
        <v>8.4</v>
      </c>
      <c r="C55" s="7"/>
      <c r="D55" s="119"/>
      <c r="E55" s="1221" t="s">
        <v>243</v>
      </c>
      <c r="F55" s="1221"/>
      <c r="G55" s="1222"/>
      <c r="H55" s="368"/>
      <c r="I55" s="70"/>
      <c r="J55" s="23"/>
      <c r="K55" s="70"/>
      <c r="L55" s="23"/>
      <c r="M55" s="70"/>
      <c r="N55" s="23"/>
      <c r="O55" s="70"/>
      <c r="P55" s="23"/>
      <c r="Q55" s="70"/>
      <c r="R55" s="23"/>
      <c r="S55" s="70"/>
      <c r="T55" s="130"/>
      <c r="U55" s="163"/>
      <c r="V55" s="368"/>
      <c r="W55" s="70"/>
      <c r="X55" s="23"/>
      <c r="Y55" s="70"/>
      <c r="Z55" s="23"/>
      <c r="AA55" s="70"/>
      <c r="AB55" s="23"/>
      <c r="AC55" s="70"/>
      <c r="AD55" s="23"/>
      <c r="AE55" s="70"/>
      <c r="AF55" s="23"/>
      <c r="AG55" s="70"/>
      <c r="AH55" s="130"/>
      <c r="AI55" s="163"/>
      <c r="AJ55" s="368"/>
      <c r="AK55" s="70"/>
      <c r="AL55" s="23"/>
      <c r="AM55" s="70"/>
      <c r="AN55" s="23"/>
      <c r="AO55" s="70"/>
      <c r="AP55" s="625"/>
      <c r="AQ55" s="70"/>
      <c r="AR55" s="625"/>
      <c r="AS55" s="70"/>
      <c r="AT55" s="625"/>
      <c r="AU55" s="70"/>
      <c r="AV55" s="130"/>
      <c r="AW55" s="163"/>
      <c r="AX55" s="368"/>
      <c r="AY55" s="70"/>
      <c r="AZ55" s="23"/>
      <c r="BA55" s="70"/>
      <c r="BB55" s="23"/>
      <c r="BC55" s="70"/>
      <c r="BD55" s="625"/>
      <c r="BE55" s="70"/>
      <c r="BF55" s="625"/>
      <c r="BG55" s="70"/>
      <c r="BH55" s="625"/>
      <c r="BI55" s="70"/>
      <c r="BJ55" s="130">
        <v>0</v>
      </c>
      <c r="BK55" s="163">
        <v>0</v>
      </c>
      <c r="BL55" s="368"/>
      <c r="BM55" s="70"/>
      <c r="BN55" s="23"/>
      <c r="BO55" s="70"/>
      <c r="BP55" s="23">
        <v>0</v>
      </c>
      <c r="BQ55" s="70">
        <v>3</v>
      </c>
      <c r="BR55" s="625">
        <v>0</v>
      </c>
      <c r="BS55" s="70">
        <v>0</v>
      </c>
      <c r="BT55" s="625">
        <v>1</v>
      </c>
      <c r="BU55" s="625">
        <v>11</v>
      </c>
      <c r="BV55" s="625">
        <v>16</v>
      </c>
      <c r="BW55" s="625">
        <v>16</v>
      </c>
      <c r="BX55" s="130">
        <f t="shared" ref="BX55:BX56" si="1192">SUM(BL55:BW55)</f>
        <v>47</v>
      </c>
      <c r="BY55" s="163">
        <f t="shared" ref="BY55:BY56" si="1193">SUM(BL55:BW55)/$BX$4</f>
        <v>3.9166666666666665</v>
      </c>
      <c r="BZ55" s="625">
        <v>4</v>
      </c>
      <c r="CA55" s="70">
        <v>6</v>
      </c>
      <c r="CB55" s="23">
        <v>2</v>
      </c>
      <c r="CC55" s="70">
        <v>3</v>
      </c>
      <c r="CD55" s="23">
        <v>1</v>
      </c>
      <c r="CE55" s="950">
        <v>2</v>
      </c>
      <c r="CF55" s="952">
        <v>2</v>
      </c>
      <c r="CG55" s="950">
        <v>2</v>
      </c>
      <c r="CH55" s="952">
        <v>2</v>
      </c>
      <c r="CI55" s="952">
        <v>2</v>
      </c>
      <c r="CJ55" s="952">
        <v>3</v>
      </c>
      <c r="CK55" s="952">
        <v>1</v>
      </c>
      <c r="CL55" s="953">
        <f t="shared" si="1107"/>
        <v>30</v>
      </c>
      <c r="CM55" s="163">
        <f t="shared" si="1108"/>
        <v>2.5</v>
      </c>
      <c r="CN55" s="625">
        <v>3</v>
      </c>
      <c r="CO55" s="70">
        <v>1</v>
      </c>
      <c r="CP55" s="23">
        <v>2</v>
      </c>
      <c r="CQ55" s="70">
        <v>1</v>
      </c>
      <c r="CR55" s="1013">
        <v>1</v>
      </c>
      <c r="CS55" s="1014">
        <v>1</v>
      </c>
      <c r="CT55" s="1015">
        <v>2</v>
      </c>
      <c r="CU55" s="1014">
        <v>2</v>
      </c>
      <c r="CV55" s="1111">
        <v>2</v>
      </c>
      <c r="CW55" s="1112">
        <v>1</v>
      </c>
      <c r="CX55" s="1111">
        <v>2</v>
      </c>
      <c r="CY55" s="1113">
        <v>1</v>
      </c>
      <c r="CZ55" s="1109">
        <f t="shared" si="1115"/>
        <v>19</v>
      </c>
      <c r="DA55" s="1110">
        <f t="shared" si="1116"/>
        <v>1.5833333333333333</v>
      </c>
      <c r="DB55" s="1015">
        <v>1</v>
      </c>
      <c r="DC55" s="1014">
        <v>1</v>
      </c>
      <c r="DD55" s="1013">
        <v>1</v>
      </c>
      <c r="DE55" s="1014">
        <v>2</v>
      </c>
      <c r="DF55" s="1013">
        <v>2</v>
      </c>
      <c r="DG55" s="1014">
        <v>0</v>
      </c>
      <c r="DH55" s="1015">
        <v>1</v>
      </c>
      <c r="DI55" s="1014">
        <v>1</v>
      </c>
      <c r="DJ55" s="1015">
        <v>1</v>
      </c>
      <c r="DK55" s="1014">
        <v>1</v>
      </c>
      <c r="DL55" s="1015"/>
      <c r="DM55" s="1014"/>
      <c r="DN55" s="1016">
        <f t="shared" si="1122"/>
        <v>11</v>
      </c>
      <c r="DO55" s="163">
        <f t="shared" si="1123"/>
        <v>1.1000000000000001</v>
      </c>
      <c r="DP55" s="1015"/>
      <c r="DQ55" s="1014"/>
      <c r="DR55" s="1013"/>
      <c r="DS55" s="1014"/>
      <c r="DT55" s="1013"/>
      <c r="DU55" s="1014"/>
      <c r="DV55" s="1015"/>
      <c r="DW55" s="1014"/>
      <c r="DX55" s="1015"/>
      <c r="DY55" s="1014"/>
      <c r="DZ55" s="1015"/>
      <c r="EA55" s="1014"/>
      <c r="EB55" s="1016">
        <f t="shared" si="1124"/>
        <v>0</v>
      </c>
      <c r="EC55" s="163" t="e">
        <f t="shared" si="1125"/>
        <v>#DIV/0!</v>
      </c>
      <c r="ED55" s="674"/>
      <c r="EE55" s="750"/>
      <c r="EF55" s="674"/>
      <c r="EG55" s="663"/>
      <c r="EH55" s="674"/>
      <c r="EI55" s="663"/>
      <c r="EJ55" s="674"/>
      <c r="EK55" s="663"/>
      <c r="EL55" s="674"/>
      <c r="EM55" s="663"/>
      <c r="EN55" s="674"/>
      <c r="EO55" s="617"/>
      <c r="EP55" s="674"/>
      <c r="EQ55" s="663"/>
      <c r="ER55" s="674"/>
      <c r="ES55" s="663"/>
      <c r="ET55" s="674"/>
      <c r="EU55" s="663"/>
      <c r="EV55" s="674"/>
      <c r="EW55" s="109"/>
      <c r="EX55" s="674"/>
      <c r="EY55" s="663"/>
      <c r="EZ55" s="674"/>
      <c r="FA55" s="663"/>
      <c r="FB55" s="674"/>
      <c r="FC55" s="663"/>
      <c r="FD55" s="324"/>
      <c r="FE55" s="402"/>
      <c r="FF55" s="324"/>
      <c r="FG55" s="402"/>
      <c r="FH55" s="324"/>
      <c r="FI55" s="402"/>
      <c r="FJ55" s="324"/>
      <c r="FK55" s="402"/>
      <c r="FL55" s="324">
        <f t="shared" si="1126"/>
        <v>3</v>
      </c>
      <c r="FM55" s="402">
        <v>1</v>
      </c>
      <c r="FN55" s="324">
        <f t="shared" si="1127"/>
        <v>-3</v>
      </c>
      <c r="FO55" s="402">
        <f>FN55/BQ55</f>
        <v>-1</v>
      </c>
      <c r="FP55" s="324">
        <f t="shared" si="1128"/>
        <v>0</v>
      </c>
      <c r="FQ55" s="402">
        <v>0</v>
      </c>
      <c r="FR55" s="324">
        <f t="shared" si="1129"/>
        <v>1</v>
      </c>
      <c r="FS55" s="402">
        <v>1</v>
      </c>
      <c r="FT55" s="324">
        <f t="shared" si="1130"/>
        <v>10</v>
      </c>
      <c r="FU55" s="402">
        <f>FT55/BT55</f>
        <v>10</v>
      </c>
      <c r="FV55" s="324">
        <f t="shared" si="1131"/>
        <v>5</v>
      </c>
      <c r="FW55" s="402">
        <f t="shared" si="1132"/>
        <v>0.45454545454545453</v>
      </c>
      <c r="FX55" s="324">
        <f t="shared" si="1133"/>
        <v>0</v>
      </c>
      <c r="FY55" s="402">
        <f>FX55/BV55</f>
        <v>0</v>
      </c>
      <c r="FZ55" s="324">
        <f t="shared" si="1134"/>
        <v>-12</v>
      </c>
      <c r="GA55" s="402">
        <f>FZ55/BW55</f>
        <v>-0.75</v>
      </c>
      <c r="GB55" s="324">
        <f t="shared" si="1135"/>
        <v>2</v>
      </c>
      <c r="GC55" s="402">
        <f>GB55/BZ55</f>
        <v>0.5</v>
      </c>
      <c r="GD55" s="324">
        <f t="shared" si="1136"/>
        <v>-4</v>
      </c>
      <c r="GE55" s="402">
        <f>GD55/CA55</f>
        <v>-0.66666666666666663</v>
      </c>
      <c r="GF55" s="324">
        <f t="shared" si="1137"/>
        <v>1</v>
      </c>
      <c r="GG55" s="402">
        <f>GF55/CB55</f>
        <v>0.5</v>
      </c>
      <c r="GH55" s="324">
        <f t="shared" si="1138"/>
        <v>-2</v>
      </c>
      <c r="GI55" s="402">
        <f>GH55/CC55</f>
        <v>-0.66666666666666663</v>
      </c>
      <c r="GJ55" s="324">
        <f t="shared" si="1139"/>
        <v>1</v>
      </c>
      <c r="GK55" s="402">
        <f t="shared" ref="GK55:GK64" si="1194">GJ55/CD55</f>
        <v>1</v>
      </c>
      <c r="GL55" s="324">
        <f t="shared" si="1140"/>
        <v>0</v>
      </c>
      <c r="GM55" s="402">
        <f>GL55/CE55</f>
        <v>0</v>
      </c>
      <c r="GN55" s="324">
        <f t="shared" si="1141"/>
        <v>0</v>
      </c>
      <c r="GO55" s="402">
        <f>GN55/CF55</f>
        <v>0</v>
      </c>
      <c r="GP55" s="324">
        <f t="shared" si="1142"/>
        <v>0</v>
      </c>
      <c r="GQ55" s="402">
        <f t="shared" ref="GQ55:GQ60" si="1195">GP55/CG55</f>
        <v>0</v>
      </c>
      <c r="GR55" s="324">
        <f t="shared" si="1143"/>
        <v>0</v>
      </c>
      <c r="GS55" s="402">
        <f t="shared" si="1144"/>
        <v>0</v>
      </c>
      <c r="GT55" s="324">
        <f t="shared" si="1145"/>
        <v>1</v>
      </c>
      <c r="GU55" s="402">
        <f>GT55/CI55</f>
        <v>0.5</v>
      </c>
      <c r="GV55" s="324">
        <f t="shared" si="1146"/>
        <v>-2</v>
      </c>
      <c r="GW55" s="402">
        <f t="shared" si="1147"/>
        <v>-0.66666666666666663</v>
      </c>
      <c r="GX55" s="324">
        <f t="shared" si="1148"/>
        <v>2</v>
      </c>
      <c r="GY55" s="402">
        <f>GX55/CK55</f>
        <v>2</v>
      </c>
      <c r="GZ55" s="324">
        <f t="shared" si="1149"/>
        <v>-2</v>
      </c>
      <c r="HA55" s="402">
        <f>GZ55/CN55</f>
        <v>-0.66666666666666663</v>
      </c>
      <c r="HB55" s="324">
        <f t="shared" si="1150"/>
        <v>1</v>
      </c>
      <c r="HC55" s="402">
        <v>0</v>
      </c>
      <c r="HD55" s="324">
        <f t="shared" si="1151"/>
        <v>-1</v>
      </c>
      <c r="HE55" s="402">
        <f>HD55/CP55</f>
        <v>-0.5</v>
      </c>
      <c r="HF55" s="324">
        <f t="shared" si="1152"/>
        <v>0</v>
      </c>
      <c r="HG55" s="402">
        <f>HF55/CQ55</f>
        <v>0</v>
      </c>
      <c r="HH55" s="324">
        <f t="shared" si="1153"/>
        <v>0</v>
      </c>
      <c r="HI55" s="402">
        <f>HH55/CR55</f>
        <v>0</v>
      </c>
      <c r="HJ55" s="324">
        <f t="shared" si="1154"/>
        <v>1</v>
      </c>
      <c r="HK55" s="402">
        <f>HJ55/CS55</f>
        <v>1</v>
      </c>
      <c r="HL55" s="324">
        <f t="shared" si="1155"/>
        <v>0</v>
      </c>
      <c r="HM55" s="402">
        <f>HL55/CT55</f>
        <v>0</v>
      </c>
      <c r="HN55" s="324">
        <f t="shared" si="1156"/>
        <v>0</v>
      </c>
      <c r="HO55" s="402">
        <f t="shared" ref="HO55:HO64" si="1196">HN55/CU55</f>
        <v>0</v>
      </c>
      <c r="HP55" s="324">
        <f t="shared" si="1157"/>
        <v>-1</v>
      </c>
      <c r="HQ55" s="402">
        <f>HP55/CV55</f>
        <v>-0.5</v>
      </c>
      <c r="HR55" s="324">
        <f t="shared" si="1158"/>
        <v>1</v>
      </c>
      <c r="HS55" s="402">
        <f>HR55/CW55</f>
        <v>1</v>
      </c>
      <c r="HT55" s="324">
        <f t="shared" si="1159"/>
        <v>-1</v>
      </c>
      <c r="HU55" s="402">
        <f>HT55/CX55</f>
        <v>-0.5</v>
      </c>
      <c r="HV55" s="324">
        <f t="shared" si="1160"/>
        <v>0</v>
      </c>
      <c r="HW55" s="402">
        <f>HV55/CY55</f>
        <v>0</v>
      </c>
      <c r="HX55" s="324">
        <f t="shared" si="1161"/>
        <v>0</v>
      </c>
      <c r="HY55" s="402">
        <f>HX55/DB55</f>
        <v>0</v>
      </c>
      <c r="HZ55" s="324">
        <f t="shared" si="1162"/>
        <v>0</v>
      </c>
      <c r="IA55" s="402">
        <f>HZ55/DD55</f>
        <v>0</v>
      </c>
      <c r="IB55" s="324">
        <f t="shared" si="1163"/>
        <v>1</v>
      </c>
      <c r="IC55" s="402">
        <f>IB55/DD55</f>
        <v>1</v>
      </c>
      <c r="ID55" s="324">
        <f t="shared" si="1164"/>
        <v>0</v>
      </c>
      <c r="IE55" s="402">
        <f>ID55/DO55</f>
        <v>0</v>
      </c>
      <c r="IF55" s="324">
        <f t="shared" si="1165"/>
        <v>-2</v>
      </c>
      <c r="IG55" s="402">
        <f t="shared" si="1166"/>
        <v>-1</v>
      </c>
      <c r="IH55" s="324">
        <f t="shared" si="1167"/>
        <v>1</v>
      </c>
      <c r="II55" s="402">
        <v>0</v>
      </c>
      <c r="IJ55" s="324">
        <f t="shared" si="1169"/>
        <v>0</v>
      </c>
      <c r="IK55" s="402">
        <f t="shared" si="1170"/>
        <v>0</v>
      </c>
      <c r="IL55" s="324">
        <f t="shared" si="1171"/>
        <v>0</v>
      </c>
      <c r="IM55" s="402">
        <f t="shared" si="1172"/>
        <v>0</v>
      </c>
      <c r="IN55" s="324">
        <f t="shared" si="1173"/>
        <v>0</v>
      </c>
      <c r="IO55" s="402">
        <f t="shared" si="1174"/>
        <v>0</v>
      </c>
      <c r="IP55" s="324">
        <f t="shared" si="1175"/>
        <v>-1</v>
      </c>
      <c r="IQ55" s="402" t="e">
        <f t="shared" si="1176"/>
        <v>#DIV/0!</v>
      </c>
      <c r="IR55" s="324">
        <f t="shared" si="1177"/>
        <v>0</v>
      </c>
      <c r="IS55" s="402" t="e">
        <f t="shared" si="1178"/>
        <v>#DIV/0!</v>
      </c>
      <c r="IT55" s="952">
        <f t="shared" si="1179"/>
        <v>1</v>
      </c>
      <c r="IU55" s="1079">
        <f t="shared" si="1180"/>
        <v>1</v>
      </c>
      <c r="IV55" s="122">
        <f t="shared" si="1181"/>
        <v>0</v>
      </c>
      <c r="IW55" s="949">
        <f t="shared" si="1182"/>
        <v>0</v>
      </c>
      <c r="IX55" s="698"/>
      <c r="IY55" s="698"/>
      <c r="IZ55" s="698"/>
      <c r="JA55" t="str">
        <f t="shared" si="1183"/>
        <v>Bus Objects</v>
      </c>
      <c r="JB55" s="262" t="e">
        <f>#REF!</f>
        <v>#REF!</v>
      </c>
      <c r="JC55" s="262" t="e">
        <f>#REF!</f>
        <v>#REF!</v>
      </c>
      <c r="JD55" s="262" t="e">
        <f>#REF!</f>
        <v>#REF!</v>
      </c>
      <c r="JE55" s="262" t="e">
        <f>#REF!</f>
        <v>#REF!</v>
      </c>
      <c r="JF55" s="262" t="e">
        <f>#REF!</f>
        <v>#REF!</v>
      </c>
      <c r="JG55" s="262" t="e">
        <f>#REF!</f>
        <v>#REF!</v>
      </c>
      <c r="JH55" s="262" t="e">
        <f>#REF!</f>
        <v>#REF!</v>
      </c>
      <c r="JI55" s="262" t="e">
        <f>#REF!</f>
        <v>#REF!</v>
      </c>
      <c r="JJ55" s="262" t="e">
        <f>#REF!</f>
        <v>#REF!</v>
      </c>
      <c r="JK55" s="262" t="e">
        <f>#REF!</f>
        <v>#REF!</v>
      </c>
      <c r="JL55" s="262" t="e">
        <f>#REF!</f>
        <v>#REF!</v>
      </c>
      <c r="JM55" s="263">
        <f t="shared" si="1184"/>
        <v>0</v>
      </c>
      <c r="JN55" s="263">
        <f t="shared" si="1184"/>
        <v>0</v>
      </c>
      <c r="JO55" s="263">
        <f t="shared" si="1184"/>
        <v>0</v>
      </c>
      <c r="JP55" s="263">
        <f t="shared" si="1184"/>
        <v>0</v>
      </c>
      <c r="JQ55" s="263">
        <f t="shared" si="1184"/>
        <v>0</v>
      </c>
      <c r="JR55" s="263">
        <f t="shared" si="1184"/>
        <v>0</v>
      </c>
      <c r="JS55" s="263">
        <f t="shared" si="1184"/>
        <v>0</v>
      </c>
      <c r="JT55" s="263">
        <f t="shared" si="1184"/>
        <v>0</v>
      </c>
      <c r="JU55" s="263">
        <f t="shared" si="1184"/>
        <v>0</v>
      </c>
      <c r="JV55" s="263">
        <f t="shared" si="1184"/>
        <v>0</v>
      </c>
      <c r="JW55" s="263">
        <f t="shared" si="1184"/>
        <v>0</v>
      </c>
      <c r="JX55" s="263">
        <f t="shared" si="1184"/>
        <v>0</v>
      </c>
      <c r="JY55" s="263">
        <f t="shared" si="1185"/>
        <v>0</v>
      </c>
      <c r="JZ55" s="263">
        <f t="shared" si="1185"/>
        <v>0</v>
      </c>
      <c r="KA55" s="263">
        <f t="shared" si="1185"/>
        <v>0</v>
      </c>
      <c r="KB55" s="263">
        <f t="shared" si="1185"/>
        <v>0</v>
      </c>
      <c r="KC55" s="263">
        <f t="shared" si="1185"/>
        <v>0</v>
      </c>
      <c r="KD55" s="263">
        <f t="shared" si="1185"/>
        <v>0</v>
      </c>
      <c r="KE55" s="263">
        <f t="shared" si="1185"/>
        <v>0</v>
      </c>
      <c r="KF55" s="263">
        <f t="shared" si="1185"/>
        <v>0</v>
      </c>
      <c r="KG55" s="263">
        <f t="shared" si="1185"/>
        <v>0</v>
      </c>
      <c r="KH55" s="263">
        <f t="shared" si="1185"/>
        <v>0</v>
      </c>
      <c r="KI55" s="263">
        <f t="shared" si="1185"/>
        <v>0</v>
      </c>
      <c r="KJ55" s="263">
        <f t="shared" si="1185"/>
        <v>0</v>
      </c>
      <c r="KK55" s="788">
        <f t="shared" si="1186"/>
        <v>0</v>
      </c>
      <c r="KL55" s="788">
        <f t="shared" si="1186"/>
        <v>0</v>
      </c>
      <c r="KM55" s="788">
        <f t="shared" si="1186"/>
        <v>0</v>
      </c>
      <c r="KN55" s="788">
        <f t="shared" si="1186"/>
        <v>0</v>
      </c>
      <c r="KO55" s="788">
        <f t="shared" si="1186"/>
        <v>0</v>
      </c>
      <c r="KP55" s="788">
        <f t="shared" si="1186"/>
        <v>3</v>
      </c>
      <c r="KQ55" s="788">
        <f t="shared" si="1186"/>
        <v>0</v>
      </c>
      <c r="KR55" s="788">
        <f t="shared" si="1186"/>
        <v>0</v>
      </c>
      <c r="KS55" s="788">
        <f t="shared" si="1186"/>
        <v>1</v>
      </c>
      <c r="KT55" s="788">
        <f t="shared" si="1186"/>
        <v>11</v>
      </c>
      <c r="KU55" s="788">
        <f t="shared" si="1186"/>
        <v>16</v>
      </c>
      <c r="KV55" s="788">
        <f t="shared" si="1186"/>
        <v>16</v>
      </c>
      <c r="KW55" s="900">
        <f t="shared" si="1187"/>
        <v>4</v>
      </c>
      <c r="KX55" s="900">
        <f t="shared" si="1187"/>
        <v>6</v>
      </c>
      <c r="KY55" s="900">
        <f t="shared" si="1187"/>
        <v>2</v>
      </c>
      <c r="KZ55" s="900">
        <f t="shared" si="1187"/>
        <v>3</v>
      </c>
      <c r="LA55" s="900">
        <f t="shared" si="1187"/>
        <v>1</v>
      </c>
      <c r="LB55" s="900">
        <f t="shared" si="1187"/>
        <v>2</v>
      </c>
      <c r="LC55" s="900">
        <f t="shared" si="1187"/>
        <v>2</v>
      </c>
      <c r="LD55" s="900">
        <f t="shared" si="1187"/>
        <v>2</v>
      </c>
      <c r="LE55" s="900">
        <f t="shared" si="1187"/>
        <v>2</v>
      </c>
      <c r="LF55" s="900">
        <f t="shared" si="1187"/>
        <v>2</v>
      </c>
      <c r="LG55" s="900">
        <f t="shared" si="1187"/>
        <v>3</v>
      </c>
      <c r="LH55" s="900">
        <f t="shared" si="1187"/>
        <v>1</v>
      </c>
      <c r="LI55" s="959">
        <f t="shared" si="1188"/>
        <v>3</v>
      </c>
      <c r="LJ55" s="959">
        <f t="shared" si="1188"/>
        <v>1</v>
      </c>
      <c r="LK55" s="959">
        <f t="shared" si="1188"/>
        <v>2</v>
      </c>
      <c r="LL55" s="959">
        <f t="shared" si="1188"/>
        <v>1</v>
      </c>
      <c r="LM55" s="959">
        <f t="shared" si="1188"/>
        <v>1</v>
      </c>
      <c r="LN55" s="959">
        <f t="shared" si="1188"/>
        <v>1</v>
      </c>
      <c r="LO55" s="959">
        <f t="shared" si="1188"/>
        <v>2</v>
      </c>
      <c r="LP55" s="959">
        <f t="shared" si="1188"/>
        <v>2</v>
      </c>
      <c r="LQ55" s="959">
        <f t="shared" si="1188"/>
        <v>2</v>
      </c>
      <c r="LR55" s="959">
        <f t="shared" si="1188"/>
        <v>1</v>
      </c>
      <c r="LS55" s="959">
        <f t="shared" si="1188"/>
        <v>2</v>
      </c>
      <c r="LT55" s="959">
        <f t="shared" si="1188"/>
        <v>1</v>
      </c>
      <c r="LU55" s="1155">
        <f t="shared" si="1189"/>
        <v>1</v>
      </c>
      <c r="LV55" s="1155">
        <f t="shared" si="1189"/>
        <v>1</v>
      </c>
      <c r="LW55" s="1155">
        <f t="shared" si="1189"/>
        <v>1</v>
      </c>
      <c r="LX55" s="1155">
        <f t="shared" si="1189"/>
        <v>2</v>
      </c>
      <c r="LY55" s="1155">
        <f t="shared" si="1189"/>
        <v>2</v>
      </c>
      <c r="LZ55" s="1155">
        <f t="shared" si="1189"/>
        <v>0</v>
      </c>
      <c r="MA55" s="1155">
        <f t="shared" si="1189"/>
        <v>1</v>
      </c>
      <c r="MB55" s="1155">
        <f t="shared" si="1189"/>
        <v>1</v>
      </c>
      <c r="MC55" s="1155">
        <f t="shared" si="1189"/>
        <v>1</v>
      </c>
      <c r="MD55" s="1155">
        <f t="shared" si="1189"/>
        <v>1</v>
      </c>
      <c r="ME55" s="1155">
        <f t="shared" si="1189"/>
        <v>0</v>
      </c>
      <c r="MF55" s="1155">
        <f t="shared" si="1189"/>
        <v>0</v>
      </c>
      <c r="MG55" s="1177">
        <f t="shared" si="1190"/>
        <v>0</v>
      </c>
      <c r="MH55" s="1177">
        <f t="shared" si="1190"/>
        <v>0</v>
      </c>
      <c r="MI55" s="1177">
        <f t="shared" si="1190"/>
        <v>0</v>
      </c>
      <c r="MJ55" s="1177">
        <f t="shared" si="1190"/>
        <v>0</v>
      </c>
      <c r="MK55" s="1177">
        <f t="shared" si="1190"/>
        <v>0</v>
      </c>
      <c r="ML55" s="1177">
        <f t="shared" si="1190"/>
        <v>0</v>
      </c>
      <c r="MM55" s="1177">
        <f t="shared" si="1190"/>
        <v>0</v>
      </c>
      <c r="MN55" s="1177">
        <f t="shared" si="1190"/>
        <v>0</v>
      </c>
      <c r="MO55" s="1177">
        <f t="shared" si="1190"/>
        <v>0</v>
      </c>
      <c r="MP55" s="1177">
        <f t="shared" si="1190"/>
        <v>0</v>
      </c>
      <c r="MQ55" s="1177">
        <f t="shared" si="1191"/>
        <v>0</v>
      </c>
      <c r="MR55" s="1177">
        <f t="shared" si="1191"/>
        <v>0</v>
      </c>
    </row>
    <row r="56" spans="1:356" x14ac:dyDescent="0.25">
      <c r="A56" s="764"/>
      <c r="B56" s="56">
        <v>8.5</v>
      </c>
      <c r="C56" s="7"/>
      <c r="D56" s="119"/>
      <c r="E56" s="1221" t="s">
        <v>242</v>
      </c>
      <c r="F56" s="1221"/>
      <c r="G56" s="1222"/>
      <c r="H56" s="368"/>
      <c r="I56" s="70"/>
      <c r="J56" s="23"/>
      <c r="K56" s="70"/>
      <c r="L56" s="23"/>
      <c r="M56" s="70"/>
      <c r="N56" s="23"/>
      <c r="O56" s="70"/>
      <c r="P56" s="23"/>
      <c r="Q56" s="70"/>
      <c r="R56" s="23"/>
      <c r="S56" s="70"/>
      <c r="T56" s="130"/>
      <c r="U56" s="163"/>
      <c r="V56" s="368"/>
      <c r="W56" s="70"/>
      <c r="X56" s="23"/>
      <c r="Y56" s="70"/>
      <c r="Z56" s="23"/>
      <c r="AA56" s="70"/>
      <c r="AB56" s="23"/>
      <c r="AC56" s="70"/>
      <c r="AD56" s="23"/>
      <c r="AE56" s="70"/>
      <c r="AF56" s="23"/>
      <c r="AG56" s="70"/>
      <c r="AH56" s="130"/>
      <c r="AI56" s="163"/>
      <c r="AJ56" s="368"/>
      <c r="AK56" s="70"/>
      <c r="AL56" s="23"/>
      <c r="AM56" s="70"/>
      <c r="AN56" s="23"/>
      <c r="AO56" s="70"/>
      <c r="AP56" s="625"/>
      <c r="AQ56" s="70"/>
      <c r="AR56" s="625"/>
      <c r="AS56" s="70"/>
      <c r="AT56" s="625"/>
      <c r="AU56" s="70"/>
      <c r="AV56" s="130"/>
      <c r="AW56" s="163"/>
      <c r="AX56" s="368"/>
      <c r="AY56" s="70"/>
      <c r="AZ56" s="23"/>
      <c r="BA56" s="70"/>
      <c r="BB56" s="23"/>
      <c r="BC56" s="70"/>
      <c r="BD56" s="625"/>
      <c r="BE56" s="70"/>
      <c r="BF56" s="625"/>
      <c r="BG56" s="70"/>
      <c r="BH56" s="625"/>
      <c r="BI56" s="70"/>
      <c r="BJ56" s="130">
        <v>0</v>
      </c>
      <c r="BK56" s="163">
        <v>0</v>
      </c>
      <c r="BL56" s="368"/>
      <c r="BM56" s="70"/>
      <c r="BN56" s="23"/>
      <c r="BO56" s="70">
        <v>0</v>
      </c>
      <c r="BP56" s="23">
        <v>3</v>
      </c>
      <c r="BQ56" s="70">
        <v>0</v>
      </c>
      <c r="BR56" s="625">
        <v>0</v>
      </c>
      <c r="BS56" s="70">
        <v>1</v>
      </c>
      <c r="BT56" s="625">
        <v>0</v>
      </c>
      <c r="BU56" s="625">
        <v>1</v>
      </c>
      <c r="BV56" s="625">
        <v>0</v>
      </c>
      <c r="BW56" s="625">
        <v>0</v>
      </c>
      <c r="BX56" s="130">
        <f t="shared" si="1192"/>
        <v>5</v>
      </c>
      <c r="BY56" s="163">
        <f t="shared" si="1193"/>
        <v>0.41666666666666669</v>
      </c>
      <c r="BZ56" s="625">
        <v>0</v>
      </c>
      <c r="CA56" s="70">
        <v>0</v>
      </c>
      <c r="CB56" s="23">
        <v>0</v>
      </c>
      <c r="CC56" s="950">
        <v>0</v>
      </c>
      <c r="CD56" s="23">
        <v>1</v>
      </c>
      <c r="CE56" s="950">
        <v>0</v>
      </c>
      <c r="CF56" s="952">
        <v>0</v>
      </c>
      <c r="CG56" s="950">
        <v>1</v>
      </c>
      <c r="CH56" s="952">
        <v>1</v>
      </c>
      <c r="CI56" s="952">
        <v>0</v>
      </c>
      <c r="CJ56" s="952">
        <v>0</v>
      </c>
      <c r="CK56" s="952">
        <v>0</v>
      </c>
      <c r="CL56" s="953">
        <f t="shared" si="1107"/>
        <v>3</v>
      </c>
      <c r="CM56" s="163">
        <f t="shared" si="1108"/>
        <v>0.25</v>
      </c>
      <c r="CN56" s="625">
        <v>0</v>
      </c>
      <c r="CO56" s="70">
        <v>0</v>
      </c>
      <c r="CP56" s="23">
        <v>0</v>
      </c>
      <c r="CQ56" s="950">
        <v>0</v>
      </c>
      <c r="CR56" s="1013">
        <v>0</v>
      </c>
      <c r="CS56" s="1014">
        <v>0</v>
      </c>
      <c r="CT56" s="1015">
        <v>0</v>
      </c>
      <c r="CU56" s="1014">
        <v>1</v>
      </c>
      <c r="CV56" s="1111">
        <v>0</v>
      </c>
      <c r="CW56" s="1112">
        <v>0</v>
      </c>
      <c r="CX56" s="1111">
        <v>0</v>
      </c>
      <c r="CY56" s="1113">
        <v>0</v>
      </c>
      <c r="CZ56" s="1109">
        <f t="shared" si="1115"/>
        <v>1</v>
      </c>
      <c r="DA56" s="1110">
        <f t="shared" si="1116"/>
        <v>8.3333333333333329E-2</v>
      </c>
      <c r="DB56" s="1015">
        <v>0</v>
      </c>
      <c r="DC56" s="1014">
        <v>0</v>
      </c>
      <c r="DD56" s="1013">
        <v>0</v>
      </c>
      <c r="DE56" s="1014">
        <v>0</v>
      </c>
      <c r="DF56" s="1013">
        <v>0</v>
      </c>
      <c r="DG56" s="1014">
        <v>0</v>
      </c>
      <c r="DH56" s="1015">
        <v>0</v>
      </c>
      <c r="DI56" s="1014">
        <v>0</v>
      </c>
      <c r="DJ56" s="1015">
        <v>0</v>
      </c>
      <c r="DK56" s="1014">
        <v>0</v>
      </c>
      <c r="DL56" s="1015"/>
      <c r="DM56" s="1014"/>
      <c r="DN56" s="1016">
        <f t="shared" si="1122"/>
        <v>0</v>
      </c>
      <c r="DO56" s="163">
        <f t="shared" si="1123"/>
        <v>0</v>
      </c>
      <c r="DP56" s="1015"/>
      <c r="DQ56" s="1014"/>
      <c r="DR56" s="1013"/>
      <c r="DS56" s="1014"/>
      <c r="DT56" s="1013"/>
      <c r="DU56" s="1014"/>
      <c r="DV56" s="1015"/>
      <c r="DW56" s="1014"/>
      <c r="DX56" s="1015"/>
      <c r="DY56" s="1014"/>
      <c r="DZ56" s="1015"/>
      <c r="EA56" s="1014"/>
      <c r="EB56" s="1016">
        <f t="shared" si="1124"/>
        <v>0</v>
      </c>
      <c r="EC56" s="163" t="e">
        <f t="shared" si="1125"/>
        <v>#DIV/0!</v>
      </c>
      <c r="ED56" s="674">
        <f t="shared" ref="ED56:ED64" si="1197">AX56-AU56</f>
        <v>0</v>
      </c>
      <c r="EE56" s="750">
        <v>2</v>
      </c>
      <c r="EF56" s="674">
        <f t="shared" ref="EF56:EF64" si="1198">AY56-AX56</f>
        <v>0</v>
      </c>
      <c r="EG56" s="663" t="e">
        <f t="shared" ref="EG56:EG61" si="1199">EF56/AX56</f>
        <v>#DIV/0!</v>
      </c>
      <c r="EH56" s="674">
        <f t="shared" ref="EH56:EH64" si="1200">AZ56-AY56</f>
        <v>0</v>
      </c>
      <c r="EI56" s="663" t="e">
        <f t="shared" ref="EI56:EI64" si="1201">EH56/AY56</f>
        <v>#DIV/0!</v>
      </c>
      <c r="EJ56" s="674">
        <f t="shared" ref="EJ56:EJ64" si="1202">BA56-AZ56</f>
        <v>0</v>
      </c>
      <c r="EK56" s="663" t="e">
        <f t="shared" ref="EK56:EK64" si="1203">EJ56/AZ56</f>
        <v>#DIV/0!</v>
      </c>
      <c r="EL56" s="674">
        <f t="shared" ref="EL56:EL64" si="1204">BB56-BA56</f>
        <v>0</v>
      </c>
      <c r="EM56" s="663" t="e">
        <f>EL56/BA56</f>
        <v>#DIV/0!</v>
      </c>
      <c r="EN56" s="674">
        <f t="shared" ref="EN56:EN64" si="1205">BC56-BB56</f>
        <v>0</v>
      </c>
      <c r="EO56" s="617">
        <v>1</v>
      </c>
      <c r="EP56" s="674">
        <f t="shared" ref="EP56:EP64" si="1206">BD56-BC56</f>
        <v>0</v>
      </c>
      <c r="EQ56" s="663" t="e">
        <f>EP56/BC56</f>
        <v>#DIV/0!</v>
      </c>
      <c r="ER56" s="674">
        <f t="shared" ref="ER56:ER64" si="1207">BE56-BD56</f>
        <v>0</v>
      </c>
      <c r="ES56" s="663" t="e">
        <f>ER56/BD56</f>
        <v>#DIV/0!</v>
      </c>
      <c r="ET56" s="674">
        <f t="shared" ref="ET56:ET64" si="1208">BF56-BE56</f>
        <v>0</v>
      </c>
      <c r="EU56" s="663" t="e">
        <f t="shared" ref="EU56:EU64" si="1209">ET56/BE56</f>
        <v>#DIV/0!</v>
      </c>
      <c r="EV56" s="674">
        <f t="shared" ref="EV56:EV64" si="1210">BG56-BF56</f>
        <v>0</v>
      </c>
      <c r="EW56" s="109" t="e">
        <f t="shared" ref="EW56:EW64" si="1211">EV56/BF56</f>
        <v>#DIV/0!</v>
      </c>
      <c r="EX56" s="674">
        <f t="shared" ref="EX56:EX64" si="1212">BH56-BG56</f>
        <v>0</v>
      </c>
      <c r="EY56" s="663" t="e">
        <f t="shared" ref="EY56:EY64" si="1213">EX56/BG56</f>
        <v>#DIV/0!</v>
      </c>
      <c r="EZ56" s="674">
        <f t="shared" ref="EZ56:EZ64" si="1214">BI56-BH56</f>
        <v>0</v>
      </c>
      <c r="FA56" s="663">
        <v>2</v>
      </c>
      <c r="FB56" s="674">
        <f t="shared" ref="FB56:FB64" si="1215">BL56-BI56</f>
        <v>0</v>
      </c>
      <c r="FC56" s="663" t="e">
        <f t="shared" ref="FC56:FC64" si="1216">FB56/BI56</f>
        <v>#DIV/0!</v>
      </c>
      <c r="FD56" s="324">
        <f t="shared" ref="FD56:FD64" si="1217">BM56-BL56</f>
        <v>0</v>
      </c>
      <c r="FE56" s="402" t="e">
        <f t="shared" ref="FE56:FE64" si="1218">FD56/BL56</f>
        <v>#DIV/0!</v>
      </c>
      <c r="FF56" s="324">
        <f t="shared" ref="FF56:FF64" si="1219">BN56-BM56</f>
        <v>0</v>
      </c>
      <c r="FG56" s="402" t="e">
        <f t="shared" ref="FG56:FG64" si="1220">FF56/BM56</f>
        <v>#DIV/0!</v>
      </c>
      <c r="FH56" s="324">
        <f t="shared" ref="FH56:FH64" si="1221">BO56-BN56</f>
        <v>0</v>
      </c>
      <c r="FI56" s="402" t="e">
        <f t="shared" ref="FI56:FI64" si="1222">FH56/BN56</f>
        <v>#DIV/0!</v>
      </c>
      <c r="FJ56" s="324">
        <f t="shared" ref="FJ56:FJ64" si="1223">BP56-BO56</f>
        <v>3</v>
      </c>
      <c r="FK56" s="402">
        <v>1</v>
      </c>
      <c r="FL56" s="324">
        <f t="shared" si="1126"/>
        <v>-3</v>
      </c>
      <c r="FM56" s="402">
        <f t="shared" ref="FM56:FM64" si="1224">FL56/BP56</f>
        <v>-1</v>
      </c>
      <c r="FN56" s="324">
        <f t="shared" si="1127"/>
        <v>0</v>
      </c>
      <c r="FO56" s="402">
        <v>0</v>
      </c>
      <c r="FP56" s="324">
        <f t="shared" si="1128"/>
        <v>1</v>
      </c>
      <c r="FQ56" s="402">
        <v>1</v>
      </c>
      <c r="FR56" s="324">
        <f t="shared" si="1129"/>
        <v>-1</v>
      </c>
      <c r="FS56" s="402">
        <f t="shared" ref="FS56:FS64" si="1225">FR56/BS56</f>
        <v>-1</v>
      </c>
      <c r="FT56" s="324">
        <f t="shared" si="1130"/>
        <v>1</v>
      </c>
      <c r="FU56" s="879">
        <v>1</v>
      </c>
      <c r="FV56" s="324">
        <f t="shared" si="1131"/>
        <v>-1</v>
      </c>
      <c r="FW56" s="402">
        <f t="shared" si="1132"/>
        <v>-1</v>
      </c>
      <c r="FX56" s="324">
        <f t="shared" si="1133"/>
        <v>0</v>
      </c>
      <c r="FY56" s="402">
        <v>0</v>
      </c>
      <c r="FZ56" s="324">
        <f t="shared" si="1134"/>
        <v>0</v>
      </c>
      <c r="GA56" s="402">
        <v>0</v>
      </c>
      <c r="GB56" s="324">
        <f t="shared" si="1135"/>
        <v>0</v>
      </c>
      <c r="GC56" s="402">
        <v>0</v>
      </c>
      <c r="GD56" s="324">
        <f t="shared" si="1136"/>
        <v>0</v>
      </c>
      <c r="GE56" s="402">
        <v>1</v>
      </c>
      <c r="GF56" s="324">
        <f t="shared" si="1137"/>
        <v>0</v>
      </c>
      <c r="GG56" s="402">
        <v>0</v>
      </c>
      <c r="GH56" s="324">
        <f t="shared" si="1138"/>
        <v>1</v>
      </c>
      <c r="GI56" s="402">
        <v>1</v>
      </c>
      <c r="GJ56" s="324">
        <f t="shared" si="1139"/>
        <v>-1</v>
      </c>
      <c r="GK56" s="402">
        <f t="shared" si="1194"/>
        <v>-1</v>
      </c>
      <c r="GL56" s="324">
        <f t="shared" si="1140"/>
        <v>0</v>
      </c>
      <c r="GM56" s="402">
        <v>0</v>
      </c>
      <c r="GN56" s="324">
        <f t="shared" si="1141"/>
        <v>1</v>
      </c>
      <c r="GO56" s="402">
        <v>0</v>
      </c>
      <c r="GP56" s="324">
        <f t="shared" si="1142"/>
        <v>0</v>
      </c>
      <c r="GQ56" s="402">
        <f t="shared" si="1195"/>
        <v>0</v>
      </c>
      <c r="GR56" s="324">
        <f t="shared" si="1143"/>
        <v>-1</v>
      </c>
      <c r="GS56" s="402">
        <f t="shared" si="1144"/>
        <v>-1</v>
      </c>
      <c r="GT56" s="324">
        <f t="shared" si="1145"/>
        <v>0</v>
      </c>
      <c r="GU56" s="402">
        <v>0</v>
      </c>
      <c r="GV56" s="324">
        <f t="shared" si="1146"/>
        <v>0</v>
      </c>
      <c r="GW56" s="402" t="e">
        <f t="shared" si="1147"/>
        <v>#DIV/0!</v>
      </c>
      <c r="GX56" s="324">
        <f t="shared" si="1148"/>
        <v>0</v>
      </c>
      <c r="GY56" s="402">
        <v>0</v>
      </c>
      <c r="GZ56" s="324">
        <f t="shared" si="1149"/>
        <v>0</v>
      </c>
      <c r="HA56" s="402">
        <v>0</v>
      </c>
      <c r="HB56" s="324">
        <f t="shared" si="1150"/>
        <v>0</v>
      </c>
      <c r="HC56" s="402">
        <v>0</v>
      </c>
      <c r="HD56" s="324">
        <f t="shared" si="1151"/>
        <v>0</v>
      </c>
      <c r="HE56" s="402">
        <v>0</v>
      </c>
      <c r="HF56" s="324">
        <f t="shared" si="1152"/>
        <v>0</v>
      </c>
      <c r="HG56" s="402">
        <v>0</v>
      </c>
      <c r="HH56" s="324">
        <f t="shared" si="1153"/>
        <v>0</v>
      </c>
      <c r="HI56" s="402">
        <v>0</v>
      </c>
      <c r="HJ56" s="324">
        <f t="shared" si="1154"/>
        <v>0</v>
      </c>
      <c r="HK56" s="402">
        <v>0</v>
      </c>
      <c r="HL56" s="324">
        <f t="shared" si="1155"/>
        <v>1</v>
      </c>
      <c r="HM56" s="402">
        <v>0</v>
      </c>
      <c r="HN56" s="324">
        <f t="shared" si="1156"/>
        <v>-1</v>
      </c>
      <c r="HO56" s="402">
        <f t="shared" si="1196"/>
        <v>-1</v>
      </c>
      <c r="HP56" s="324">
        <f t="shared" si="1157"/>
        <v>0</v>
      </c>
      <c r="HQ56" s="402">
        <v>0</v>
      </c>
      <c r="HR56" s="324">
        <f t="shared" si="1158"/>
        <v>0</v>
      </c>
      <c r="HS56" s="402">
        <v>0</v>
      </c>
      <c r="HT56" s="324">
        <f t="shared" si="1159"/>
        <v>0</v>
      </c>
      <c r="HU56" s="402">
        <v>0</v>
      </c>
      <c r="HV56" s="324">
        <f t="shared" si="1160"/>
        <v>0</v>
      </c>
      <c r="HW56" s="402">
        <v>0</v>
      </c>
      <c r="HX56" s="324">
        <f t="shared" si="1161"/>
        <v>0</v>
      </c>
      <c r="HY56" s="402">
        <v>0</v>
      </c>
      <c r="HZ56" s="324">
        <f t="shared" si="1162"/>
        <v>0</v>
      </c>
      <c r="IA56" s="402">
        <v>0</v>
      </c>
      <c r="IB56" s="324">
        <f t="shared" si="1163"/>
        <v>0</v>
      </c>
      <c r="IC56" s="402">
        <v>0</v>
      </c>
      <c r="ID56" s="324">
        <f t="shared" si="1164"/>
        <v>0</v>
      </c>
      <c r="IE56" s="402">
        <v>0</v>
      </c>
      <c r="IF56" s="324">
        <f t="shared" si="1165"/>
        <v>0</v>
      </c>
      <c r="IG56" s="402" t="e">
        <f t="shared" si="1166"/>
        <v>#DIV/0!</v>
      </c>
      <c r="IH56" s="324">
        <f t="shared" si="1167"/>
        <v>0</v>
      </c>
      <c r="II56" s="402">
        <v>0</v>
      </c>
      <c r="IJ56" s="324">
        <f t="shared" si="1169"/>
        <v>0</v>
      </c>
      <c r="IK56" s="402">
        <v>0</v>
      </c>
      <c r="IL56" s="324">
        <f t="shared" si="1171"/>
        <v>0</v>
      </c>
      <c r="IM56" s="402">
        <v>0</v>
      </c>
      <c r="IN56" s="324">
        <f t="shared" si="1173"/>
        <v>0</v>
      </c>
      <c r="IO56" s="402">
        <v>0</v>
      </c>
      <c r="IP56" s="324">
        <f t="shared" si="1175"/>
        <v>0</v>
      </c>
      <c r="IQ56" s="402" t="e">
        <f t="shared" si="1176"/>
        <v>#DIV/0!</v>
      </c>
      <c r="IR56" s="324" t="e">
        <f t="shared" si="1177"/>
        <v>#DIV/0!</v>
      </c>
      <c r="IS56" s="402" t="e">
        <f t="shared" si="1178"/>
        <v>#DIV/0!</v>
      </c>
      <c r="IT56" s="952">
        <f t="shared" si="1179"/>
        <v>0</v>
      </c>
      <c r="IU56" s="1079">
        <f t="shared" si="1180"/>
        <v>0</v>
      </c>
      <c r="IV56" s="122">
        <f t="shared" si="1181"/>
        <v>0</v>
      </c>
      <c r="IW56" s="949">
        <f t="shared" si="1182"/>
        <v>0</v>
      </c>
      <c r="IX56" s="698"/>
      <c r="IY56" s="698"/>
      <c r="IZ56" s="698"/>
      <c r="JA56" t="str">
        <f t="shared" si="1183"/>
        <v>Finance</v>
      </c>
      <c r="JB56" s="262"/>
      <c r="JC56" s="262"/>
      <c r="JD56" s="262"/>
      <c r="JE56" s="262"/>
      <c r="JF56" s="262"/>
      <c r="JG56" s="262"/>
      <c r="JH56" s="262"/>
      <c r="JI56" s="262"/>
      <c r="JJ56" s="262"/>
      <c r="JK56" s="262"/>
      <c r="JL56" s="262"/>
      <c r="JM56" s="263"/>
      <c r="JN56" s="263"/>
      <c r="JO56" s="263"/>
      <c r="JP56" s="263"/>
      <c r="JQ56" s="263"/>
      <c r="JR56" s="263"/>
      <c r="JS56" s="263"/>
      <c r="JT56" s="263"/>
      <c r="JU56" s="263"/>
      <c r="JV56" s="263"/>
      <c r="JW56" s="263"/>
      <c r="JX56" s="263"/>
      <c r="JY56" s="263"/>
      <c r="JZ56" s="263"/>
      <c r="KA56" s="263"/>
      <c r="KB56" s="263"/>
      <c r="KC56" s="263"/>
      <c r="KD56" s="263"/>
      <c r="KE56" s="263"/>
      <c r="KF56" s="263"/>
      <c r="KG56" s="263"/>
      <c r="KH56" s="263"/>
      <c r="KI56" s="263"/>
      <c r="KJ56" s="263"/>
      <c r="KK56" s="788"/>
      <c r="KL56" s="788"/>
      <c r="KM56" s="788"/>
      <c r="KN56" s="788"/>
      <c r="KO56" s="788"/>
      <c r="KP56" s="788">
        <f t="shared" ref="KP56:KP64" si="1226">BQ56</f>
        <v>0</v>
      </c>
      <c r="KQ56" s="788">
        <f t="shared" ref="KQ56:KQ64" si="1227">BR56</f>
        <v>0</v>
      </c>
      <c r="KR56" s="788">
        <f t="shared" ref="KR56:KR64" si="1228">BS56</f>
        <v>1</v>
      </c>
      <c r="KS56" s="788">
        <f t="shared" ref="KS56:KS64" si="1229">BT56</f>
        <v>0</v>
      </c>
      <c r="KT56" s="788"/>
      <c r="KU56" s="788">
        <f t="shared" ref="KU56:KU64" si="1230">BV56</f>
        <v>0</v>
      </c>
      <c r="KV56" s="788"/>
      <c r="KW56" s="900">
        <f t="shared" ref="KW56:KW64" si="1231">BZ56</f>
        <v>0</v>
      </c>
      <c r="KX56" s="900">
        <f t="shared" ref="KX56:KX64" si="1232">CA56</f>
        <v>0</v>
      </c>
      <c r="KY56" s="900">
        <f t="shared" ref="KY56:KY64" si="1233">CB56</f>
        <v>0</v>
      </c>
      <c r="KZ56" s="900">
        <f t="shared" ref="KZ56:KZ64" si="1234">CC56</f>
        <v>0</v>
      </c>
      <c r="LA56" s="900">
        <f t="shared" ref="LA56:LA64" si="1235">CD56</f>
        <v>1</v>
      </c>
      <c r="LB56" s="900">
        <f t="shared" ref="LB56:LB64" si="1236">CE56</f>
        <v>0</v>
      </c>
      <c r="LC56" s="900">
        <f t="shared" ref="LC56:LC64" si="1237">CF56</f>
        <v>0</v>
      </c>
      <c r="LD56" s="900"/>
      <c r="LE56" s="900"/>
      <c r="LF56" s="900"/>
      <c r="LG56" s="900">
        <f t="shared" ref="LG56:LG64" si="1238">CJ56</f>
        <v>0</v>
      </c>
      <c r="LH56" s="900"/>
      <c r="LI56" s="959">
        <f t="shared" ref="LI56:LI64" si="1239">CN56</f>
        <v>0</v>
      </c>
      <c r="LJ56" s="959">
        <f t="shared" ref="LJ56:LJ64" si="1240">CO56</f>
        <v>0</v>
      </c>
      <c r="LK56" s="959">
        <f t="shared" ref="LK56:LK64" si="1241">CP56</f>
        <v>0</v>
      </c>
      <c r="LL56" s="959">
        <f t="shared" ref="LL56:LL64" si="1242">CQ56</f>
        <v>0</v>
      </c>
      <c r="LM56" s="959">
        <f t="shared" ref="LM56:LM64" si="1243">CR56</f>
        <v>0</v>
      </c>
      <c r="LN56" s="959"/>
      <c r="LO56" s="959">
        <f t="shared" ref="LO56:LO64" si="1244">CT56</f>
        <v>0</v>
      </c>
      <c r="LP56" s="959">
        <f t="shared" ref="LP56:LP64" si="1245">CU56</f>
        <v>1</v>
      </c>
      <c r="LQ56" s="959">
        <f t="shared" ref="LQ56:LQ64" si="1246">CV56</f>
        <v>0</v>
      </c>
      <c r="LR56" s="959">
        <f t="shared" ref="LR56:LR64" si="1247">CW56</f>
        <v>0</v>
      </c>
      <c r="LS56" s="959">
        <f t="shared" ref="LS56:LS64" si="1248">CX56</f>
        <v>0</v>
      </c>
      <c r="LT56" s="959">
        <f t="shared" ref="LT56:LT64" si="1249">CY56</f>
        <v>0</v>
      </c>
      <c r="LU56" s="1155">
        <f t="shared" ref="LU56:LU64" si="1250">DB56</f>
        <v>0</v>
      </c>
      <c r="LV56" s="1155">
        <f t="shared" ref="LV56:LV64" si="1251">DC56</f>
        <v>0</v>
      </c>
      <c r="LW56" s="1155">
        <f t="shared" ref="LW56:LW64" si="1252">DD56</f>
        <v>0</v>
      </c>
      <c r="LX56" s="1155">
        <f t="shared" ref="LX56:LX64" si="1253">DE56</f>
        <v>0</v>
      </c>
      <c r="LY56" s="1155">
        <f t="shared" ref="LY56:LY64" si="1254">DF56</f>
        <v>0</v>
      </c>
      <c r="LZ56" s="1155">
        <f t="shared" ref="LZ56:LZ64" si="1255">DG56</f>
        <v>0</v>
      </c>
      <c r="MA56" s="1155">
        <f t="shared" si="1189"/>
        <v>0</v>
      </c>
      <c r="MB56" s="1155">
        <f t="shared" si="1189"/>
        <v>0</v>
      </c>
      <c r="MC56" s="1155">
        <f t="shared" si="1189"/>
        <v>0</v>
      </c>
      <c r="MD56" s="1155">
        <f t="shared" si="1189"/>
        <v>0</v>
      </c>
      <c r="ME56" s="1155"/>
      <c r="MF56" s="1155"/>
      <c r="MG56" s="1177">
        <f t="shared" ref="MG56:MG64" si="1256">DP56</f>
        <v>0</v>
      </c>
      <c r="MH56" s="1177">
        <f t="shared" ref="MH56:MH64" si="1257">DQ56</f>
        <v>0</v>
      </c>
      <c r="MI56" s="1177">
        <f t="shared" ref="MI56:MI64" si="1258">DR56</f>
        <v>0</v>
      </c>
      <c r="MJ56" s="1177">
        <f t="shared" ref="MJ56:MJ64" si="1259">DS56</f>
        <v>0</v>
      </c>
      <c r="MK56" s="1177"/>
      <c r="ML56" s="1177"/>
      <c r="MM56" s="1177"/>
      <c r="MN56" s="1177"/>
      <c r="MO56" s="1177"/>
      <c r="MP56" s="1177"/>
      <c r="MQ56" s="1177"/>
      <c r="MR56" s="1177"/>
    </row>
    <row r="57" spans="1:356" x14ac:dyDescent="0.25">
      <c r="A57" s="764"/>
      <c r="B57" s="56">
        <v>8.6</v>
      </c>
      <c r="C57" s="7"/>
      <c r="D57" s="119"/>
      <c r="E57" s="1221" t="s">
        <v>8</v>
      </c>
      <c r="F57" s="1221"/>
      <c r="G57" s="1222"/>
      <c r="H57" s="368">
        <v>6</v>
      </c>
      <c r="I57" s="70">
        <v>5</v>
      </c>
      <c r="J57" s="23">
        <v>5</v>
      </c>
      <c r="K57" s="70">
        <v>5</v>
      </c>
      <c r="L57" s="23">
        <v>9</v>
      </c>
      <c r="M57" s="70">
        <v>5</v>
      </c>
      <c r="N57" s="23">
        <v>4</v>
      </c>
      <c r="O57" s="70">
        <v>5</v>
      </c>
      <c r="P57" s="23">
        <v>3</v>
      </c>
      <c r="Q57" s="70">
        <v>4</v>
      </c>
      <c r="R57" s="23">
        <v>2</v>
      </c>
      <c r="S57" s="70">
        <v>4</v>
      </c>
      <c r="T57" s="130">
        <v>57</v>
      </c>
      <c r="U57" s="163">
        <v>4.75</v>
      </c>
      <c r="V57" s="368">
        <v>0</v>
      </c>
      <c r="W57" s="70">
        <v>3</v>
      </c>
      <c r="X57" s="23">
        <v>3</v>
      </c>
      <c r="Y57" s="70">
        <v>5</v>
      </c>
      <c r="Z57" s="23">
        <v>3</v>
      </c>
      <c r="AA57" s="70">
        <v>2</v>
      </c>
      <c r="AB57" s="23">
        <v>5</v>
      </c>
      <c r="AC57" s="70">
        <v>2</v>
      </c>
      <c r="AD57" s="23">
        <v>7</v>
      </c>
      <c r="AE57" s="70">
        <v>4</v>
      </c>
      <c r="AF57" s="23">
        <v>5</v>
      </c>
      <c r="AG57" s="70">
        <v>18</v>
      </c>
      <c r="AH57" s="130">
        <v>57</v>
      </c>
      <c r="AI57" s="163">
        <v>4.75</v>
      </c>
      <c r="AJ57" s="368">
        <v>8</v>
      </c>
      <c r="AK57" s="70">
        <v>3</v>
      </c>
      <c r="AL57" s="23">
        <v>5</v>
      </c>
      <c r="AM57" s="70">
        <v>9</v>
      </c>
      <c r="AN57" s="23">
        <v>10</v>
      </c>
      <c r="AO57" s="70">
        <v>5</v>
      </c>
      <c r="AP57" s="625">
        <v>6</v>
      </c>
      <c r="AQ57" s="70">
        <v>7</v>
      </c>
      <c r="AR57" s="625">
        <v>6</v>
      </c>
      <c r="AS57" s="70">
        <v>9</v>
      </c>
      <c r="AT57" s="625">
        <v>6</v>
      </c>
      <c r="AU57" s="70">
        <v>2</v>
      </c>
      <c r="AV57" s="130">
        <f t="shared" si="1087"/>
        <v>76</v>
      </c>
      <c r="AW57" s="163">
        <f t="shared" si="1088"/>
        <v>6.333333333333333</v>
      </c>
      <c r="AX57" s="368">
        <v>5</v>
      </c>
      <c r="AY57" s="70">
        <v>7</v>
      </c>
      <c r="AZ57" s="23">
        <v>3</v>
      </c>
      <c r="BA57" s="70">
        <v>3</v>
      </c>
      <c r="BB57" s="23">
        <v>0</v>
      </c>
      <c r="BC57" s="70">
        <v>2</v>
      </c>
      <c r="BD57" s="625">
        <v>2</v>
      </c>
      <c r="BE57" s="70">
        <v>3</v>
      </c>
      <c r="BF57" s="625">
        <v>3</v>
      </c>
      <c r="BG57" s="70">
        <v>4</v>
      </c>
      <c r="BH57" s="625">
        <v>3</v>
      </c>
      <c r="BI57" s="70">
        <v>1</v>
      </c>
      <c r="BJ57" s="130">
        <f t="shared" si="1091"/>
        <v>36</v>
      </c>
      <c r="BK57" s="163">
        <f t="shared" si="1092"/>
        <v>3</v>
      </c>
      <c r="BL57" s="368">
        <v>2</v>
      </c>
      <c r="BM57" s="70">
        <v>4</v>
      </c>
      <c r="BN57" s="23">
        <v>2</v>
      </c>
      <c r="BO57" s="70">
        <v>2</v>
      </c>
      <c r="BP57" s="23">
        <v>2</v>
      </c>
      <c r="BQ57" s="70">
        <v>2</v>
      </c>
      <c r="BR57" s="625">
        <v>2</v>
      </c>
      <c r="BS57" s="70">
        <v>2</v>
      </c>
      <c r="BT57" s="625">
        <v>4</v>
      </c>
      <c r="BU57" s="625">
        <v>2</v>
      </c>
      <c r="BV57" s="625">
        <v>4</v>
      </c>
      <c r="BW57" s="625">
        <v>0</v>
      </c>
      <c r="BX57" s="130">
        <f t="shared" si="1099"/>
        <v>28</v>
      </c>
      <c r="BY57" s="163">
        <f t="shared" si="1100"/>
        <v>2.3333333333333335</v>
      </c>
      <c r="BZ57" s="625">
        <v>2</v>
      </c>
      <c r="CA57" s="70">
        <v>3</v>
      </c>
      <c r="CB57" s="23">
        <v>3</v>
      </c>
      <c r="CC57" s="950">
        <v>0</v>
      </c>
      <c r="CD57" s="23">
        <v>3</v>
      </c>
      <c r="CE57" s="950">
        <v>1</v>
      </c>
      <c r="CF57" s="952">
        <v>2</v>
      </c>
      <c r="CG57" s="950">
        <v>3</v>
      </c>
      <c r="CH57" s="952">
        <v>4</v>
      </c>
      <c r="CI57" s="952">
        <v>1</v>
      </c>
      <c r="CJ57" s="952">
        <v>3</v>
      </c>
      <c r="CK57" s="952">
        <v>2</v>
      </c>
      <c r="CL57" s="953">
        <f t="shared" si="1107"/>
        <v>27</v>
      </c>
      <c r="CM57" s="163">
        <f t="shared" si="1108"/>
        <v>2.25</v>
      </c>
      <c r="CN57" s="625">
        <v>2</v>
      </c>
      <c r="CO57" s="70">
        <v>3</v>
      </c>
      <c r="CP57" s="23">
        <v>2</v>
      </c>
      <c r="CQ57" s="950">
        <v>3</v>
      </c>
      <c r="CR57" s="1013">
        <v>2</v>
      </c>
      <c r="CS57" s="1014">
        <v>0</v>
      </c>
      <c r="CT57" s="1015">
        <v>2</v>
      </c>
      <c r="CU57" s="1014">
        <v>3</v>
      </c>
      <c r="CV57" s="1111">
        <v>3</v>
      </c>
      <c r="CW57" s="1112">
        <v>2</v>
      </c>
      <c r="CX57" s="1111">
        <v>2</v>
      </c>
      <c r="CY57" s="1113">
        <v>2</v>
      </c>
      <c r="CZ57" s="1109">
        <f t="shared" si="1115"/>
        <v>26</v>
      </c>
      <c r="DA57" s="1110">
        <f t="shared" si="1116"/>
        <v>2.1666666666666665</v>
      </c>
      <c r="DB57" s="1015">
        <v>2</v>
      </c>
      <c r="DC57" s="1014">
        <v>2</v>
      </c>
      <c r="DD57" s="1013">
        <v>2</v>
      </c>
      <c r="DE57" s="1014">
        <v>2</v>
      </c>
      <c r="DF57" s="1013">
        <v>2</v>
      </c>
      <c r="DG57" s="1014">
        <v>1</v>
      </c>
      <c r="DH57" s="1015">
        <v>2</v>
      </c>
      <c r="DI57" s="1014">
        <v>2</v>
      </c>
      <c r="DJ57" s="1015">
        <v>2</v>
      </c>
      <c r="DK57" s="1014">
        <v>2</v>
      </c>
      <c r="DL57" s="1015"/>
      <c r="DM57" s="1014"/>
      <c r="DN57" s="1016">
        <f t="shared" si="1122"/>
        <v>19</v>
      </c>
      <c r="DO57" s="163">
        <f t="shared" si="1123"/>
        <v>1.9</v>
      </c>
      <c r="DP57" s="1015"/>
      <c r="DQ57" s="1014"/>
      <c r="DR57" s="1013"/>
      <c r="DS57" s="1014"/>
      <c r="DT57" s="1013"/>
      <c r="DU57" s="1014"/>
      <c r="DV57" s="1015"/>
      <c r="DW57" s="1014"/>
      <c r="DX57" s="1015"/>
      <c r="DY57" s="1014"/>
      <c r="DZ57" s="1015"/>
      <c r="EA57" s="1014"/>
      <c r="EB57" s="1016">
        <f t="shared" si="1124"/>
        <v>0</v>
      </c>
      <c r="EC57" s="163" t="e">
        <f t="shared" si="1125"/>
        <v>#DIV/0!</v>
      </c>
      <c r="ED57" s="674">
        <f t="shared" si="1197"/>
        <v>3</v>
      </c>
      <c r="EE57" s="663">
        <f t="shared" ref="EE57:EE64" si="1260">ED57/AU57</f>
        <v>1.5</v>
      </c>
      <c r="EF57" s="674">
        <f t="shared" si="1198"/>
        <v>2</v>
      </c>
      <c r="EG57" s="663">
        <f t="shared" si="1199"/>
        <v>0.4</v>
      </c>
      <c r="EH57" s="674">
        <f t="shared" si="1200"/>
        <v>-4</v>
      </c>
      <c r="EI57" s="663">
        <f t="shared" si="1201"/>
        <v>-0.5714285714285714</v>
      </c>
      <c r="EJ57" s="674">
        <f t="shared" si="1202"/>
        <v>0</v>
      </c>
      <c r="EK57" s="663">
        <f t="shared" si="1203"/>
        <v>0</v>
      </c>
      <c r="EL57" s="674">
        <f t="shared" si="1204"/>
        <v>-3</v>
      </c>
      <c r="EM57" s="663">
        <f>EL57/BA57</f>
        <v>-1</v>
      </c>
      <c r="EN57" s="674">
        <f t="shared" si="1205"/>
        <v>2</v>
      </c>
      <c r="EO57" s="617">
        <v>0</v>
      </c>
      <c r="EP57" s="674">
        <f t="shared" si="1206"/>
        <v>0</v>
      </c>
      <c r="EQ57" s="663">
        <f>EP57/BC57</f>
        <v>0</v>
      </c>
      <c r="ER57" s="674">
        <f t="shared" si="1207"/>
        <v>1</v>
      </c>
      <c r="ES57" s="663">
        <f>ER57/BD57</f>
        <v>0.5</v>
      </c>
      <c r="ET57" s="674">
        <f t="shared" si="1208"/>
        <v>0</v>
      </c>
      <c r="EU57" s="663">
        <f t="shared" si="1209"/>
        <v>0</v>
      </c>
      <c r="EV57" s="674">
        <f t="shared" si="1210"/>
        <v>1</v>
      </c>
      <c r="EW57" s="109">
        <f t="shared" si="1211"/>
        <v>0.33333333333333331</v>
      </c>
      <c r="EX57" s="674">
        <f t="shared" si="1212"/>
        <v>-1</v>
      </c>
      <c r="EY57" s="663">
        <f t="shared" si="1213"/>
        <v>-0.25</v>
      </c>
      <c r="EZ57" s="674">
        <f t="shared" si="1214"/>
        <v>-2</v>
      </c>
      <c r="FA57" s="663">
        <f>EZ57/BH57</f>
        <v>-0.66666666666666663</v>
      </c>
      <c r="FB57" s="674">
        <f t="shared" si="1215"/>
        <v>1</v>
      </c>
      <c r="FC57" s="663">
        <f t="shared" si="1216"/>
        <v>1</v>
      </c>
      <c r="FD57" s="324">
        <f t="shared" si="1217"/>
        <v>2</v>
      </c>
      <c r="FE57" s="402">
        <f t="shared" si="1218"/>
        <v>1</v>
      </c>
      <c r="FF57" s="324">
        <f t="shared" si="1219"/>
        <v>-2</v>
      </c>
      <c r="FG57" s="402">
        <f t="shared" si="1220"/>
        <v>-0.5</v>
      </c>
      <c r="FH57" s="324">
        <f t="shared" si="1221"/>
        <v>0</v>
      </c>
      <c r="FI57" s="402">
        <f t="shared" si="1222"/>
        <v>0</v>
      </c>
      <c r="FJ57" s="324">
        <f t="shared" si="1223"/>
        <v>0</v>
      </c>
      <c r="FK57" s="402">
        <f t="shared" ref="FK57:FK64" si="1261">FJ57/BO57</f>
        <v>0</v>
      </c>
      <c r="FL57" s="324">
        <f t="shared" si="1126"/>
        <v>0</v>
      </c>
      <c r="FM57" s="402">
        <f t="shared" si="1224"/>
        <v>0</v>
      </c>
      <c r="FN57" s="324">
        <f t="shared" si="1127"/>
        <v>0</v>
      </c>
      <c r="FO57" s="402">
        <f>FN57/BQ57</f>
        <v>0</v>
      </c>
      <c r="FP57" s="324">
        <f t="shared" si="1128"/>
        <v>0</v>
      </c>
      <c r="FQ57" s="402">
        <f>FP57/BR57</f>
        <v>0</v>
      </c>
      <c r="FR57" s="324">
        <f t="shared" si="1129"/>
        <v>2</v>
      </c>
      <c r="FS57" s="402">
        <f t="shared" si="1225"/>
        <v>1</v>
      </c>
      <c r="FT57" s="324">
        <f t="shared" si="1130"/>
        <v>-2</v>
      </c>
      <c r="FU57" s="402">
        <f t="shared" ref="FU57:FU64" si="1262">FT57/BT57</f>
        <v>-0.5</v>
      </c>
      <c r="FV57" s="324">
        <f t="shared" si="1131"/>
        <v>2</v>
      </c>
      <c r="FW57" s="402">
        <f t="shared" si="1132"/>
        <v>1</v>
      </c>
      <c r="FX57" s="324">
        <f t="shared" si="1133"/>
        <v>-4</v>
      </c>
      <c r="FY57" s="402">
        <f>FX57/BV57</f>
        <v>-1</v>
      </c>
      <c r="FZ57" s="324">
        <f t="shared" si="1134"/>
        <v>2</v>
      </c>
      <c r="GA57" s="402">
        <v>0</v>
      </c>
      <c r="GB57" s="324">
        <f t="shared" si="1135"/>
        <v>1</v>
      </c>
      <c r="GC57" s="402">
        <f>GB57/BZ57</f>
        <v>0.5</v>
      </c>
      <c r="GD57" s="324">
        <f t="shared" si="1136"/>
        <v>0</v>
      </c>
      <c r="GE57" s="402">
        <f t="shared" ref="GE57:GE64" si="1263">GD57/CA57</f>
        <v>0</v>
      </c>
      <c r="GF57" s="324">
        <f t="shared" si="1137"/>
        <v>-3</v>
      </c>
      <c r="GG57" s="402">
        <f>GF57/CB57</f>
        <v>-1</v>
      </c>
      <c r="GH57" s="324">
        <f t="shared" si="1138"/>
        <v>3</v>
      </c>
      <c r="GI57" s="402">
        <v>1</v>
      </c>
      <c r="GJ57" s="324">
        <f t="shared" si="1139"/>
        <v>-2</v>
      </c>
      <c r="GK57" s="402">
        <f t="shared" si="1194"/>
        <v>-0.66666666666666663</v>
      </c>
      <c r="GL57" s="324">
        <f t="shared" si="1140"/>
        <v>1</v>
      </c>
      <c r="GM57" s="402">
        <f>GL57/CE57</f>
        <v>1</v>
      </c>
      <c r="GN57" s="324">
        <f t="shared" si="1141"/>
        <v>1</v>
      </c>
      <c r="GO57" s="402">
        <f>GN57/CF57</f>
        <v>0.5</v>
      </c>
      <c r="GP57" s="324">
        <f t="shared" si="1142"/>
        <v>1</v>
      </c>
      <c r="GQ57" s="402">
        <f t="shared" si="1195"/>
        <v>0.33333333333333331</v>
      </c>
      <c r="GR57" s="324">
        <f t="shared" si="1143"/>
        <v>-3</v>
      </c>
      <c r="GS57" s="402">
        <f t="shared" si="1144"/>
        <v>-0.75</v>
      </c>
      <c r="GT57" s="324">
        <f t="shared" si="1145"/>
        <v>2</v>
      </c>
      <c r="GU57" s="402">
        <f t="shared" ref="GU57:GU64" si="1264">GT57/CI57</f>
        <v>2</v>
      </c>
      <c r="GV57" s="324">
        <f t="shared" si="1146"/>
        <v>-1</v>
      </c>
      <c r="GW57" s="402">
        <f t="shared" si="1147"/>
        <v>-0.33333333333333331</v>
      </c>
      <c r="GX57" s="324">
        <f t="shared" si="1148"/>
        <v>0</v>
      </c>
      <c r="GY57" s="402">
        <f t="shared" ref="GY57:GY64" si="1265">GX57/CK57</f>
        <v>0</v>
      </c>
      <c r="GZ57" s="324">
        <f t="shared" si="1149"/>
        <v>1</v>
      </c>
      <c r="HA57" s="402">
        <f>GZ57/CN57</f>
        <v>0.5</v>
      </c>
      <c r="HB57" s="324">
        <f t="shared" si="1150"/>
        <v>-1</v>
      </c>
      <c r="HC57" s="402">
        <f t="shared" ref="HC57:HC64" si="1266">HB57/CO57</f>
        <v>-0.33333333333333331</v>
      </c>
      <c r="HD57" s="324">
        <f t="shared" si="1151"/>
        <v>1</v>
      </c>
      <c r="HE57" s="402">
        <f>HD57/CP57</f>
        <v>0.5</v>
      </c>
      <c r="HF57" s="324">
        <f t="shared" si="1152"/>
        <v>-1</v>
      </c>
      <c r="HG57" s="402">
        <f t="shared" ref="HG57:HG64" si="1267">HF57/CQ57</f>
        <v>-0.33333333333333331</v>
      </c>
      <c r="HH57" s="324">
        <f t="shared" si="1153"/>
        <v>-2</v>
      </c>
      <c r="HI57" s="402">
        <f>HH57/CR57</f>
        <v>-1</v>
      </c>
      <c r="HJ57" s="324">
        <f t="shared" si="1154"/>
        <v>2</v>
      </c>
      <c r="HK57" s="402">
        <v>0</v>
      </c>
      <c r="HL57" s="324">
        <f t="shared" si="1155"/>
        <v>1</v>
      </c>
      <c r="HM57" s="402">
        <f>HL57/CT57</f>
        <v>0.5</v>
      </c>
      <c r="HN57" s="324">
        <f t="shared" si="1156"/>
        <v>0</v>
      </c>
      <c r="HO57" s="402">
        <f t="shared" si="1196"/>
        <v>0</v>
      </c>
      <c r="HP57" s="324">
        <f t="shared" si="1157"/>
        <v>-1</v>
      </c>
      <c r="HQ57" s="402">
        <f>HP57/CV57</f>
        <v>-0.33333333333333331</v>
      </c>
      <c r="HR57" s="324">
        <f t="shared" si="1158"/>
        <v>0</v>
      </c>
      <c r="HS57" s="402">
        <f t="shared" ref="HS57:HS64" si="1268">HR57/CW57</f>
        <v>0</v>
      </c>
      <c r="HT57" s="324">
        <f t="shared" si="1159"/>
        <v>0</v>
      </c>
      <c r="HU57" s="402">
        <f>HT57/CX57</f>
        <v>0</v>
      </c>
      <c r="HV57" s="324">
        <f t="shared" si="1160"/>
        <v>0</v>
      </c>
      <c r="HW57" s="402">
        <f>HV57/CY57</f>
        <v>0</v>
      </c>
      <c r="HX57" s="324">
        <f t="shared" si="1161"/>
        <v>0</v>
      </c>
      <c r="HY57" s="402">
        <f>HX57/DB57</f>
        <v>0</v>
      </c>
      <c r="HZ57" s="324">
        <f t="shared" si="1162"/>
        <v>0</v>
      </c>
      <c r="IA57" s="402">
        <f>HZ57/DD57</f>
        <v>0</v>
      </c>
      <c r="IB57" s="324">
        <f t="shared" si="1163"/>
        <v>0</v>
      </c>
      <c r="IC57" s="402">
        <f>IB57/DD57</f>
        <v>0</v>
      </c>
      <c r="ID57" s="324">
        <f t="shared" si="1164"/>
        <v>0</v>
      </c>
      <c r="IE57" s="402">
        <f>ID57/DO57</f>
        <v>0</v>
      </c>
      <c r="IF57" s="324">
        <f t="shared" si="1165"/>
        <v>-1</v>
      </c>
      <c r="IG57" s="402">
        <f t="shared" si="1166"/>
        <v>-0.5</v>
      </c>
      <c r="IH57" s="324">
        <f t="shared" si="1167"/>
        <v>1</v>
      </c>
      <c r="II57" s="402">
        <f t="shared" si="1168"/>
        <v>1</v>
      </c>
      <c r="IJ57" s="324">
        <f t="shared" si="1169"/>
        <v>0</v>
      </c>
      <c r="IK57" s="402">
        <f t="shared" si="1170"/>
        <v>0</v>
      </c>
      <c r="IL57" s="324">
        <f t="shared" si="1171"/>
        <v>0</v>
      </c>
      <c r="IM57" s="402">
        <f t="shared" si="1172"/>
        <v>0</v>
      </c>
      <c r="IN57" s="324">
        <f t="shared" si="1173"/>
        <v>0</v>
      </c>
      <c r="IO57" s="402">
        <f t="shared" si="1174"/>
        <v>0</v>
      </c>
      <c r="IP57" s="324">
        <f t="shared" si="1175"/>
        <v>-2</v>
      </c>
      <c r="IQ57" s="402">
        <f t="shared" si="1176"/>
        <v>3.5</v>
      </c>
      <c r="IR57" s="324">
        <f t="shared" si="1177"/>
        <v>0</v>
      </c>
      <c r="IS57" s="402" t="e">
        <f t="shared" si="1178"/>
        <v>#DIV/0!</v>
      </c>
      <c r="IT57" s="952">
        <f t="shared" si="1179"/>
        <v>2</v>
      </c>
      <c r="IU57" s="1079">
        <f t="shared" si="1180"/>
        <v>2</v>
      </c>
      <c r="IV57" s="122">
        <f t="shared" si="1181"/>
        <v>0</v>
      </c>
      <c r="IW57" s="949">
        <f t="shared" si="1182"/>
        <v>0</v>
      </c>
      <c r="IX57" s="698"/>
      <c r="IY57" s="698"/>
      <c r="IZ57" s="698"/>
      <c r="JA57" t="str">
        <f t="shared" si="1183"/>
        <v>Org Management</v>
      </c>
      <c r="JB57" s="262" t="e">
        <f>#REF!</f>
        <v>#REF!</v>
      </c>
      <c r="JC57" s="262" t="e">
        <f>#REF!</f>
        <v>#REF!</v>
      </c>
      <c r="JD57" s="262" t="e">
        <f>#REF!</f>
        <v>#REF!</v>
      </c>
      <c r="JE57" s="262" t="e">
        <f>#REF!</f>
        <v>#REF!</v>
      </c>
      <c r="JF57" s="262" t="e">
        <f>#REF!</f>
        <v>#REF!</v>
      </c>
      <c r="JG57" s="262" t="e">
        <f>#REF!</f>
        <v>#REF!</v>
      </c>
      <c r="JH57" s="262" t="e">
        <f>#REF!</f>
        <v>#REF!</v>
      </c>
      <c r="JI57" s="262" t="e">
        <f>#REF!</f>
        <v>#REF!</v>
      </c>
      <c r="JJ57" s="262" t="e">
        <f>#REF!</f>
        <v>#REF!</v>
      </c>
      <c r="JK57" s="262" t="e">
        <f>#REF!</f>
        <v>#REF!</v>
      </c>
      <c r="JL57" s="262" t="e">
        <f>#REF!</f>
        <v>#REF!</v>
      </c>
      <c r="JM57" s="263">
        <f t="shared" ref="JM57:JX64" si="1269">AJ57</f>
        <v>8</v>
      </c>
      <c r="JN57" s="263">
        <f t="shared" si="1269"/>
        <v>3</v>
      </c>
      <c r="JO57" s="263">
        <f t="shared" si="1269"/>
        <v>5</v>
      </c>
      <c r="JP57" s="263">
        <f t="shared" si="1269"/>
        <v>9</v>
      </c>
      <c r="JQ57" s="263">
        <f t="shared" si="1269"/>
        <v>10</v>
      </c>
      <c r="JR57" s="263">
        <f t="shared" si="1269"/>
        <v>5</v>
      </c>
      <c r="JS57" s="263">
        <f t="shared" si="1269"/>
        <v>6</v>
      </c>
      <c r="JT57" s="263">
        <f t="shared" si="1269"/>
        <v>7</v>
      </c>
      <c r="JU57" s="263">
        <f t="shared" si="1269"/>
        <v>6</v>
      </c>
      <c r="JV57" s="263">
        <f t="shared" si="1269"/>
        <v>9</v>
      </c>
      <c r="JW57" s="263">
        <f t="shared" si="1269"/>
        <v>6</v>
      </c>
      <c r="JX57" s="263">
        <f t="shared" si="1269"/>
        <v>2</v>
      </c>
      <c r="JY57" s="263">
        <f t="shared" ref="JY57:KJ64" si="1270">AX57</f>
        <v>5</v>
      </c>
      <c r="JZ57" s="263">
        <f t="shared" si="1270"/>
        <v>7</v>
      </c>
      <c r="KA57" s="263">
        <f t="shared" si="1270"/>
        <v>3</v>
      </c>
      <c r="KB57" s="263">
        <f t="shared" si="1270"/>
        <v>3</v>
      </c>
      <c r="KC57" s="263">
        <f t="shared" si="1270"/>
        <v>0</v>
      </c>
      <c r="KD57" s="263">
        <f t="shared" si="1270"/>
        <v>2</v>
      </c>
      <c r="KE57" s="263">
        <f t="shared" si="1270"/>
        <v>2</v>
      </c>
      <c r="KF57" s="263">
        <f t="shared" si="1270"/>
        <v>3</v>
      </c>
      <c r="KG57" s="263">
        <f t="shared" si="1270"/>
        <v>3</v>
      </c>
      <c r="KH57" s="263">
        <f t="shared" si="1270"/>
        <v>4</v>
      </c>
      <c r="KI57" s="263">
        <f t="shared" si="1270"/>
        <v>3</v>
      </c>
      <c r="KJ57" s="263">
        <f t="shared" si="1270"/>
        <v>1</v>
      </c>
      <c r="KK57" s="788">
        <f t="shared" ref="KK57:KO64" si="1271">BL57</f>
        <v>2</v>
      </c>
      <c r="KL57" s="788">
        <f t="shared" si="1271"/>
        <v>4</v>
      </c>
      <c r="KM57" s="788">
        <f t="shared" si="1271"/>
        <v>2</v>
      </c>
      <c r="KN57" s="788">
        <f t="shared" si="1271"/>
        <v>2</v>
      </c>
      <c r="KO57" s="788">
        <f t="shared" si="1271"/>
        <v>2</v>
      </c>
      <c r="KP57" s="788">
        <f t="shared" si="1226"/>
        <v>2</v>
      </c>
      <c r="KQ57" s="788">
        <f t="shared" si="1227"/>
        <v>2</v>
      </c>
      <c r="KR57" s="788">
        <f t="shared" si="1228"/>
        <v>2</v>
      </c>
      <c r="KS57" s="788">
        <f t="shared" si="1229"/>
        <v>4</v>
      </c>
      <c r="KT57" s="788">
        <f t="shared" ref="KT57:KT64" si="1272">BU57</f>
        <v>2</v>
      </c>
      <c r="KU57" s="788">
        <f t="shared" si="1230"/>
        <v>4</v>
      </c>
      <c r="KV57" s="788">
        <f t="shared" ref="KV57:KV64" si="1273">BW57</f>
        <v>0</v>
      </c>
      <c r="KW57" s="900">
        <f t="shared" si="1231"/>
        <v>2</v>
      </c>
      <c r="KX57" s="900">
        <f t="shared" si="1232"/>
        <v>3</v>
      </c>
      <c r="KY57" s="900">
        <f t="shared" si="1233"/>
        <v>3</v>
      </c>
      <c r="KZ57" s="900">
        <f t="shared" si="1234"/>
        <v>0</v>
      </c>
      <c r="LA57" s="900">
        <f t="shared" si="1235"/>
        <v>3</v>
      </c>
      <c r="LB57" s="900">
        <f t="shared" si="1236"/>
        <v>1</v>
      </c>
      <c r="LC57" s="900">
        <f t="shared" si="1237"/>
        <v>2</v>
      </c>
      <c r="LD57" s="900">
        <f t="shared" ref="LD57:LF64" si="1274">CG57</f>
        <v>3</v>
      </c>
      <c r="LE57" s="900">
        <f t="shared" si="1274"/>
        <v>4</v>
      </c>
      <c r="LF57" s="900">
        <f t="shared" si="1274"/>
        <v>1</v>
      </c>
      <c r="LG57" s="900">
        <f t="shared" si="1238"/>
        <v>3</v>
      </c>
      <c r="LH57" s="900">
        <f t="shared" ref="LH57:LH64" si="1275">CK57</f>
        <v>2</v>
      </c>
      <c r="LI57" s="959">
        <f t="shared" si="1239"/>
        <v>2</v>
      </c>
      <c r="LJ57" s="959">
        <f t="shared" si="1240"/>
        <v>3</v>
      </c>
      <c r="LK57" s="959">
        <f t="shared" si="1241"/>
        <v>2</v>
      </c>
      <c r="LL57" s="959">
        <f t="shared" si="1242"/>
        <v>3</v>
      </c>
      <c r="LM57" s="959">
        <f t="shared" si="1243"/>
        <v>2</v>
      </c>
      <c r="LN57" s="959">
        <f t="shared" ref="LN57:LN64" si="1276">CS57</f>
        <v>0</v>
      </c>
      <c r="LO57" s="959">
        <f t="shared" si="1244"/>
        <v>2</v>
      </c>
      <c r="LP57" s="959">
        <f t="shared" si="1245"/>
        <v>3</v>
      </c>
      <c r="LQ57" s="959">
        <f t="shared" si="1246"/>
        <v>3</v>
      </c>
      <c r="LR57" s="959">
        <f t="shared" si="1247"/>
        <v>2</v>
      </c>
      <c r="LS57" s="959">
        <f t="shared" si="1248"/>
        <v>2</v>
      </c>
      <c r="LT57" s="959">
        <f t="shared" si="1249"/>
        <v>2</v>
      </c>
      <c r="LU57" s="1155">
        <f t="shared" si="1250"/>
        <v>2</v>
      </c>
      <c r="LV57" s="1155">
        <f t="shared" si="1251"/>
        <v>2</v>
      </c>
      <c r="LW57" s="1155">
        <f t="shared" si="1252"/>
        <v>2</v>
      </c>
      <c r="LX57" s="1155">
        <f t="shared" si="1253"/>
        <v>2</v>
      </c>
      <c r="LY57" s="1155">
        <f t="shared" si="1254"/>
        <v>2</v>
      </c>
      <c r="LZ57" s="1155">
        <f t="shared" si="1255"/>
        <v>1</v>
      </c>
      <c r="MA57" s="1155">
        <f t="shared" ref="MA57:MF64" si="1277">DH57</f>
        <v>2</v>
      </c>
      <c r="MB57" s="1155">
        <f t="shared" si="1277"/>
        <v>2</v>
      </c>
      <c r="MC57" s="1155">
        <f t="shared" si="1277"/>
        <v>2</v>
      </c>
      <c r="MD57" s="1155">
        <f t="shared" si="1277"/>
        <v>2</v>
      </c>
      <c r="ME57" s="1155">
        <f t="shared" si="1277"/>
        <v>0</v>
      </c>
      <c r="MF57" s="1155">
        <f t="shared" si="1277"/>
        <v>0</v>
      </c>
      <c r="MG57" s="1177">
        <f t="shared" si="1256"/>
        <v>0</v>
      </c>
      <c r="MH57" s="1177">
        <f t="shared" si="1257"/>
        <v>0</v>
      </c>
      <c r="MI57" s="1177">
        <f t="shared" si="1258"/>
        <v>0</v>
      </c>
      <c r="MJ57" s="1177">
        <f t="shared" si="1259"/>
        <v>0</v>
      </c>
      <c r="MK57" s="1177">
        <f t="shared" ref="MK57:MP64" si="1278">DT57</f>
        <v>0</v>
      </c>
      <c r="ML57" s="1177">
        <f t="shared" si="1278"/>
        <v>0</v>
      </c>
      <c r="MM57" s="1177">
        <f t="shared" si="1278"/>
        <v>0</v>
      </c>
      <c r="MN57" s="1177">
        <f t="shared" si="1278"/>
        <v>0</v>
      </c>
      <c r="MO57" s="1177">
        <f t="shared" si="1278"/>
        <v>0</v>
      </c>
      <c r="MP57" s="1177">
        <f t="shared" si="1278"/>
        <v>0</v>
      </c>
      <c r="MQ57" s="1177">
        <f t="shared" ref="MQ57:MR64" si="1279">DZ57</f>
        <v>0</v>
      </c>
      <c r="MR57" s="1177">
        <f t="shared" si="1279"/>
        <v>0</v>
      </c>
    </row>
    <row r="58" spans="1:356" x14ac:dyDescent="0.25">
      <c r="A58" s="764"/>
      <c r="B58" s="56">
        <v>8.6999999999999993</v>
      </c>
      <c r="C58" s="7"/>
      <c r="D58" s="119"/>
      <c r="E58" s="1221" t="s">
        <v>28</v>
      </c>
      <c r="F58" s="1221"/>
      <c r="G58" s="1222"/>
      <c r="H58" s="368">
        <v>31</v>
      </c>
      <c r="I58" s="70">
        <v>23</v>
      </c>
      <c r="J58" s="23">
        <v>29</v>
      </c>
      <c r="K58" s="70">
        <v>35</v>
      </c>
      <c r="L58" s="23">
        <v>30</v>
      </c>
      <c r="M58" s="70">
        <v>17</v>
      </c>
      <c r="N58" s="23">
        <v>21</v>
      </c>
      <c r="O58" s="70">
        <v>27</v>
      </c>
      <c r="P58" s="23">
        <v>33</v>
      </c>
      <c r="Q58" s="70">
        <v>30</v>
      </c>
      <c r="R58" s="23">
        <v>20</v>
      </c>
      <c r="S58" s="70">
        <v>21</v>
      </c>
      <c r="T58" s="130">
        <v>317</v>
      </c>
      <c r="U58" s="163">
        <v>26.416666666666668</v>
      </c>
      <c r="V58" s="368">
        <v>15</v>
      </c>
      <c r="W58" s="70">
        <v>26</v>
      </c>
      <c r="X58" s="23">
        <v>18</v>
      </c>
      <c r="Y58" s="70">
        <v>20</v>
      </c>
      <c r="Z58" s="23">
        <v>15</v>
      </c>
      <c r="AA58" s="70">
        <v>15</v>
      </c>
      <c r="AB58" s="23">
        <v>16</v>
      </c>
      <c r="AC58" s="70">
        <v>17</v>
      </c>
      <c r="AD58" s="23">
        <v>31</v>
      </c>
      <c r="AE58" s="70">
        <v>33</v>
      </c>
      <c r="AF58" s="23">
        <v>27</v>
      </c>
      <c r="AG58" s="70">
        <v>39</v>
      </c>
      <c r="AH58" s="130">
        <v>272</v>
      </c>
      <c r="AI58" s="163">
        <v>22.666666666666668</v>
      </c>
      <c r="AJ58" s="368">
        <v>18</v>
      </c>
      <c r="AK58" s="70">
        <v>30</v>
      </c>
      <c r="AL58" s="23">
        <v>24</v>
      </c>
      <c r="AM58" s="70">
        <v>25</v>
      </c>
      <c r="AN58" s="23">
        <v>17</v>
      </c>
      <c r="AO58" s="70">
        <v>26</v>
      </c>
      <c r="AP58" s="625">
        <v>30</v>
      </c>
      <c r="AQ58" s="70">
        <v>29</v>
      </c>
      <c r="AR58" s="625">
        <v>26</v>
      </c>
      <c r="AS58" s="70">
        <v>39</v>
      </c>
      <c r="AT58" s="625">
        <v>31</v>
      </c>
      <c r="AU58" s="70">
        <v>32</v>
      </c>
      <c r="AV58" s="130">
        <f t="shared" si="1087"/>
        <v>327</v>
      </c>
      <c r="AW58" s="163">
        <f t="shared" si="1088"/>
        <v>27.25</v>
      </c>
      <c r="AX58" s="368">
        <v>29</v>
      </c>
      <c r="AY58" s="70">
        <v>36</v>
      </c>
      <c r="AZ58" s="23">
        <v>24</v>
      </c>
      <c r="BA58" s="70">
        <v>5</v>
      </c>
      <c r="BB58" s="23">
        <v>4</v>
      </c>
      <c r="BC58" s="70">
        <v>7</v>
      </c>
      <c r="BD58" s="625">
        <v>0</v>
      </c>
      <c r="BE58" s="70">
        <v>6</v>
      </c>
      <c r="BF58" s="625">
        <v>11</v>
      </c>
      <c r="BG58" s="70">
        <v>7</v>
      </c>
      <c r="BH58" s="625">
        <v>7</v>
      </c>
      <c r="BI58" s="70">
        <v>5</v>
      </c>
      <c r="BJ58" s="130">
        <f t="shared" si="1091"/>
        <v>141</v>
      </c>
      <c r="BK58" s="163">
        <f t="shared" si="1092"/>
        <v>11.75</v>
      </c>
      <c r="BL58" s="368">
        <v>8</v>
      </c>
      <c r="BM58" s="70">
        <v>9</v>
      </c>
      <c r="BN58" s="23">
        <v>8</v>
      </c>
      <c r="BO58" s="70">
        <v>5</v>
      </c>
      <c r="BP58" s="23">
        <v>6</v>
      </c>
      <c r="BQ58" s="70">
        <v>2</v>
      </c>
      <c r="BR58" s="625">
        <v>9</v>
      </c>
      <c r="BS58" s="70">
        <v>13</v>
      </c>
      <c r="BT58" s="625">
        <v>15</v>
      </c>
      <c r="BU58" s="625">
        <v>10</v>
      </c>
      <c r="BV58" s="625">
        <v>12</v>
      </c>
      <c r="BW58" s="625">
        <v>11</v>
      </c>
      <c r="BX58" s="130">
        <f t="shared" si="1099"/>
        <v>108</v>
      </c>
      <c r="BY58" s="163">
        <f t="shared" si="1100"/>
        <v>9</v>
      </c>
      <c r="BZ58" s="625">
        <v>7</v>
      </c>
      <c r="CA58" s="70">
        <v>6</v>
      </c>
      <c r="CB58" s="23">
        <v>6</v>
      </c>
      <c r="CC58" s="70">
        <v>9</v>
      </c>
      <c r="CD58" s="23">
        <v>7</v>
      </c>
      <c r="CE58" s="950">
        <v>6</v>
      </c>
      <c r="CF58" s="952">
        <v>8</v>
      </c>
      <c r="CG58" s="950">
        <v>10</v>
      </c>
      <c r="CH58" s="952">
        <v>14</v>
      </c>
      <c r="CI58" s="952">
        <v>7</v>
      </c>
      <c r="CJ58" s="952">
        <v>6</v>
      </c>
      <c r="CK58" s="952">
        <v>5</v>
      </c>
      <c r="CL58" s="953">
        <f t="shared" si="1107"/>
        <v>91</v>
      </c>
      <c r="CM58" s="163">
        <f t="shared" si="1108"/>
        <v>7.583333333333333</v>
      </c>
      <c r="CN58" s="625">
        <v>6</v>
      </c>
      <c r="CO58" s="70">
        <v>11</v>
      </c>
      <c r="CP58" s="23">
        <v>11</v>
      </c>
      <c r="CQ58" s="70">
        <v>5</v>
      </c>
      <c r="CR58" s="1013">
        <v>7</v>
      </c>
      <c r="CS58" s="1014">
        <v>5</v>
      </c>
      <c r="CT58" s="1015">
        <v>8</v>
      </c>
      <c r="CU58" s="1014">
        <v>11</v>
      </c>
      <c r="CV58" s="1111">
        <v>7</v>
      </c>
      <c r="CW58" s="1112">
        <v>9</v>
      </c>
      <c r="CX58" s="1111">
        <v>9</v>
      </c>
      <c r="CY58" s="1113">
        <v>5</v>
      </c>
      <c r="CZ58" s="1109">
        <f t="shared" si="1115"/>
        <v>94</v>
      </c>
      <c r="DA58" s="1110">
        <f t="shared" si="1116"/>
        <v>7.833333333333333</v>
      </c>
      <c r="DB58" s="1015">
        <v>7</v>
      </c>
      <c r="DC58" s="1014">
        <v>6</v>
      </c>
      <c r="DD58" s="1013">
        <v>7</v>
      </c>
      <c r="DE58" s="1014">
        <v>7</v>
      </c>
      <c r="DF58" s="1013">
        <v>5</v>
      </c>
      <c r="DG58" s="1014">
        <v>2</v>
      </c>
      <c r="DH58" s="1015">
        <v>7</v>
      </c>
      <c r="DI58" s="1014">
        <v>6</v>
      </c>
      <c r="DJ58" s="1015">
        <v>5</v>
      </c>
      <c r="DK58" s="1014">
        <v>6</v>
      </c>
      <c r="DL58" s="1015"/>
      <c r="DM58" s="1014"/>
      <c r="DN58" s="1016">
        <f t="shared" si="1122"/>
        <v>58</v>
      </c>
      <c r="DO58" s="163">
        <f t="shared" si="1123"/>
        <v>5.8</v>
      </c>
      <c r="DP58" s="1015"/>
      <c r="DQ58" s="1014"/>
      <c r="DR58" s="1013"/>
      <c r="DS58" s="1014"/>
      <c r="DT58" s="1013"/>
      <c r="DU58" s="1014"/>
      <c r="DV58" s="1015"/>
      <c r="DW58" s="1014"/>
      <c r="DX58" s="1015"/>
      <c r="DY58" s="1014"/>
      <c r="DZ58" s="1015"/>
      <c r="EA58" s="1014"/>
      <c r="EB58" s="1016">
        <f t="shared" si="1124"/>
        <v>0</v>
      </c>
      <c r="EC58" s="163" t="e">
        <f t="shared" si="1125"/>
        <v>#DIV/0!</v>
      </c>
      <c r="ED58" s="674">
        <f t="shared" si="1197"/>
        <v>-3</v>
      </c>
      <c r="EE58" s="663">
        <f t="shared" si="1260"/>
        <v>-9.375E-2</v>
      </c>
      <c r="EF58" s="674">
        <f t="shared" si="1198"/>
        <v>7</v>
      </c>
      <c r="EG58" s="663">
        <f t="shared" si="1199"/>
        <v>0.2413793103448276</v>
      </c>
      <c r="EH58" s="674">
        <f t="shared" si="1200"/>
        <v>-12</v>
      </c>
      <c r="EI58" s="663">
        <f t="shared" si="1201"/>
        <v>-0.33333333333333331</v>
      </c>
      <c r="EJ58" s="674">
        <f t="shared" si="1202"/>
        <v>-19</v>
      </c>
      <c r="EK58" s="663">
        <f t="shared" si="1203"/>
        <v>-0.79166666666666663</v>
      </c>
      <c r="EL58" s="674">
        <f t="shared" si="1204"/>
        <v>-1</v>
      </c>
      <c r="EM58" s="663">
        <f>EL58/BA58</f>
        <v>-0.2</v>
      </c>
      <c r="EN58" s="674">
        <f t="shared" si="1205"/>
        <v>3</v>
      </c>
      <c r="EO58" s="663">
        <f t="shared" ref="EO58:EO64" si="1280">EN58/BB58</f>
        <v>0.75</v>
      </c>
      <c r="EP58" s="674">
        <f t="shared" si="1206"/>
        <v>-7</v>
      </c>
      <c r="EQ58" s="663">
        <f>EP58/BC58</f>
        <v>-1</v>
      </c>
      <c r="ER58" s="674">
        <f t="shared" si="1207"/>
        <v>6</v>
      </c>
      <c r="ES58" s="663">
        <v>1</v>
      </c>
      <c r="ET58" s="674">
        <f t="shared" si="1208"/>
        <v>5</v>
      </c>
      <c r="EU58" s="663">
        <f t="shared" si="1209"/>
        <v>0.83333333333333337</v>
      </c>
      <c r="EV58" s="674">
        <f t="shared" si="1210"/>
        <v>-4</v>
      </c>
      <c r="EW58" s="109">
        <f t="shared" si="1211"/>
        <v>-0.36363636363636365</v>
      </c>
      <c r="EX58" s="674">
        <f t="shared" si="1212"/>
        <v>0</v>
      </c>
      <c r="EY58" s="663">
        <f t="shared" si="1213"/>
        <v>0</v>
      </c>
      <c r="EZ58" s="674">
        <f t="shared" si="1214"/>
        <v>-2</v>
      </c>
      <c r="FA58" s="663">
        <f>EZ58/BH58</f>
        <v>-0.2857142857142857</v>
      </c>
      <c r="FB58" s="674">
        <f t="shared" si="1215"/>
        <v>3</v>
      </c>
      <c r="FC58" s="663">
        <f t="shared" si="1216"/>
        <v>0.6</v>
      </c>
      <c r="FD58" s="324">
        <f t="shared" si="1217"/>
        <v>1</v>
      </c>
      <c r="FE58" s="402">
        <f t="shared" si="1218"/>
        <v>0.125</v>
      </c>
      <c r="FF58" s="324">
        <f t="shared" si="1219"/>
        <v>-1</v>
      </c>
      <c r="FG58" s="402">
        <f t="shared" si="1220"/>
        <v>-0.1111111111111111</v>
      </c>
      <c r="FH58" s="324">
        <f t="shared" si="1221"/>
        <v>-3</v>
      </c>
      <c r="FI58" s="402">
        <f t="shared" si="1222"/>
        <v>-0.375</v>
      </c>
      <c r="FJ58" s="324">
        <f t="shared" si="1223"/>
        <v>1</v>
      </c>
      <c r="FK58" s="402">
        <f t="shared" si="1261"/>
        <v>0.2</v>
      </c>
      <c r="FL58" s="324">
        <f t="shared" si="1126"/>
        <v>-4</v>
      </c>
      <c r="FM58" s="402">
        <f t="shared" si="1224"/>
        <v>-0.66666666666666663</v>
      </c>
      <c r="FN58" s="324">
        <f t="shared" si="1127"/>
        <v>7</v>
      </c>
      <c r="FO58" s="402">
        <f>FN58/BQ58</f>
        <v>3.5</v>
      </c>
      <c r="FP58" s="324">
        <f t="shared" si="1128"/>
        <v>4</v>
      </c>
      <c r="FQ58" s="402">
        <f>FP58/BR58</f>
        <v>0.44444444444444442</v>
      </c>
      <c r="FR58" s="324">
        <f t="shared" si="1129"/>
        <v>2</v>
      </c>
      <c r="FS58" s="402">
        <f t="shared" si="1225"/>
        <v>0.15384615384615385</v>
      </c>
      <c r="FT58" s="324">
        <f t="shared" si="1130"/>
        <v>-5</v>
      </c>
      <c r="FU58" s="402">
        <f t="shared" si="1262"/>
        <v>-0.33333333333333331</v>
      </c>
      <c r="FV58" s="324">
        <f t="shared" si="1131"/>
        <v>2</v>
      </c>
      <c r="FW58" s="402">
        <f t="shared" si="1132"/>
        <v>0.2</v>
      </c>
      <c r="FX58" s="324">
        <f t="shared" si="1133"/>
        <v>-1</v>
      </c>
      <c r="FY58" s="402">
        <f>FX58/BV58</f>
        <v>-8.3333333333333329E-2</v>
      </c>
      <c r="FZ58" s="324">
        <f t="shared" si="1134"/>
        <v>-4</v>
      </c>
      <c r="GA58" s="402">
        <f>FZ58/BW58</f>
        <v>-0.36363636363636365</v>
      </c>
      <c r="GB58" s="324">
        <f t="shared" si="1135"/>
        <v>-1</v>
      </c>
      <c r="GC58" s="402">
        <f>GB58/BZ58</f>
        <v>-0.14285714285714285</v>
      </c>
      <c r="GD58" s="324">
        <f t="shared" si="1136"/>
        <v>0</v>
      </c>
      <c r="GE58" s="402">
        <f t="shared" si="1263"/>
        <v>0</v>
      </c>
      <c r="GF58" s="324">
        <f t="shared" si="1137"/>
        <v>3</v>
      </c>
      <c r="GG58" s="402">
        <f>GF58/CB58</f>
        <v>0.5</v>
      </c>
      <c r="GH58" s="324">
        <f t="shared" si="1138"/>
        <v>-2</v>
      </c>
      <c r="GI58" s="402">
        <f>GH58/CC58</f>
        <v>-0.22222222222222221</v>
      </c>
      <c r="GJ58" s="324">
        <f t="shared" si="1139"/>
        <v>-1</v>
      </c>
      <c r="GK58" s="402">
        <f t="shared" si="1194"/>
        <v>-0.14285714285714285</v>
      </c>
      <c r="GL58" s="324">
        <f t="shared" si="1140"/>
        <v>2</v>
      </c>
      <c r="GM58" s="402">
        <f>GL58/CE58</f>
        <v>0.33333333333333331</v>
      </c>
      <c r="GN58" s="324">
        <f t="shared" si="1141"/>
        <v>2</v>
      </c>
      <c r="GO58" s="402">
        <f>GN58/CF58</f>
        <v>0.25</v>
      </c>
      <c r="GP58" s="324">
        <f t="shared" si="1142"/>
        <v>4</v>
      </c>
      <c r="GQ58" s="402">
        <f t="shared" si="1195"/>
        <v>0.4</v>
      </c>
      <c r="GR58" s="324">
        <f t="shared" si="1143"/>
        <v>-7</v>
      </c>
      <c r="GS58" s="402">
        <f t="shared" si="1144"/>
        <v>-0.5</v>
      </c>
      <c r="GT58" s="324">
        <f t="shared" si="1145"/>
        <v>-1</v>
      </c>
      <c r="GU58" s="402">
        <f t="shared" si="1264"/>
        <v>-0.14285714285714285</v>
      </c>
      <c r="GV58" s="324">
        <f t="shared" si="1146"/>
        <v>-1</v>
      </c>
      <c r="GW58" s="402">
        <f t="shared" si="1147"/>
        <v>-0.16666666666666666</v>
      </c>
      <c r="GX58" s="324">
        <f t="shared" si="1148"/>
        <v>1</v>
      </c>
      <c r="GY58" s="402">
        <f t="shared" si="1265"/>
        <v>0.2</v>
      </c>
      <c r="GZ58" s="324">
        <f t="shared" si="1149"/>
        <v>5</v>
      </c>
      <c r="HA58" s="402">
        <f>GZ58/CN58</f>
        <v>0.83333333333333337</v>
      </c>
      <c r="HB58" s="324">
        <f t="shared" si="1150"/>
        <v>0</v>
      </c>
      <c r="HC58" s="402">
        <f t="shared" si="1266"/>
        <v>0</v>
      </c>
      <c r="HD58" s="324">
        <f t="shared" si="1151"/>
        <v>-6</v>
      </c>
      <c r="HE58" s="402">
        <f>HD58/CP58</f>
        <v>-0.54545454545454541</v>
      </c>
      <c r="HF58" s="324">
        <f t="shared" si="1152"/>
        <v>2</v>
      </c>
      <c r="HG58" s="402">
        <f t="shared" si="1267"/>
        <v>0.4</v>
      </c>
      <c r="HH58" s="324">
        <f t="shared" si="1153"/>
        <v>-2</v>
      </c>
      <c r="HI58" s="402">
        <f>HH58/CR58</f>
        <v>-0.2857142857142857</v>
      </c>
      <c r="HJ58" s="324">
        <f t="shared" si="1154"/>
        <v>3</v>
      </c>
      <c r="HK58" s="402">
        <f>HJ58/CS58</f>
        <v>0.6</v>
      </c>
      <c r="HL58" s="324">
        <f t="shared" si="1155"/>
        <v>3</v>
      </c>
      <c r="HM58" s="402">
        <f>HL58/CT58</f>
        <v>0.375</v>
      </c>
      <c r="HN58" s="324">
        <f t="shared" si="1156"/>
        <v>-4</v>
      </c>
      <c r="HO58" s="402">
        <f t="shared" si="1196"/>
        <v>-0.36363636363636365</v>
      </c>
      <c r="HP58" s="324">
        <f t="shared" si="1157"/>
        <v>2</v>
      </c>
      <c r="HQ58" s="402">
        <f>HP58/CV58</f>
        <v>0.2857142857142857</v>
      </c>
      <c r="HR58" s="324">
        <f t="shared" si="1158"/>
        <v>0</v>
      </c>
      <c r="HS58" s="402">
        <f t="shared" si="1268"/>
        <v>0</v>
      </c>
      <c r="HT58" s="324">
        <f t="shared" si="1159"/>
        <v>-4</v>
      </c>
      <c r="HU58" s="402">
        <f>HT58/CX58</f>
        <v>-0.44444444444444442</v>
      </c>
      <c r="HV58" s="324">
        <f t="shared" si="1160"/>
        <v>2</v>
      </c>
      <c r="HW58" s="402">
        <f>HV58/CY58</f>
        <v>0.4</v>
      </c>
      <c r="HX58" s="324">
        <f t="shared" si="1161"/>
        <v>-1</v>
      </c>
      <c r="HY58" s="402">
        <f>HX58/DB58</f>
        <v>-0.14285714285714285</v>
      </c>
      <c r="HZ58" s="324">
        <f t="shared" si="1162"/>
        <v>1</v>
      </c>
      <c r="IA58" s="402">
        <f>HZ58/DD58</f>
        <v>0.14285714285714285</v>
      </c>
      <c r="IB58" s="324">
        <f t="shared" si="1163"/>
        <v>0</v>
      </c>
      <c r="IC58" s="402">
        <f>IB58/DD58</f>
        <v>0</v>
      </c>
      <c r="ID58" s="324">
        <f t="shared" si="1164"/>
        <v>-2</v>
      </c>
      <c r="IE58" s="402">
        <f>ID58/DO58</f>
        <v>-0.34482758620689657</v>
      </c>
      <c r="IF58" s="324">
        <f t="shared" si="1165"/>
        <v>-3</v>
      </c>
      <c r="IG58" s="402">
        <f t="shared" si="1166"/>
        <v>-0.6</v>
      </c>
      <c r="IH58" s="324">
        <f t="shared" si="1167"/>
        <v>5</v>
      </c>
      <c r="II58" s="402">
        <f t="shared" si="1168"/>
        <v>2.5</v>
      </c>
      <c r="IJ58" s="324">
        <f t="shared" si="1169"/>
        <v>-1</v>
      </c>
      <c r="IK58" s="402">
        <f t="shared" si="1170"/>
        <v>-0.14285714285714285</v>
      </c>
      <c r="IL58" s="324">
        <f t="shared" si="1171"/>
        <v>-1</v>
      </c>
      <c r="IM58" s="402">
        <f t="shared" si="1172"/>
        <v>-0.16666666666666666</v>
      </c>
      <c r="IN58" s="324">
        <f t="shared" si="1173"/>
        <v>1</v>
      </c>
      <c r="IO58" s="402">
        <f t="shared" si="1174"/>
        <v>0.2</v>
      </c>
      <c r="IP58" s="324">
        <f t="shared" si="1175"/>
        <v>-6</v>
      </c>
      <c r="IQ58" s="402">
        <f t="shared" si="1176"/>
        <v>18</v>
      </c>
      <c r="IR58" s="324">
        <f t="shared" si="1177"/>
        <v>18.208333333333332</v>
      </c>
      <c r="IS58" s="402">
        <f t="shared" si="1178"/>
        <v>-0.95833333333333326</v>
      </c>
      <c r="IT58" s="952">
        <f t="shared" si="1179"/>
        <v>9</v>
      </c>
      <c r="IU58" s="1079">
        <f t="shared" si="1180"/>
        <v>6</v>
      </c>
      <c r="IV58" s="122">
        <f t="shared" si="1181"/>
        <v>-3</v>
      </c>
      <c r="IW58" s="949">
        <f t="shared" si="1182"/>
        <v>-0.33333333333333331</v>
      </c>
      <c r="IX58" s="698"/>
      <c r="IY58" s="698"/>
      <c r="IZ58" s="698"/>
      <c r="JA58" t="str">
        <f t="shared" si="1183"/>
        <v>Personnel Administration</v>
      </c>
      <c r="JB58" s="262" t="e">
        <f>#REF!</f>
        <v>#REF!</v>
      </c>
      <c r="JC58" s="262" t="e">
        <f>#REF!</f>
        <v>#REF!</v>
      </c>
      <c r="JD58" s="262" t="e">
        <f>#REF!</f>
        <v>#REF!</v>
      </c>
      <c r="JE58" s="262" t="e">
        <f>#REF!</f>
        <v>#REF!</v>
      </c>
      <c r="JF58" s="262" t="e">
        <f>#REF!</f>
        <v>#REF!</v>
      </c>
      <c r="JG58" s="262" t="e">
        <f>#REF!</f>
        <v>#REF!</v>
      </c>
      <c r="JH58" s="262" t="e">
        <f>#REF!</f>
        <v>#REF!</v>
      </c>
      <c r="JI58" s="262" t="e">
        <f>#REF!</f>
        <v>#REF!</v>
      </c>
      <c r="JJ58" s="262" t="e">
        <f>#REF!</f>
        <v>#REF!</v>
      </c>
      <c r="JK58" s="262" t="e">
        <f>#REF!</f>
        <v>#REF!</v>
      </c>
      <c r="JL58" s="262" t="e">
        <f>#REF!</f>
        <v>#REF!</v>
      </c>
      <c r="JM58" s="263">
        <f t="shared" si="1269"/>
        <v>18</v>
      </c>
      <c r="JN58" s="263">
        <f t="shared" si="1269"/>
        <v>30</v>
      </c>
      <c r="JO58" s="263">
        <f t="shared" si="1269"/>
        <v>24</v>
      </c>
      <c r="JP58" s="263">
        <f t="shared" si="1269"/>
        <v>25</v>
      </c>
      <c r="JQ58" s="263">
        <f t="shared" si="1269"/>
        <v>17</v>
      </c>
      <c r="JR58" s="263">
        <f t="shared" si="1269"/>
        <v>26</v>
      </c>
      <c r="JS58" s="263">
        <f t="shared" si="1269"/>
        <v>30</v>
      </c>
      <c r="JT58" s="263">
        <f t="shared" si="1269"/>
        <v>29</v>
      </c>
      <c r="JU58" s="263">
        <f t="shared" si="1269"/>
        <v>26</v>
      </c>
      <c r="JV58" s="263">
        <f t="shared" si="1269"/>
        <v>39</v>
      </c>
      <c r="JW58" s="263">
        <f t="shared" si="1269"/>
        <v>31</v>
      </c>
      <c r="JX58" s="263">
        <f t="shared" si="1269"/>
        <v>32</v>
      </c>
      <c r="JY58" s="263">
        <f t="shared" si="1270"/>
        <v>29</v>
      </c>
      <c r="JZ58" s="263">
        <f t="shared" si="1270"/>
        <v>36</v>
      </c>
      <c r="KA58" s="263">
        <f t="shared" si="1270"/>
        <v>24</v>
      </c>
      <c r="KB58" s="263">
        <f t="shared" si="1270"/>
        <v>5</v>
      </c>
      <c r="KC58" s="263">
        <f t="shared" si="1270"/>
        <v>4</v>
      </c>
      <c r="KD58" s="263">
        <f t="shared" si="1270"/>
        <v>7</v>
      </c>
      <c r="KE58" s="263">
        <f t="shared" si="1270"/>
        <v>0</v>
      </c>
      <c r="KF58" s="263">
        <f t="shared" si="1270"/>
        <v>6</v>
      </c>
      <c r="KG58" s="263">
        <f t="shared" si="1270"/>
        <v>11</v>
      </c>
      <c r="KH58" s="263">
        <f t="shared" si="1270"/>
        <v>7</v>
      </c>
      <c r="KI58" s="263">
        <f t="shared" si="1270"/>
        <v>7</v>
      </c>
      <c r="KJ58" s="263">
        <f t="shared" si="1270"/>
        <v>5</v>
      </c>
      <c r="KK58" s="788">
        <f t="shared" si="1271"/>
        <v>8</v>
      </c>
      <c r="KL58" s="788">
        <f t="shared" si="1271"/>
        <v>9</v>
      </c>
      <c r="KM58" s="788">
        <f t="shared" si="1271"/>
        <v>8</v>
      </c>
      <c r="KN58" s="788">
        <f t="shared" si="1271"/>
        <v>5</v>
      </c>
      <c r="KO58" s="788">
        <f t="shared" si="1271"/>
        <v>6</v>
      </c>
      <c r="KP58" s="788">
        <f t="shared" si="1226"/>
        <v>2</v>
      </c>
      <c r="KQ58" s="788">
        <f t="shared" si="1227"/>
        <v>9</v>
      </c>
      <c r="KR58" s="788">
        <f t="shared" si="1228"/>
        <v>13</v>
      </c>
      <c r="KS58" s="788">
        <f t="shared" si="1229"/>
        <v>15</v>
      </c>
      <c r="KT58" s="788">
        <f t="shared" si="1272"/>
        <v>10</v>
      </c>
      <c r="KU58" s="788">
        <f t="shared" si="1230"/>
        <v>12</v>
      </c>
      <c r="KV58" s="788">
        <f t="shared" si="1273"/>
        <v>11</v>
      </c>
      <c r="KW58" s="900">
        <f t="shared" si="1231"/>
        <v>7</v>
      </c>
      <c r="KX58" s="900">
        <f t="shared" si="1232"/>
        <v>6</v>
      </c>
      <c r="KY58" s="900">
        <f t="shared" si="1233"/>
        <v>6</v>
      </c>
      <c r="KZ58" s="900">
        <f t="shared" si="1234"/>
        <v>9</v>
      </c>
      <c r="LA58" s="900">
        <f t="shared" si="1235"/>
        <v>7</v>
      </c>
      <c r="LB58" s="900">
        <f t="shared" si="1236"/>
        <v>6</v>
      </c>
      <c r="LC58" s="900">
        <f t="shared" si="1237"/>
        <v>8</v>
      </c>
      <c r="LD58" s="900">
        <f t="shared" si="1274"/>
        <v>10</v>
      </c>
      <c r="LE58" s="900">
        <f t="shared" si="1274"/>
        <v>14</v>
      </c>
      <c r="LF58" s="900">
        <f t="shared" si="1274"/>
        <v>7</v>
      </c>
      <c r="LG58" s="900">
        <f t="shared" si="1238"/>
        <v>6</v>
      </c>
      <c r="LH58" s="900">
        <f t="shared" si="1275"/>
        <v>5</v>
      </c>
      <c r="LI58" s="959">
        <f t="shared" si="1239"/>
        <v>6</v>
      </c>
      <c r="LJ58" s="959">
        <f t="shared" si="1240"/>
        <v>11</v>
      </c>
      <c r="LK58" s="959">
        <f t="shared" si="1241"/>
        <v>11</v>
      </c>
      <c r="LL58" s="959">
        <f t="shared" si="1242"/>
        <v>5</v>
      </c>
      <c r="LM58" s="959">
        <f t="shared" si="1243"/>
        <v>7</v>
      </c>
      <c r="LN58" s="959">
        <f t="shared" si="1276"/>
        <v>5</v>
      </c>
      <c r="LO58" s="959">
        <f t="shared" si="1244"/>
        <v>8</v>
      </c>
      <c r="LP58" s="959">
        <f t="shared" si="1245"/>
        <v>11</v>
      </c>
      <c r="LQ58" s="959">
        <f t="shared" si="1246"/>
        <v>7</v>
      </c>
      <c r="LR58" s="959">
        <f t="shared" si="1247"/>
        <v>9</v>
      </c>
      <c r="LS58" s="959">
        <f t="shared" si="1248"/>
        <v>9</v>
      </c>
      <c r="LT58" s="959">
        <f t="shared" si="1249"/>
        <v>5</v>
      </c>
      <c r="LU58" s="1155">
        <f t="shared" si="1250"/>
        <v>7</v>
      </c>
      <c r="LV58" s="1155">
        <f t="shared" si="1251"/>
        <v>6</v>
      </c>
      <c r="LW58" s="1155">
        <f t="shared" si="1252"/>
        <v>7</v>
      </c>
      <c r="LX58" s="1155">
        <f t="shared" si="1253"/>
        <v>7</v>
      </c>
      <c r="LY58" s="1155">
        <f t="shared" si="1254"/>
        <v>5</v>
      </c>
      <c r="LZ58" s="1155">
        <f t="shared" si="1255"/>
        <v>2</v>
      </c>
      <c r="MA58" s="1155">
        <f t="shared" si="1277"/>
        <v>7</v>
      </c>
      <c r="MB58" s="1155">
        <f t="shared" si="1277"/>
        <v>6</v>
      </c>
      <c r="MC58" s="1155">
        <f t="shared" si="1277"/>
        <v>5</v>
      </c>
      <c r="MD58" s="1155">
        <f t="shared" si="1277"/>
        <v>6</v>
      </c>
      <c r="ME58" s="1155">
        <f t="shared" si="1277"/>
        <v>0</v>
      </c>
      <c r="MF58" s="1155">
        <f t="shared" si="1277"/>
        <v>0</v>
      </c>
      <c r="MG58" s="1177">
        <f t="shared" si="1256"/>
        <v>0</v>
      </c>
      <c r="MH58" s="1177">
        <f t="shared" si="1257"/>
        <v>0</v>
      </c>
      <c r="MI58" s="1177">
        <f t="shared" si="1258"/>
        <v>0</v>
      </c>
      <c r="MJ58" s="1177">
        <f t="shared" si="1259"/>
        <v>0</v>
      </c>
      <c r="MK58" s="1177">
        <f t="shared" si="1278"/>
        <v>0</v>
      </c>
      <c r="ML58" s="1177">
        <f t="shared" si="1278"/>
        <v>0</v>
      </c>
      <c r="MM58" s="1177">
        <f t="shared" si="1278"/>
        <v>0</v>
      </c>
      <c r="MN58" s="1177">
        <f t="shared" si="1278"/>
        <v>0</v>
      </c>
      <c r="MO58" s="1177">
        <f t="shared" si="1278"/>
        <v>0</v>
      </c>
      <c r="MP58" s="1177">
        <f t="shared" si="1278"/>
        <v>0</v>
      </c>
      <c r="MQ58" s="1177">
        <f t="shared" si="1279"/>
        <v>0</v>
      </c>
      <c r="MR58" s="1177">
        <f t="shared" si="1279"/>
        <v>0</v>
      </c>
    </row>
    <row r="59" spans="1:356" x14ac:dyDescent="0.25">
      <c r="A59" s="764"/>
      <c r="B59" s="56">
        <v>8.8000000000000007</v>
      </c>
      <c r="C59" s="7"/>
      <c r="D59" s="119"/>
      <c r="E59" s="1221" t="s">
        <v>9</v>
      </c>
      <c r="F59" s="1221"/>
      <c r="G59" s="1222"/>
      <c r="H59" s="368">
        <v>16</v>
      </c>
      <c r="I59" s="70">
        <v>12</v>
      </c>
      <c r="J59" s="23">
        <v>16</v>
      </c>
      <c r="K59" s="70">
        <v>18</v>
      </c>
      <c r="L59" s="23">
        <v>13</v>
      </c>
      <c r="M59" s="70">
        <v>7</v>
      </c>
      <c r="N59" s="23">
        <v>11</v>
      </c>
      <c r="O59" s="70">
        <v>13</v>
      </c>
      <c r="P59" s="23">
        <v>15</v>
      </c>
      <c r="Q59" s="70">
        <v>12</v>
      </c>
      <c r="R59" s="23">
        <v>8</v>
      </c>
      <c r="S59" s="70">
        <v>6</v>
      </c>
      <c r="T59" s="130">
        <v>147</v>
      </c>
      <c r="U59" s="163">
        <v>12.25</v>
      </c>
      <c r="V59" s="368">
        <v>7</v>
      </c>
      <c r="W59" s="70">
        <v>12</v>
      </c>
      <c r="X59" s="23">
        <v>12</v>
      </c>
      <c r="Y59" s="70">
        <v>6</v>
      </c>
      <c r="Z59" s="23">
        <v>6</v>
      </c>
      <c r="AA59" s="70">
        <v>8</v>
      </c>
      <c r="AB59" s="23">
        <v>7</v>
      </c>
      <c r="AC59" s="70">
        <v>14</v>
      </c>
      <c r="AD59" s="23">
        <v>9</v>
      </c>
      <c r="AE59" s="70">
        <v>11</v>
      </c>
      <c r="AF59" s="23">
        <v>10</v>
      </c>
      <c r="AG59" s="70">
        <v>5</v>
      </c>
      <c r="AH59" s="130">
        <v>107</v>
      </c>
      <c r="AI59" s="163">
        <v>8.9166666666666661</v>
      </c>
      <c r="AJ59" s="368">
        <v>12</v>
      </c>
      <c r="AK59" s="70">
        <v>13</v>
      </c>
      <c r="AL59" s="23">
        <v>12</v>
      </c>
      <c r="AM59" s="70">
        <v>12</v>
      </c>
      <c r="AN59" s="23">
        <v>15</v>
      </c>
      <c r="AO59" s="70">
        <v>11</v>
      </c>
      <c r="AP59" s="625">
        <v>17</v>
      </c>
      <c r="AQ59" s="70">
        <v>9</v>
      </c>
      <c r="AR59" s="625">
        <v>14</v>
      </c>
      <c r="AS59" s="70">
        <v>13</v>
      </c>
      <c r="AT59" s="625">
        <v>11</v>
      </c>
      <c r="AU59" s="70">
        <v>8</v>
      </c>
      <c r="AV59" s="130">
        <f t="shared" si="1087"/>
        <v>147</v>
      </c>
      <c r="AW59" s="163">
        <f t="shared" si="1088"/>
        <v>12.25</v>
      </c>
      <c r="AX59" s="368">
        <v>8</v>
      </c>
      <c r="AY59" s="70">
        <v>9</v>
      </c>
      <c r="AZ59" s="23">
        <v>13</v>
      </c>
      <c r="BA59" s="70">
        <v>0</v>
      </c>
      <c r="BB59" s="23">
        <v>1</v>
      </c>
      <c r="BC59" s="70">
        <v>0</v>
      </c>
      <c r="BD59" s="625">
        <v>5</v>
      </c>
      <c r="BE59" s="70">
        <v>1</v>
      </c>
      <c r="BF59" s="625">
        <v>1</v>
      </c>
      <c r="BG59" s="70">
        <v>1</v>
      </c>
      <c r="BH59" s="625">
        <v>0</v>
      </c>
      <c r="BI59" s="70">
        <v>2</v>
      </c>
      <c r="BJ59" s="130">
        <f t="shared" si="1091"/>
        <v>41</v>
      </c>
      <c r="BK59" s="163">
        <f t="shared" si="1092"/>
        <v>3.4166666666666665</v>
      </c>
      <c r="BL59" s="368">
        <v>1</v>
      </c>
      <c r="BM59" s="70">
        <v>1</v>
      </c>
      <c r="BN59" s="23">
        <v>1</v>
      </c>
      <c r="BO59" s="70">
        <v>1</v>
      </c>
      <c r="BP59" s="23">
        <v>1</v>
      </c>
      <c r="BQ59" s="70">
        <v>1</v>
      </c>
      <c r="BR59" s="625">
        <v>0</v>
      </c>
      <c r="BS59" s="70">
        <v>1</v>
      </c>
      <c r="BT59" s="625">
        <v>1</v>
      </c>
      <c r="BU59" s="625">
        <v>0</v>
      </c>
      <c r="BV59" s="625">
        <v>0</v>
      </c>
      <c r="BW59" s="625">
        <v>0</v>
      </c>
      <c r="BX59" s="130">
        <f t="shared" si="1099"/>
        <v>8</v>
      </c>
      <c r="BY59" s="163">
        <f t="shared" si="1100"/>
        <v>0.66666666666666663</v>
      </c>
      <c r="BZ59" s="625">
        <v>1</v>
      </c>
      <c r="CA59" s="70">
        <v>1</v>
      </c>
      <c r="CB59" s="23">
        <v>1</v>
      </c>
      <c r="CC59" s="950">
        <v>0</v>
      </c>
      <c r="CD59" s="23">
        <v>1</v>
      </c>
      <c r="CE59" s="950">
        <v>1</v>
      </c>
      <c r="CF59" s="952">
        <v>1</v>
      </c>
      <c r="CG59" s="950">
        <v>1</v>
      </c>
      <c r="CH59" s="952">
        <v>1</v>
      </c>
      <c r="CI59" s="952">
        <v>1</v>
      </c>
      <c r="CJ59" s="952">
        <v>0</v>
      </c>
      <c r="CK59" s="952">
        <v>1</v>
      </c>
      <c r="CL59" s="953">
        <f t="shared" si="1107"/>
        <v>10</v>
      </c>
      <c r="CM59" s="163">
        <f t="shared" si="1108"/>
        <v>0.83333333333333337</v>
      </c>
      <c r="CN59" s="625">
        <v>0</v>
      </c>
      <c r="CO59" s="70">
        <v>1</v>
      </c>
      <c r="CP59" s="23">
        <v>0</v>
      </c>
      <c r="CQ59" s="950">
        <v>1</v>
      </c>
      <c r="CR59" s="1013">
        <v>0</v>
      </c>
      <c r="CS59" s="1014">
        <v>0</v>
      </c>
      <c r="CT59" s="1015">
        <v>1</v>
      </c>
      <c r="CU59" s="1014">
        <v>1</v>
      </c>
      <c r="CV59" s="1111">
        <v>0</v>
      </c>
      <c r="CW59" s="1112">
        <v>1</v>
      </c>
      <c r="CX59" s="1111">
        <v>1</v>
      </c>
      <c r="CY59" s="1113">
        <v>0</v>
      </c>
      <c r="CZ59" s="1109">
        <f t="shared" si="1115"/>
        <v>6</v>
      </c>
      <c r="DA59" s="1110">
        <f t="shared" si="1116"/>
        <v>0.5</v>
      </c>
      <c r="DB59" s="1015">
        <v>1</v>
      </c>
      <c r="DC59" s="1014">
        <v>0</v>
      </c>
      <c r="DD59" s="1013">
        <v>1</v>
      </c>
      <c r="DE59" s="1014">
        <v>0</v>
      </c>
      <c r="DF59" s="1013">
        <v>1</v>
      </c>
      <c r="DG59" s="1014">
        <v>0</v>
      </c>
      <c r="DH59" s="1015">
        <v>1</v>
      </c>
      <c r="DI59" s="1014">
        <v>0</v>
      </c>
      <c r="DJ59" s="1015">
        <v>1</v>
      </c>
      <c r="DK59" s="1014">
        <v>1</v>
      </c>
      <c r="DL59" s="1015"/>
      <c r="DM59" s="1014"/>
      <c r="DN59" s="1016">
        <f t="shared" si="1122"/>
        <v>6</v>
      </c>
      <c r="DO59" s="163">
        <f t="shared" si="1123"/>
        <v>0.6</v>
      </c>
      <c r="DP59" s="1015"/>
      <c r="DQ59" s="1014"/>
      <c r="DR59" s="1013"/>
      <c r="DS59" s="1014"/>
      <c r="DT59" s="1013"/>
      <c r="DU59" s="1014"/>
      <c r="DV59" s="1015"/>
      <c r="DW59" s="1014"/>
      <c r="DX59" s="1015"/>
      <c r="DY59" s="1014"/>
      <c r="DZ59" s="1015"/>
      <c r="EA59" s="1014"/>
      <c r="EB59" s="1016">
        <f t="shared" si="1124"/>
        <v>0</v>
      </c>
      <c r="EC59" s="163" t="e">
        <f t="shared" si="1125"/>
        <v>#DIV/0!</v>
      </c>
      <c r="ED59" s="674">
        <f t="shared" si="1197"/>
        <v>0</v>
      </c>
      <c r="EE59" s="663">
        <f t="shared" si="1260"/>
        <v>0</v>
      </c>
      <c r="EF59" s="674">
        <f t="shared" si="1198"/>
        <v>1</v>
      </c>
      <c r="EG59" s="663">
        <f t="shared" si="1199"/>
        <v>0.125</v>
      </c>
      <c r="EH59" s="674">
        <f t="shared" si="1200"/>
        <v>4</v>
      </c>
      <c r="EI59" s="663">
        <f t="shared" si="1201"/>
        <v>0.44444444444444442</v>
      </c>
      <c r="EJ59" s="674">
        <f t="shared" si="1202"/>
        <v>-13</v>
      </c>
      <c r="EK59" s="663">
        <f t="shared" si="1203"/>
        <v>-1</v>
      </c>
      <c r="EL59" s="674">
        <f t="shared" si="1204"/>
        <v>1</v>
      </c>
      <c r="EM59" s="750">
        <v>0</v>
      </c>
      <c r="EN59" s="674">
        <f t="shared" si="1205"/>
        <v>-1</v>
      </c>
      <c r="EO59" s="663">
        <f t="shared" si="1280"/>
        <v>-1</v>
      </c>
      <c r="EP59" s="674">
        <f t="shared" si="1206"/>
        <v>5</v>
      </c>
      <c r="EQ59" s="750">
        <v>0</v>
      </c>
      <c r="ER59" s="674">
        <f t="shared" si="1207"/>
        <v>-4</v>
      </c>
      <c r="ES59" s="663">
        <f>ER59/BD59</f>
        <v>-0.8</v>
      </c>
      <c r="ET59" s="674">
        <f t="shared" si="1208"/>
        <v>0</v>
      </c>
      <c r="EU59" s="663">
        <f t="shared" si="1209"/>
        <v>0</v>
      </c>
      <c r="EV59" s="674">
        <f t="shared" si="1210"/>
        <v>0</v>
      </c>
      <c r="EW59" s="109">
        <f t="shared" si="1211"/>
        <v>0</v>
      </c>
      <c r="EX59" s="674">
        <f t="shared" si="1212"/>
        <v>-1</v>
      </c>
      <c r="EY59" s="663">
        <f t="shared" si="1213"/>
        <v>-1</v>
      </c>
      <c r="EZ59" s="674">
        <f t="shared" si="1214"/>
        <v>2</v>
      </c>
      <c r="FA59" s="663">
        <v>1</v>
      </c>
      <c r="FB59" s="674">
        <f t="shared" si="1215"/>
        <v>-1</v>
      </c>
      <c r="FC59" s="663">
        <f t="shared" si="1216"/>
        <v>-0.5</v>
      </c>
      <c r="FD59" s="324">
        <f t="shared" si="1217"/>
        <v>0</v>
      </c>
      <c r="FE59" s="402">
        <f t="shared" si="1218"/>
        <v>0</v>
      </c>
      <c r="FF59" s="324">
        <f t="shared" si="1219"/>
        <v>0</v>
      </c>
      <c r="FG59" s="402">
        <f t="shared" si="1220"/>
        <v>0</v>
      </c>
      <c r="FH59" s="324">
        <f t="shared" si="1221"/>
        <v>0</v>
      </c>
      <c r="FI59" s="402">
        <f t="shared" si="1222"/>
        <v>0</v>
      </c>
      <c r="FJ59" s="324">
        <f t="shared" si="1223"/>
        <v>0</v>
      </c>
      <c r="FK59" s="402">
        <f t="shared" si="1261"/>
        <v>0</v>
      </c>
      <c r="FL59" s="324">
        <f t="shared" si="1126"/>
        <v>0</v>
      </c>
      <c r="FM59" s="402">
        <f t="shared" si="1224"/>
        <v>0</v>
      </c>
      <c r="FN59" s="324">
        <f t="shared" si="1127"/>
        <v>-1</v>
      </c>
      <c r="FO59" s="402">
        <f>FN59/BQ59</f>
        <v>-1</v>
      </c>
      <c r="FP59" s="324">
        <f t="shared" si="1128"/>
        <v>1</v>
      </c>
      <c r="FQ59" s="402">
        <v>1</v>
      </c>
      <c r="FR59" s="324">
        <f t="shared" si="1129"/>
        <v>0</v>
      </c>
      <c r="FS59" s="402">
        <f t="shared" si="1225"/>
        <v>0</v>
      </c>
      <c r="FT59" s="324">
        <f t="shared" si="1130"/>
        <v>-1</v>
      </c>
      <c r="FU59" s="402">
        <f t="shared" si="1262"/>
        <v>-1</v>
      </c>
      <c r="FV59" s="324">
        <f t="shared" si="1131"/>
        <v>0</v>
      </c>
      <c r="FW59" s="402">
        <v>0</v>
      </c>
      <c r="FX59" s="324">
        <f t="shared" si="1133"/>
        <v>0</v>
      </c>
      <c r="FY59" s="402">
        <v>0</v>
      </c>
      <c r="FZ59" s="324">
        <f t="shared" si="1134"/>
        <v>1</v>
      </c>
      <c r="GA59" s="402">
        <v>0</v>
      </c>
      <c r="GB59" s="324">
        <f t="shared" si="1135"/>
        <v>0</v>
      </c>
      <c r="GC59" s="402">
        <f>GB59/BZ59</f>
        <v>0</v>
      </c>
      <c r="GD59" s="324">
        <f t="shared" si="1136"/>
        <v>0</v>
      </c>
      <c r="GE59" s="402">
        <f t="shared" si="1263"/>
        <v>0</v>
      </c>
      <c r="GF59" s="324">
        <f t="shared" si="1137"/>
        <v>-1</v>
      </c>
      <c r="GG59" s="402">
        <f>GF59/CB59</f>
        <v>-1</v>
      </c>
      <c r="GH59" s="324">
        <f t="shared" si="1138"/>
        <v>1</v>
      </c>
      <c r="GI59" s="402">
        <v>1</v>
      </c>
      <c r="GJ59" s="324">
        <f t="shared" si="1139"/>
        <v>0</v>
      </c>
      <c r="GK59" s="402">
        <f t="shared" si="1194"/>
        <v>0</v>
      </c>
      <c r="GL59" s="324">
        <f t="shared" si="1140"/>
        <v>0</v>
      </c>
      <c r="GM59" s="402">
        <f>GL59/CE59</f>
        <v>0</v>
      </c>
      <c r="GN59" s="324">
        <f t="shared" si="1141"/>
        <v>0</v>
      </c>
      <c r="GO59" s="402">
        <f>GN59/CF59</f>
        <v>0</v>
      </c>
      <c r="GP59" s="324">
        <f t="shared" si="1142"/>
        <v>0</v>
      </c>
      <c r="GQ59" s="402">
        <f t="shared" si="1195"/>
        <v>0</v>
      </c>
      <c r="GR59" s="324">
        <f t="shared" si="1143"/>
        <v>0</v>
      </c>
      <c r="GS59" s="402">
        <f t="shared" si="1144"/>
        <v>0</v>
      </c>
      <c r="GT59" s="324">
        <f t="shared" si="1145"/>
        <v>-1</v>
      </c>
      <c r="GU59" s="402">
        <f t="shared" si="1264"/>
        <v>-1</v>
      </c>
      <c r="GV59" s="324">
        <f t="shared" si="1146"/>
        <v>1</v>
      </c>
      <c r="GW59" s="402" t="e">
        <f t="shared" si="1147"/>
        <v>#DIV/0!</v>
      </c>
      <c r="GX59" s="324">
        <f t="shared" si="1148"/>
        <v>-1</v>
      </c>
      <c r="GY59" s="402">
        <f t="shared" si="1265"/>
        <v>-1</v>
      </c>
      <c r="GZ59" s="324">
        <f t="shared" si="1149"/>
        <v>1</v>
      </c>
      <c r="HA59" s="402">
        <v>0</v>
      </c>
      <c r="HB59" s="324">
        <f t="shared" si="1150"/>
        <v>-1</v>
      </c>
      <c r="HC59" s="402">
        <f t="shared" si="1266"/>
        <v>-1</v>
      </c>
      <c r="HD59" s="324">
        <f t="shared" si="1151"/>
        <v>1</v>
      </c>
      <c r="HE59" s="402">
        <v>0</v>
      </c>
      <c r="HF59" s="324">
        <f t="shared" si="1152"/>
        <v>-1</v>
      </c>
      <c r="HG59" s="402">
        <f t="shared" si="1267"/>
        <v>-1</v>
      </c>
      <c r="HH59" s="324">
        <f t="shared" si="1153"/>
        <v>0</v>
      </c>
      <c r="HI59" s="402">
        <v>0</v>
      </c>
      <c r="HJ59" s="324">
        <f t="shared" si="1154"/>
        <v>1</v>
      </c>
      <c r="HK59" s="402">
        <v>0</v>
      </c>
      <c r="HL59" s="324">
        <f t="shared" si="1155"/>
        <v>0</v>
      </c>
      <c r="HM59" s="402">
        <f>HL59/CT59</f>
        <v>0</v>
      </c>
      <c r="HN59" s="324">
        <f t="shared" si="1156"/>
        <v>-1</v>
      </c>
      <c r="HO59" s="402">
        <f t="shared" si="1196"/>
        <v>-1</v>
      </c>
      <c r="HP59" s="324">
        <f t="shared" si="1157"/>
        <v>1</v>
      </c>
      <c r="HQ59" s="402">
        <v>0</v>
      </c>
      <c r="HR59" s="324">
        <f t="shared" si="1158"/>
        <v>0</v>
      </c>
      <c r="HS59" s="402">
        <f t="shared" si="1268"/>
        <v>0</v>
      </c>
      <c r="HT59" s="324">
        <f t="shared" si="1159"/>
        <v>-1</v>
      </c>
      <c r="HU59" s="402">
        <f>HT59/CX59</f>
        <v>-1</v>
      </c>
      <c r="HV59" s="324">
        <f t="shared" si="1160"/>
        <v>1</v>
      </c>
      <c r="HW59" s="402">
        <v>0</v>
      </c>
      <c r="HX59" s="324">
        <f t="shared" si="1161"/>
        <v>-1</v>
      </c>
      <c r="HY59" s="402">
        <f>HX59/DB59</f>
        <v>-1</v>
      </c>
      <c r="HZ59" s="324">
        <f t="shared" si="1162"/>
        <v>1</v>
      </c>
      <c r="IA59" s="402">
        <f>HZ59/DD59</f>
        <v>1</v>
      </c>
      <c r="IB59" s="324">
        <f t="shared" si="1163"/>
        <v>-1</v>
      </c>
      <c r="IC59" s="402">
        <f>IB59/DD59</f>
        <v>-1</v>
      </c>
      <c r="ID59" s="324">
        <f t="shared" si="1164"/>
        <v>1</v>
      </c>
      <c r="IE59" s="402">
        <f>ID59/DO59</f>
        <v>1.6666666666666667</v>
      </c>
      <c r="IF59" s="324">
        <f t="shared" si="1165"/>
        <v>-1</v>
      </c>
      <c r="IG59" s="402">
        <f t="shared" si="1166"/>
        <v>-1</v>
      </c>
      <c r="IH59" s="324">
        <f t="shared" si="1167"/>
        <v>1</v>
      </c>
      <c r="II59" s="402">
        <v>0</v>
      </c>
      <c r="IJ59" s="324">
        <f t="shared" si="1169"/>
        <v>-1</v>
      </c>
      <c r="IK59" s="402">
        <f t="shared" si="1170"/>
        <v>-1</v>
      </c>
      <c r="IL59" s="324">
        <f t="shared" si="1171"/>
        <v>1</v>
      </c>
      <c r="IM59" s="402">
        <v>0</v>
      </c>
      <c r="IN59" s="324">
        <f t="shared" si="1173"/>
        <v>0</v>
      </c>
      <c r="IO59" s="402">
        <f t="shared" si="1174"/>
        <v>0</v>
      </c>
      <c r="IP59" s="324">
        <f t="shared" si="1175"/>
        <v>-1</v>
      </c>
      <c r="IQ59" s="402">
        <f t="shared" si="1176"/>
        <v>-2.25</v>
      </c>
      <c r="IR59" s="324">
        <f t="shared" si="1177"/>
        <v>12</v>
      </c>
      <c r="IS59" s="402">
        <f t="shared" si="1178"/>
        <v>-0.92307692307692313</v>
      </c>
      <c r="IT59" s="952">
        <f t="shared" si="1179"/>
        <v>1</v>
      </c>
      <c r="IU59" s="1079">
        <f t="shared" si="1180"/>
        <v>1</v>
      </c>
      <c r="IV59" s="122">
        <f t="shared" si="1181"/>
        <v>0</v>
      </c>
      <c r="IW59" s="949">
        <f t="shared" si="1182"/>
        <v>0</v>
      </c>
      <c r="IX59" s="698"/>
      <c r="IY59" s="698"/>
      <c r="IZ59" s="698"/>
      <c r="JA59" t="str">
        <f t="shared" si="1183"/>
        <v>Payroll</v>
      </c>
      <c r="JB59" s="262" t="e">
        <f>#REF!</f>
        <v>#REF!</v>
      </c>
      <c r="JC59" s="262" t="e">
        <f>#REF!</f>
        <v>#REF!</v>
      </c>
      <c r="JD59" s="262" t="e">
        <f>#REF!</f>
        <v>#REF!</v>
      </c>
      <c r="JE59" s="262" t="e">
        <f>#REF!</f>
        <v>#REF!</v>
      </c>
      <c r="JF59" s="262" t="e">
        <f>#REF!</f>
        <v>#REF!</v>
      </c>
      <c r="JG59" s="262" t="e">
        <f>#REF!</f>
        <v>#REF!</v>
      </c>
      <c r="JH59" s="262" t="e">
        <f>#REF!</f>
        <v>#REF!</v>
      </c>
      <c r="JI59" s="262" t="e">
        <f>#REF!</f>
        <v>#REF!</v>
      </c>
      <c r="JJ59" s="262" t="e">
        <f>#REF!</f>
        <v>#REF!</v>
      </c>
      <c r="JK59" s="262" t="e">
        <f>#REF!</f>
        <v>#REF!</v>
      </c>
      <c r="JL59" s="262" t="e">
        <f>#REF!</f>
        <v>#REF!</v>
      </c>
      <c r="JM59" s="263">
        <f t="shared" si="1269"/>
        <v>12</v>
      </c>
      <c r="JN59" s="263">
        <f t="shared" si="1269"/>
        <v>13</v>
      </c>
      <c r="JO59" s="263">
        <f t="shared" si="1269"/>
        <v>12</v>
      </c>
      <c r="JP59" s="263">
        <f t="shared" si="1269"/>
        <v>12</v>
      </c>
      <c r="JQ59" s="263">
        <f t="shared" si="1269"/>
        <v>15</v>
      </c>
      <c r="JR59" s="263">
        <f t="shared" si="1269"/>
        <v>11</v>
      </c>
      <c r="JS59" s="263">
        <f t="shared" si="1269"/>
        <v>17</v>
      </c>
      <c r="JT59" s="263">
        <f t="shared" si="1269"/>
        <v>9</v>
      </c>
      <c r="JU59" s="263">
        <f t="shared" si="1269"/>
        <v>14</v>
      </c>
      <c r="JV59" s="263">
        <f t="shared" si="1269"/>
        <v>13</v>
      </c>
      <c r="JW59" s="263">
        <f t="shared" si="1269"/>
        <v>11</v>
      </c>
      <c r="JX59" s="263">
        <f t="shared" si="1269"/>
        <v>8</v>
      </c>
      <c r="JY59" s="263">
        <f t="shared" si="1270"/>
        <v>8</v>
      </c>
      <c r="JZ59" s="263">
        <f t="shared" si="1270"/>
        <v>9</v>
      </c>
      <c r="KA59" s="263">
        <f t="shared" si="1270"/>
        <v>13</v>
      </c>
      <c r="KB59" s="263">
        <f t="shared" si="1270"/>
        <v>0</v>
      </c>
      <c r="KC59" s="263">
        <f t="shared" si="1270"/>
        <v>1</v>
      </c>
      <c r="KD59" s="263">
        <f t="shared" si="1270"/>
        <v>0</v>
      </c>
      <c r="KE59" s="263">
        <f t="shared" si="1270"/>
        <v>5</v>
      </c>
      <c r="KF59" s="263">
        <f t="shared" si="1270"/>
        <v>1</v>
      </c>
      <c r="KG59" s="263">
        <f t="shared" si="1270"/>
        <v>1</v>
      </c>
      <c r="KH59" s="263">
        <f t="shared" si="1270"/>
        <v>1</v>
      </c>
      <c r="KI59" s="263">
        <f t="shared" si="1270"/>
        <v>0</v>
      </c>
      <c r="KJ59" s="263">
        <f t="shared" si="1270"/>
        <v>2</v>
      </c>
      <c r="KK59" s="788">
        <f t="shared" si="1271"/>
        <v>1</v>
      </c>
      <c r="KL59" s="788">
        <f t="shared" si="1271"/>
        <v>1</v>
      </c>
      <c r="KM59" s="788">
        <f t="shared" si="1271"/>
        <v>1</v>
      </c>
      <c r="KN59" s="788">
        <f t="shared" si="1271"/>
        <v>1</v>
      </c>
      <c r="KO59" s="788">
        <f t="shared" si="1271"/>
        <v>1</v>
      </c>
      <c r="KP59" s="788">
        <f t="shared" si="1226"/>
        <v>1</v>
      </c>
      <c r="KQ59" s="788">
        <f t="shared" si="1227"/>
        <v>0</v>
      </c>
      <c r="KR59" s="788">
        <f t="shared" si="1228"/>
        <v>1</v>
      </c>
      <c r="KS59" s="788">
        <f t="shared" si="1229"/>
        <v>1</v>
      </c>
      <c r="KT59" s="788">
        <f t="shared" si="1272"/>
        <v>0</v>
      </c>
      <c r="KU59" s="788">
        <f t="shared" si="1230"/>
        <v>0</v>
      </c>
      <c r="KV59" s="788">
        <f t="shared" si="1273"/>
        <v>0</v>
      </c>
      <c r="KW59" s="900">
        <f t="shared" si="1231"/>
        <v>1</v>
      </c>
      <c r="KX59" s="900">
        <f t="shared" si="1232"/>
        <v>1</v>
      </c>
      <c r="KY59" s="900">
        <f t="shared" si="1233"/>
        <v>1</v>
      </c>
      <c r="KZ59" s="900">
        <f t="shared" si="1234"/>
        <v>0</v>
      </c>
      <c r="LA59" s="900">
        <f t="shared" si="1235"/>
        <v>1</v>
      </c>
      <c r="LB59" s="900">
        <f t="shared" si="1236"/>
        <v>1</v>
      </c>
      <c r="LC59" s="900">
        <f t="shared" si="1237"/>
        <v>1</v>
      </c>
      <c r="LD59" s="900">
        <f t="shared" si="1274"/>
        <v>1</v>
      </c>
      <c r="LE59" s="900">
        <f t="shared" si="1274"/>
        <v>1</v>
      </c>
      <c r="LF59" s="900">
        <f t="shared" si="1274"/>
        <v>1</v>
      </c>
      <c r="LG59" s="900">
        <f t="shared" si="1238"/>
        <v>0</v>
      </c>
      <c r="LH59" s="900">
        <f t="shared" si="1275"/>
        <v>1</v>
      </c>
      <c r="LI59" s="959">
        <f t="shared" si="1239"/>
        <v>0</v>
      </c>
      <c r="LJ59" s="959">
        <f t="shared" si="1240"/>
        <v>1</v>
      </c>
      <c r="LK59" s="959">
        <f t="shared" si="1241"/>
        <v>0</v>
      </c>
      <c r="LL59" s="959">
        <f t="shared" si="1242"/>
        <v>1</v>
      </c>
      <c r="LM59" s="959">
        <f t="shared" si="1243"/>
        <v>0</v>
      </c>
      <c r="LN59" s="959">
        <f t="shared" si="1276"/>
        <v>0</v>
      </c>
      <c r="LO59" s="959">
        <f t="shared" si="1244"/>
        <v>1</v>
      </c>
      <c r="LP59" s="959">
        <f t="shared" si="1245"/>
        <v>1</v>
      </c>
      <c r="LQ59" s="959">
        <f t="shared" si="1246"/>
        <v>0</v>
      </c>
      <c r="LR59" s="959">
        <f t="shared" si="1247"/>
        <v>1</v>
      </c>
      <c r="LS59" s="959">
        <f t="shared" si="1248"/>
        <v>1</v>
      </c>
      <c r="LT59" s="959">
        <f t="shared" si="1249"/>
        <v>0</v>
      </c>
      <c r="LU59" s="1155">
        <f t="shared" si="1250"/>
        <v>1</v>
      </c>
      <c r="LV59" s="1155">
        <f t="shared" si="1251"/>
        <v>0</v>
      </c>
      <c r="LW59" s="1155">
        <f t="shared" si="1252"/>
        <v>1</v>
      </c>
      <c r="LX59" s="1155">
        <f t="shared" si="1253"/>
        <v>0</v>
      </c>
      <c r="LY59" s="1155">
        <f t="shared" si="1254"/>
        <v>1</v>
      </c>
      <c r="LZ59" s="1155">
        <f t="shared" si="1255"/>
        <v>0</v>
      </c>
      <c r="MA59" s="1155">
        <f t="shared" si="1277"/>
        <v>1</v>
      </c>
      <c r="MB59" s="1155">
        <f t="shared" si="1277"/>
        <v>0</v>
      </c>
      <c r="MC59" s="1155">
        <f t="shared" si="1277"/>
        <v>1</v>
      </c>
      <c r="MD59" s="1155">
        <f t="shared" si="1277"/>
        <v>1</v>
      </c>
      <c r="ME59" s="1155">
        <f t="shared" si="1277"/>
        <v>0</v>
      </c>
      <c r="MF59" s="1155">
        <f t="shared" si="1277"/>
        <v>0</v>
      </c>
      <c r="MG59" s="1177">
        <f t="shared" si="1256"/>
        <v>0</v>
      </c>
      <c r="MH59" s="1177">
        <f t="shared" si="1257"/>
        <v>0</v>
      </c>
      <c r="MI59" s="1177">
        <f t="shared" si="1258"/>
        <v>0</v>
      </c>
      <c r="MJ59" s="1177">
        <f t="shared" si="1259"/>
        <v>0</v>
      </c>
      <c r="MK59" s="1177">
        <f t="shared" si="1278"/>
        <v>0</v>
      </c>
      <c r="ML59" s="1177">
        <f t="shared" si="1278"/>
        <v>0</v>
      </c>
      <c r="MM59" s="1177">
        <f t="shared" si="1278"/>
        <v>0</v>
      </c>
      <c r="MN59" s="1177">
        <f t="shared" si="1278"/>
        <v>0</v>
      </c>
      <c r="MO59" s="1177">
        <f t="shared" si="1278"/>
        <v>0</v>
      </c>
      <c r="MP59" s="1177">
        <f t="shared" si="1278"/>
        <v>0</v>
      </c>
      <c r="MQ59" s="1177">
        <f t="shared" si="1279"/>
        <v>0</v>
      </c>
      <c r="MR59" s="1177">
        <f t="shared" si="1279"/>
        <v>0</v>
      </c>
    </row>
    <row r="60" spans="1:356" x14ac:dyDescent="0.25">
      <c r="A60" s="764"/>
      <c r="B60" s="56">
        <v>8.9</v>
      </c>
      <c r="C60" s="7"/>
      <c r="D60" s="119"/>
      <c r="E60" s="1221" t="s">
        <v>10</v>
      </c>
      <c r="F60" s="1221"/>
      <c r="G60" s="1222"/>
      <c r="H60" s="368">
        <v>43</v>
      </c>
      <c r="I60" s="70">
        <v>35</v>
      </c>
      <c r="J60" s="23">
        <v>51</v>
      </c>
      <c r="K60" s="70">
        <v>58</v>
      </c>
      <c r="L60" s="23">
        <v>35</v>
      </c>
      <c r="M60" s="70">
        <v>34</v>
      </c>
      <c r="N60" s="23">
        <v>19</v>
      </c>
      <c r="O60" s="70">
        <v>42</v>
      </c>
      <c r="P60" s="23">
        <v>38</v>
      </c>
      <c r="Q60" s="70">
        <v>39</v>
      </c>
      <c r="R60" s="23">
        <v>28</v>
      </c>
      <c r="S60" s="70">
        <v>28</v>
      </c>
      <c r="T60" s="130">
        <v>450</v>
      </c>
      <c r="U60" s="163">
        <v>37.5</v>
      </c>
      <c r="V60" s="368">
        <v>29</v>
      </c>
      <c r="W60" s="70">
        <v>29</v>
      </c>
      <c r="X60" s="23">
        <v>45</v>
      </c>
      <c r="Y60" s="70">
        <v>37</v>
      </c>
      <c r="Z60" s="23">
        <v>25</v>
      </c>
      <c r="AA60" s="70">
        <v>22</v>
      </c>
      <c r="AB60" s="23">
        <v>22</v>
      </c>
      <c r="AC60" s="70">
        <v>42</v>
      </c>
      <c r="AD60" s="23">
        <v>52</v>
      </c>
      <c r="AE60" s="70">
        <v>42</v>
      </c>
      <c r="AF60" s="23">
        <v>45</v>
      </c>
      <c r="AG60" s="70">
        <v>12</v>
      </c>
      <c r="AH60" s="130">
        <v>402</v>
      </c>
      <c r="AI60" s="163">
        <v>33.5</v>
      </c>
      <c r="AJ60" s="368">
        <v>40</v>
      </c>
      <c r="AK60" s="70">
        <v>54</v>
      </c>
      <c r="AL60" s="23">
        <v>48</v>
      </c>
      <c r="AM60" s="70">
        <v>58</v>
      </c>
      <c r="AN60" s="23">
        <v>49</v>
      </c>
      <c r="AO60" s="70">
        <v>50</v>
      </c>
      <c r="AP60" s="625">
        <v>53</v>
      </c>
      <c r="AQ60" s="70">
        <v>63</v>
      </c>
      <c r="AR60" s="625">
        <v>50</v>
      </c>
      <c r="AS60" s="70">
        <v>63</v>
      </c>
      <c r="AT60" s="625">
        <v>57</v>
      </c>
      <c r="AU60" s="70">
        <v>45</v>
      </c>
      <c r="AV60" s="130">
        <f t="shared" si="1087"/>
        <v>630</v>
      </c>
      <c r="AW60" s="163">
        <f t="shared" si="1088"/>
        <v>52.5</v>
      </c>
      <c r="AX60" s="368">
        <v>44</v>
      </c>
      <c r="AY60" s="70">
        <v>57</v>
      </c>
      <c r="AZ60" s="23">
        <v>47</v>
      </c>
      <c r="BA60" s="70">
        <v>3</v>
      </c>
      <c r="BB60" s="23">
        <v>2</v>
      </c>
      <c r="BC60" s="70">
        <v>4</v>
      </c>
      <c r="BD60" s="625">
        <v>0</v>
      </c>
      <c r="BE60" s="70">
        <v>2</v>
      </c>
      <c r="BF60" s="625">
        <v>2</v>
      </c>
      <c r="BG60" s="70">
        <v>3</v>
      </c>
      <c r="BH60" s="625">
        <v>2</v>
      </c>
      <c r="BI60" s="70">
        <v>2</v>
      </c>
      <c r="BJ60" s="130">
        <f t="shared" si="1091"/>
        <v>168</v>
      </c>
      <c r="BK60" s="163">
        <f t="shared" si="1092"/>
        <v>14</v>
      </c>
      <c r="BL60" s="368">
        <v>3</v>
      </c>
      <c r="BM60" s="70">
        <v>2</v>
      </c>
      <c r="BN60" s="23">
        <v>3</v>
      </c>
      <c r="BO60" s="70">
        <v>2</v>
      </c>
      <c r="BP60" s="23">
        <v>2</v>
      </c>
      <c r="BQ60" s="70">
        <v>2</v>
      </c>
      <c r="BR60" s="625">
        <v>2</v>
      </c>
      <c r="BS60" s="70">
        <v>1</v>
      </c>
      <c r="BT60" s="625">
        <v>5</v>
      </c>
      <c r="BU60" s="625">
        <v>2</v>
      </c>
      <c r="BV60" s="625">
        <v>5</v>
      </c>
      <c r="BW60" s="625">
        <v>3</v>
      </c>
      <c r="BX60" s="130">
        <f t="shared" si="1099"/>
        <v>32</v>
      </c>
      <c r="BY60" s="163">
        <f t="shared" si="1100"/>
        <v>2.6666666666666665</v>
      </c>
      <c r="BZ60" s="625">
        <v>2</v>
      </c>
      <c r="CA60" s="70">
        <v>2</v>
      </c>
      <c r="CB60" s="23">
        <v>2</v>
      </c>
      <c r="CC60" s="70">
        <v>3</v>
      </c>
      <c r="CD60" s="23">
        <v>2</v>
      </c>
      <c r="CE60" s="950">
        <v>2</v>
      </c>
      <c r="CF60" s="952">
        <v>2</v>
      </c>
      <c r="CG60" s="950">
        <v>2</v>
      </c>
      <c r="CH60" s="952">
        <v>2</v>
      </c>
      <c r="CI60" s="952">
        <v>3</v>
      </c>
      <c r="CJ60" s="952">
        <v>2</v>
      </c>
      <c r="CK60" s="952">
        <v>2</v>
      </c>
      <c r="CL60" s="953">
        <f t="shared" si="1107"/>
        <v>26</v>
      </c>
      <c r="CM60" s="163">
        <f t="shared" si="1108"/>
        <v>2.1666666666666665</v>
      </c>
      <c r="CN60" s="625">
        <v>3</v>
      </c>
      <c r="CO60" s="70">
        <v>3</v>
      </c>
      <c r="CP60" s="23">
        <v>3</v>
      </c>
      <c r="CQ60" s="70">
        <v>3</v>
      </c>
      <c r="CR60" s="1013">
        <v>2</v>
      </c>
      <c r="CS60" s="1014">
        <v>2</v>
      </c>
      <c r="CT60" s="1015">
        <v>2</v>
      </c>
      <c r="CU60" s="1014">
        <v>2</v>
      </c>
      <c r="CV60" s="1111">
        <v>2</v>
      </c>
      <c r="CW60" s="1112">
        <v>2</v>
      </c>
      <c r="CX60" s="1111">
        <v>2</v>
      </c>
      <c r="CY60" s="1113">
        <v>2</v>
      </c>
      <c r="CZ60" s="1109">
        <f t="shared" si="1115"/>
        <v>28</v>
      </c>
      <c r="DA60" s="1110">
        <f t="shared" si="1116"/>
        <v>2.3333333333333335</v>
      </c>
      <c r="DB60" s="1015">
        <v>2</v>
      </c>
      <c r="DC60" s="1014">
        <v>2</v>
      </c>
      <c r="DD60" s="1013">
        <v>3</v>
      </c>
      <c r="DE60" s="1014">
        <v>2</v>
      </c>
      <c r="DF60" s="1013">
        <v>2</v>
      </c>
      <c r="DG60" s="1014">
        <v>2</v>
      </c>
      <c r="DH60" s="1015">
        <v>2</v>
      </c>
      <c r="DI60" s="1014">
        <v>2</v>
      </c>
      <c r="DJ60" s="1015">
        <v>3</v>
      </c>
      <c r="DK60" s="1014">
        <v>2</v>
      </c>
      <c r="DL60" s="1015"/>
      <c r="DM60" s="1014"/>
      <c r="DN60" s="1016">
        <f t="shared" si="1122"/>
        <v>22</v>
      </c>
      <c r="DO60" s="163">
        <f t="shared" si="1123"/>
        <v>2.2000000000000002</v>
      </c>
      <c r="DP60" s="1015"/>
      <c r="DQ60" s="1014"/>
      <c r="DR60" s="1013"/>
      <c r="DS60" s="1014"/>
      <c r="DT60" s="1013"/>
      <c r="DU60" s="1014"/>
      <c r="DV60" s="1015"/>
      <c r="DW60" s="1014"/>
      <c r="DX60" s="1015"/>
      <c r="DY60" s="1014"/>
      <c r="DZ60" s="1015"/>
      <c r="EA60" s="1014"/>
      <c r="EB60" s="1016">
        <f t="shared" si="1124"/>
        <v>0</v>
      </c>
      <c r="EC60" s="163" t="e">
        <f t="shared" si="1125"/>
        <v>#DIV/0!</v>
      </c>
      <c r="ED60" s="674">
        <f t="shared" si="1197"/>
        <v>-1</v>
      </c>
      <c r="EE60" s="663">
        <f t="shared" si="1260"/>
        <v>-2.2222222222222223E-2</v>
      </c>
      <c r="EF60" s="674">
        <f t="shared" si="1198"/>
        <v>13</v>
      </c>
      <c r="EG60" s="663">
        <f t="shared" si="1199"/>
        <v>0.29545454545454547</v>
      </c>
      <c r="EH60" s="674">
        <f t="shared" si="1200"/>
        <v>-10</v>
      </c>
      <c r="EI60" s="663">
        <f t="shared" si="1201"/>
        <v>-0.17543859649122806</v>
      </c>
      <c r="EJ60" s="674">
        <f t="shared" si="1202"/>
        <v>-44</v>
      </c>
      <c r="EK60" s="663">
        <f t="shared" si="1203"/>
        <v>-0.93617021276595747</v>
      </c>
      <c r="EL60" s="674">
        <f t="shared" si="1204"/>
        <v>-1</v>
      </c>
      <c r="EM60" s="663">
        <f>EL60/BA60</f>
        <v>-0.33333333333333331</v>
      </c>
      <c r="EN60" s="674">
        <f t="shared" si="1205"/>
        <v>2</v>
      </c>
      <c r="EO60" s="663">
        <f t="shared" si="1280"/>
        <v>1</v>
      </c>
      <c r="EP60" s="674">
        <f t="shared" si="1206"/>
        <v>-4</v>
      </c>
      <c r="EQ60" s="663">
        <f>EP60/BC60</f>
        <v>-1</v>
      </c>
      <c r="ER60" s="674">
        <f t="shared" si="1207"/>
        <v>2</v>
      </c>
      <c r="ES60" s="663">
        <v>1</v>
      </c>
      <c r="ET60" s="674">
        <f t="shared" si="1208"/>
        <v>0</v>
      </c>
      <c r="EU60" s="663">
        <f t="shared" si="1209"/>
        <v>0</v>
      </c>
      <c r="EV60" s="674">
        <f t="shared" si="1210"/>
        <v>1</v>
      </c>
      <c r="EW60" s="109">
        <f t="shared" si="1211"/>
        <v>0.5</v>
      </c>
      <c r="EX60" s="674">
        <f t="shared" si="1212"/>
        <v>-1</v>
      </c>
      <c r="EY60" s="663">
        <f t="shared" si="1213"/>
        <v>-0.33333333333333331</v>
      </c>
      <c r="EZ60" s="674">
        <f t="shared" si="1214"/>
        <v>0</v>
      </c>
      <c r="FA60" s="663">
        <f>EZ60/BH60</f>
        <v>0</v>
      </c>
      <c r="FB60" s="674">
        <f t="shared" si="1215"/>
        <v>1</v>
      </c>
      <c r="FC60" s="663">
        <f t="shared" si="1216"/>
        <v>0.5</v>
      </c>
      <c r="FD60" s="324">
        <f t="shared" si="1217"/>
        <v>-1</v>
      </c>
      <c r="FE60" s="402">
        <f t="shared" si="1218"/>
        <v>-0.33333333333333331</v>
      </c>
      <c r="FF60" s="324">
        <f t="shared" si="1219"/>
        <v>1</v>
      </c>
      <c r="FG60" s="402">
        <f t="shared" si="1220"/>
        <v>0.5</v>
      </c>
      <c r="FH60" s="324">
        <f t="shared" si="1221"/>
        <v>-1</v>
      </c>
      <c r="FI60" s="402">
        <f t="shared" si="1222"/>
        <v>-0.33333333333333331</v>
      </c>
      <c r="FJ60" s="324">
        <f t="shared" si="1223"/>
        <v>0</v>
      </c>
      <c r="FK60" s="402">
        <f t="shared" si="1261"/>
        <v>0</v>
      </c>
      <c r="FL60" s="324">
        <f t="shared" si="1126"/>
        <v>0</v>
      </c>
      <c r="FM60" s="402">
        <f t="shared" si="1224"/>
        <v>0</v>
      </c>
      <c r="FN60" s="324">
        <f t="shared" si="1127"/>
        <v>0</v>
      </c>
      <c r="FO60" s="402">
        <f>FN60/BQ60</f>
        <v>0</v>
      </c>
      <c r="FP60" s="324">
        <f t="shared" si="1128"/>
        <v>-1</v>
      </c>
      <c r="FQ60" s="402">
        <f>FP60/BR60</f>
        <v>-0.5</v>
      </c>
      <c r="FR60" s="324">
        <f t="shared" si="1129"/>
        <v>4</v>
      </c>
      <c r="FS60" s="402">
        <f t="shared" si="1225"/>
        <v>4</v>
      </c>
      <c r="FT60" s="324">
        <f t="shared" si="1130"/>
        <v>-3</v>
      </c>
      <c r="FU60" s="402">
        <f t="shared" si="1262"/>
        <v>-0.6</v>
      </c>
      <c r="FV60" s="324">
        <f t="shared" si="1131"/>
        <v>3</v>
      </c>
      <c r="FW60" s="402">
        <f>FV60/BU60</f>
        <v>1.5</v>
      </c>
      <c r="FX60" s="324">
        <f t="shared" si="1133"/>
        <v>-2</v>
      </c>
      <c r="FY60" s="402">
        <f>FX60/BV60</f>
        <v>-0.4</v>
      </c>
      <c r="FZ60" s="324">
        <f t="shared" si="1134"/>
        <v>-1</v>
      </c>
      <c r="GA60" s="402">
        <f>FZ60/BW60</f>
        <v>-0.33333333333333331</v>
      </c>
      <c r="GB60" s="324">
        <f t="shared" si="1135"/>
        <v>0</v>
      </c>
      <c r="GC60" s="402">
        <f>GB60/BZ60</f>
        <v>0</v>
      </c>
      <c r="GD60" s="324">
        <f t="shared" si="1136"/>
        <v>0</v>
      </c>
      <c r="GE60" s="402">
        <f t="shared" si="1263"/>
        <v>0</v>
      </c>
      <c r="GF60" s="324">
        <f t="shared" si="1137"/>
        <v>1</v>
      </c>
      <c r="GG60" s="402">
        <f>GF60/CB60</f>
        <v>0.5</v>
      </c>
      <c r="GH60" s="324">
        <f t="shared" si="1138"/>
        <v>-1</v>
      </c>
      <c r="GI60" s="402">
        <f>GH60/CC60</f>
        <v>-0.33333333333333331</v>
      </c>
      <c r="GJ60" s="324">
        <f t="shared" si="1139"/>
        <v>0</v>
      </c>
      <c r="GK60" s="402">
        <f t="shared" si="1194"/>
        <v>0</v>
      </c>
      <c r="GL60" s="324">
        <f t="shared" si="1140"/>
        <v>0</v>
      </c>
      <c r="GM60" s="402">
        <f>GL60/CE60</f>
        <v>0</v>
      </c>
      <c r="GN60" s="324">
        <f t="shared" si="1141"/>
        <v>0</v>
      </c>
      <c r="GO60" s="402">
        <f>GN60/CF60</f>
        <v>0</v>
      </c>
      <c r="GP60" s="324">
        <f t="shared" si="1142"/>
        <v>0</v>
      </c>
      <c r="GQ60" s="402">
        <f t="shared" si="1195"/>
        <v>0</v>
      </c>
      <c r="GR60" s="324">
        <f t="shared" si="1143"/>
        <v>1</v>
      </c>
      <c r="GS60" s="402">
        <f t="shared" si="1144"/>
        <v>0.5</v>
      </c>
      <c r="GT60" s="324">
        <f t="shared" si="1145"/>
        <v>-1</v>
      </c>
      <c r="GU60" s="402">
        <f t="shared" si="1264"/>
        <v>-0.33333333333333331</v>
      </c>
      <c r="GV60" s="324">
        <f t="shared" si="1146"/>
        <v>0</v>
      </c>
      <c r="GW60" s="402">
        <f t="shared" si="1147"/>
        <v>0</v>
      </c>
      <c r="GX60" s="324">
        <f t="shared" si="1148"/>
        <v>1</v>
      </c>
      <c r="GY60" s="402">
        <f t="shared" si="1265"/>
        <v>0.5</v>
      </c>
      <c r="GZ60" s="324">
        <f t="shared" si="1149"/>
        <v>0</v>
      </c>
      <c r="HA60" s="402">
        <f>GZ60/CN60</f>
        <v>0</v>
      </c>
      <c r="HB60" s="324">
        <f t="shared" si="1150"/>
        <v>0</v>
      </c>
      <c r="HC60" s="402">
        <f t="shared" si="1266"/>
        <v>0</v>
      </c>
      <c r="HD60" s="324">
        <f t="shared" si="1151"/>
        <v>0</v>
      </c>
      <c r="HE60" s="402">
        <f>HD60/CP60</f>
        <v>0</v>
      </c>
      <c r="HF60" s="324">
        <f t="shared" si="1152"/>
        <v>-1</v>
      </c>
      <c r="HG60" s="402">
        <f t="shared" si="1267"/>
        <v>-0.33333333333333331</v>
      </c>
      <c r="HH60" s="324">
        <f t="shared" si="1153"/>
        <v>0</v>
      </c>
      <c r="HI60" s="402">
        <f>HH60/CR60</f>
        <v>0</v>
      </c>
      <c r="HJ60" s="324">
        <f t="shared" si="1154"/>
        <v>0</v>
      </c>
      <c r="HK60" s="402">
        <f>HJ60/CS60</f>
        <v>0</v>
      </c>
      <c r="HL60" s="324">
        <f t="shared" si="1155"/>
        <v>0</v>
      </c>
      <c r="HM60" s="402">
        <f>HL60/CT60</f>
        <v>0</v>
      </c>
      <c r="HN60" s="324">
        <f t="shared" si="1156"/>
        <v>0</v>
      </c>
      <c r="HO60" s="402">
        <f t="shared" si="1196"/>
        <v>0</v>
      </c>
      <c r="HP60" s="324">
        <f t="shared" si="1157"/>
        <v>0</v>
      </c>
      <c r="HQ60" s="402">
        <f>HP60/CV60</f>
        <v>0</v>
      </c>
      <c r="HR60" s="324">
        <f t="shared" si="1158"/>
        <v>0</v>
      </c>
      <c r="HS60" s="402">
        <f t="shared" si="1268"/>
        <v>0</v>
      </c>
      <c r="HT60" s="324">
        <f t="shared" si="1159"/>
        <v>0</v>
      </c>
      <c r="HU60" s="402">
        <f>HT60/CX60</f>
        <v>0</v>
      </c>
      <c r="HV60" s="324">
        <f t="shared" si="1160"/>
        <v>0</v>
      </c>
      <c r="HW60" s="402">
        <f>HV60/CY60</f>
        <v>0</v>
      </c>
      <c r="HX60" s="324">
        <f t="shared" si="1161"/>
        <v>0</v>
      </c>
      <c r="HY60" s="402">
        <f>HX60/DB60</f>
        <v>0</v>
      </c>
      <c r="HZ60" s="324">
        <f t="shared" si="1162"/>
        <v>1</v>
      </c>
      <c r="IA60" s="402">
        <f>HZ60/DD60</f>
        <v>0.33333333333333331</v>
      </c>
      <c r="IB60" s="324">
        <f t="shared" si="1163"/>
        <v>-1</v>
      </c>
      <c r="IC60" s="402">
        <f>IB60/DD60</f>
        <v>-0.33333333333333331</v>
      </c>
      <c r="ID60" s="324">
        <f t="shared" si="1164"/>
        <v>0</v>
      </c>
      <c r="IE60" s="402">
        <f>ID60/DO60</f>
        <v>0</v>
      </c>
      <c r="IF60" s="324">
        <f t="shared" si="1165"/>
        <v>0</v>
      </c>
      <c r="IG60" s="402">
        <f t="shared" si="1166"/>
        <v>0</v>
      </c>
      <c r="IH60" s="324">
        <f t="shared" si="1167"/>
        <v>0</v>
      </c>
      <c r="II60" s="402">
        <f t="shared" si="1168"/>
        <v>0</v>
      </c>
      <c r="IJ60" s="324">
        <f t="shared" si="1169"/>
        <v>0</v>
      </c>
      <c r="IK60" s="402">
        <f t="shared" si="1170"/>
        <v>0</v>
      </c>
      <c r="IL60" s="324">
        <f t="shared" si="1171"/>
        <v>1</v>
      </c>
      <c r="IM60" s="402">
        <f t="shared" si="1172"/>
        <v>0.5</v>
      </c>
      <c r="IN60" s="324">
        <f t="shared" si="1173"/>
        <v>-1</v>
      </c>
      <c r="IO60" s="402">
        <f t="shared" si="1174"/>
        <v>-0.33333333333333331</v>
      </c>
      <c r="IP60" s="324">
        <f t="shared" si="1175"/>
        <v>-2</v>
      </c>
      <c r="IQ60" s="402">
        <f t="shared" si="1176"/>
        <v>11.4</v>
      </c>
      <c r="IR60" s="324">
        <f t="shared" si="1177"/>
        <v>43.063829787234042</v>
      </c>
      <c r="IS60" s="402">
        <f t="shared" si="1178"/>
        <v>-0.97872340425531912</v>
      </c>
      <c r="IT60" s="952">
        <f t="shared" si="1179"/>
        <v>2</v>
      </c>
      <c r="IU60" s="1079">
        <f t="shared" si="1180"/>
        <v>2</v>
      </c>
      <c r="IV60" s="122">
        <f t="shared" si="1181"/>
        <v>0</v>
      </c>
      <c r="IW60" s="949">
        <f t="shared" si="1182"/>
        <v>0</v>
      </c>
      <c r="IX60" s="698"/>
      <c r="IY60" s="698"/>
      <c r="IZ60" s="698"/>
      <c r="JA60" t="str">
        <f t="shared" si="1183"/>
        <v>Time</v>
      </c>
      <c r="JB60" s="262" t="e">
        <f>#REF!</f>
        <v>#REF!</v>
      </c>
      <c r="JC60" s="262" t="e">
        <f>#REF!</f>
        <v>#REF!</v>
      </c>
      <c r="JD60" s="262" t="e">
        <f>#REF!</f>
        <v>#REF!</v>
      </c>
      <c r="JE60" s="262" t="e">
        <f>#REF!</f>
        <v>#REF!</v>
      </c>
      <c r="JF60" s="262" t="e">
        <f>#REF!</f>
        <v>#REF!</v>
      </c>
      <c r="JG60" s="262" t="e">
        <f>#REF!</f>
        <v>#REF!</v>
      </c>
      <c r="JH60" s="262" t="e">
        <f>#REF!</f>
        <v>#REF!</v>
      </c>
      <c r="JI60" s="262" t="e">
        <f>#REF!</f>
        <v>#REF!</v>
      </c>
      <c r="JJ60" s="262" t="e">
        <f>#REF!</f>
        <v>#REF!</v>
      </c>
      <c r="JK60" s="262" t="e">
        <f>#REF!</f>
        <v>#REF!</v>
      </c>
      <c r="JL60" s="262" t="e">
        <f>#REF!</f>
        <v>#REF!</v>
      </c>
      <c r="JM60" s="263">
        <f t="shared" si="1269"/>
        <v>40</v>
      </c>
      <c r="JN60" s="263">
        <f t="shared" si="1269"/>
        <v>54</v>
      </c>
      <c r="JO60" s="263">
        <f t="shared" si="1269"/>
        <v>48</v>
      </c>
      <c r="JP60" s="263">
        <f t="shared" si="1269"/>
        <v>58</v>
      </c>
      <c r="JQ60" s="263">
        <f t="shared" si="1269"/>
        <v>49</v>
      </c>
      <c r="JR60" s="263">
        <f t="shared" si="1269"/>
        <v>50</v>
      </c>
      <c r="JS60" s="263">
        <f t="shared" si="1269"/>
        <v>53</v>
      </c>
      <c r="JT60" s="263">
        <f t="shared" si="1269"/>
        <v>63</v>
      </c>
      <c r="JU60" s="263">
        <f t="shared" si="1269"/>
        <v>50</v>
      </c>
      <c r="JV60" s="263">
        <f t="shared" si="1269"/>
        <v>63</v>
      </c>
      <c r="JW60" s="263">
        <f t="shared" si="1269"/>
        <v>57</v>
      </c>
      <c r="JX60" s="263">
        <f t="shared" si="1269"/>
        <v>45</v>
      </c>
      <c r="JY60" s="263">
        <f t="shared" si="1270"/>
        <v>44</v>
      </c>
      <c r="JZ60" s="263">
        <f t="shared" si="1270"/>
        <v>57</v>
      </c>
      <c r="KA60" s="263">
        <f t="shared" si="1270"/>
        <v>47</v>
      </c>
      <c r="KB60" s="263">
        <f t="shared" si="1270"/>
        <v>3</v>
      </c>
      <c r="KC60" s="263">
        <f t="shared" si="1270"/>
        <v>2</v>
      </c>
      <c r="KD60" s="263">
        <f t="shared" si="1270"/>
        <v>4</v>
      </c>
      <c r="KE60" s="263">
        <f t="shared" si="1270"/>
        <v>0</v>
      </c>
      <c r="KF60" s="263">
        <f t="shared" si="1270"/>
        <v>2</v>
      </c>
      <c r="KG60" s="263">
        <f t="shared" si="1270"/>
        <v>2</v>
      </c>
      <c r="KH60" s="263">
        <f t="shared" si="1270"/>
        <v>3</v>
      </c>
      <c r="KI60" s="263">
        <f t="shared" si="1270"/>
        <v>2</v>
      </c>
      <c r="KJ60" s="263">
        <f t="shared" si="1270"/>
        <v>2</v>
      </c>
      <c r="KK60" s="788">
        <f t="shared" si="1271"/>
        <v>3</v>
      </c>
      <c r="KL60" s="788">
        <f t="shared" si="1271"/>
        <v>2</v>
      </c>
      <c r="KM60" s="788">
        <f t="shared" si="1271"/>
        <v>3</v>
      </c>
      <c r="KN60" s="788">
        <f t="shared" si="1271"/>
        <v>2</v>
      </c>
      <c r="KO60" s="788">
        <f t="shared" si="1271"/>
        <v>2</v>
      </c>
      <c r="KP60" s="788">
        <f t="shared" si="1226"/>
        <v>2</v>
      </c>
      <c r="KQ60" s="788">
        <f t="shared" si="1227"/>
        <v>2</v>
      </c>
      <c r="KR60" s="788">
        <f t="shared" si="1228"/>
        <v>1</v>
      </c>
      <c r="KS60" s="788">
        <f t="shared" si="1229"/>
        <v>5</v>
      </c>
      <c r="KT60" s="788">
        <f t="shared" si="1272"/>
        <v>2</v>
      </c>
      <c r="KU60" s="788">
        <f t="shared" si="1230"/>
        <v>5</v>
      </c>
      <c r="KV60" s="788">
        <f t="shared" si="1273"/>
        <v>3</v>
      </c>
      <c r="KW60" s="900">
        <f t="shared" si="1231"/>
        <v>2</v>
      </c>
      <c r="KX60" s="900">
        <f t="shared" si="1232"/>
        <v>2</v>
      </c>
      <c r="KY60" s="900">
        <f t="shared" si="1233"/>
        <v>2</v>
      </c>
      <c r="KZ60" s="900">
        <f t="shared" si="1234"/>
        <v>3</v>
      </c>
      <c r="LA60" s="900">
        <f t="shared" si="1235"/>
        <v>2</v>
      </c>
      <c r="LB60" s="900">
        <f t="shared" si="1236"/>
        <v>2</v>
      </c>
      <c r="LC60" s="900">
        <f t="shared" si="1237"/>
        <v>2</v>
      </c>
      <c r="LD60" s="900">
        <f t="shared" si="1274"/>
        <v>2</v>
      </c>
      <c r="LE60" s="900">
        <f t="shared" si="1274"/>
        <v>2</v>
      </c>
      <c r="LF60" s="900">
        <f t="shared" si="1274"/>
        <v>3</v>
      </c>
      <c r="LG60" s="900">
        <f t="shared" si="1238"/>
        <v>2</v>
      </c>
      <c r="LH60" s="900">
        <f t="shared" si="1275"/>
        <v>2</v>
      </c>
      <c r="LI60" s="959">
        <f t="shared" si="1239"/>
        <v>3</v>
      </c>
      <c r="LJ60" s="959">
        <f t="shared" si="1240"/>
        <v>3</v>
      </c>
      <c r="LK60" s="959">
        <f t="shared" si="1241"/>
        <v>3</v>
      </c>
      <c r="LL60" s="959">
        <f t="shared" si="1242"/>
        <v>3</v>
      </c>
      <c r="LM60" s="959">
        <f t="shared" si="1243"/>
        <v>2</v>
      </c>
      <c r="LN60" s="959">
        <f t="shared" si="1276"/>
        <v>2</v>
      </c>
      <c r="LO60" s="959">
        <f t="shared" si="1244"/>
        <v>2</v>
      </c>
      <c r="LP60" s="959">
        <f t="shared" si="1245"/>
        <v>2</v>
      </c>
      <c r="LQ60" s="959">
        <f t="shared" si="1246"/>
        <v>2</v>
      </c>
      <c r="LR60" s="959">
        <f t="shared" si="1247"/>
        <v>2</v>
      </c>
      <c r="LS60" s="959">
        <f t="shared" si="1248"/>
        <v>2</v>
      </c>
      <c r="LT60" s="959">
        <f t="shared" si="1249"/>
        <v>2</v>
      </c>
      <c r="LU60" s="1155">
        <f t="shared" si="1250"/>
        <v>2</v>
      </c>
      <c r="LV60" s="1155">
        <f t="shared" si="1251"/>
        <v>2</v>
      </c>
      <c r="LW60" s="1155">
        <f t="shared" si="1252"/>
        <v>3</v>
      </c>
      <c r="LX60" s="1155">
        <f t="shared" si="1253"/>
        <v>2</v>
      </c>
      <c r="LY60" s="1155">
        <f t="shared" si="1254"/>
        <v>2</v>
      </c>
      <c r="LZ60" s="1155">
        <f t="shared" si="1255"/>
        <v>2</v>
      </c>
      <c r="MA60" s="1155">
        <f t="shared" si="1277"/>
        <v>2</v>
      </c>
      <c r="MB60" s="1155">
        <f t="shared" si="1277"/>
        <v>2</v>
      </c>
      <c r="MC60" s="1155">
        <f t="shared" si="1277"/>
        <v>3</v>
      </c>
      <c r="MD60" s="1155">
        <f t="shared" si="1277"/>
        <v>2</v>
      </c>
      <c r="ME60" s="1155">
        <f t="shared" si="1277"/>
        <v>0</v>
      </c>
      <c r="MF60" s="1155">
        <f t="shared" si="1277"/>
        <v>0</v>
      </c>
      <c r="MG60" s="1177">
        <f t="shared" si="1256"/>
        <v>0</v>
      </c>
      <c r="MH60" s="1177">
        <f t="shared" si="1257"/>
        <v>0</v>
      </c>
      <c r="MI60" s="1177">
        <f t="shared" si="1258"/>
        <v>0</v>
      </c>
      <c r="MJ60" s="1177">
        <f t="shared" si="1259"/>
        <v>0</v>
      </c>
      <c r="MK60" s="1177">
        <f t="shared" si="1278"/>
        <v>0</v>
      </c>
      <c r="ML60" s="1177">
        <f t="shared" si="1278"/>
        <v>0</v>
      </c>
      <c r="MM60" s="1177">
        <f t="shared" si="1278"/>
        <v>0</v>
      </c>
      <c r="MN60" s="1177">
        <f t="shared" si="1278"/>
        <v>0</v>
      </c>
      <c r="MO60" s="1177">
        <f t="shared" si="1278"/>
        <v>0</v>
      </c>
      <c r="MP60" s="1177">
        <f t="shared" si="1278"/>
        <v>0</v>
      </c>
      <c r="MQ60" s="1177">
        <f t="shared" si="1279"/>
        <v>0</v>
      </c>
      <c r="MR60" s="1177">
        <f t="shared" si="1279"/>
        <v>0</v>
      </c>
    </row>
    <row r="61" spans="1:356" s="2" customFormat="1" x14ac:dyDescent="0.25">
      <c r="A61" s="764"/>
      <c r="B61" s="874">
        <v>8.1</v>
      </c>
      <c r="C61" s="7"/>
      <c r="D61" s="119"/>
      <c r="E61" s="1221" t="s">
        <v>175</v>
      </c>
      <c r="F61" s="1221"/>
      <c r="G61" s="1222"/>
      <c r="H61" s="368">
        <v>1</v>
      </c>
      <c r="I61" s="70">
        <v>1</v>
      </c>
      <c r="J61" s="23">
        <v>2</v>
      </c>
      <c r="K61" s="70">
        <v>0</v>
      </c>
      <c r="L61" s="23">
        <v>1</v>
      </c>
      <c r="M61" s="70">
        <v>0</v>
      </c>
      <c r="N61" s="23">
        <v>1</v>
      </c>
      <c r="O61" s="70">
        <v>1</v>
      </c>
      <c r="P61" s="23">
        <v>1</v>
      </c>
      <c r="Q61" s="70">
        <v>1</v>
      </c>
      <c r="R61" s="23">
        <v>0</v>
      </c>
      <c r="S61" s="70">
        <v>1</v>
      </c>
      <c r="T61" s="130">
        <v>10</v>
      </c>
      <c r="U61" s="163">
        <v>0.83333333333333337</v>
      </c>
      <c r="V61" s="368">
        <v>0</v>
      </c>
      <c r="W61" s="70">
        <v>1</v>
      </c>
      <c r="X61" s="23">
        <v>1</v>
      </c>
      <c r="Y61" s="70">
        <v>1</v>
      </c>
      <c r="Z61" s="23">
        <v>0</v>
      </c>
      <c r="AA61" s="70">
        <v>1</v>
      </c>
      <c r="AB61" s="23">
        <v>1</v>
      </c>
      <c r="AC61" s="70">
        <v>1</v>
      </c>
      <c r="AD61" s="23">
        <v>1</v>
      </c>
      <c r="AE61" s="70">
        <v>1</v>
      </c>
      <c r="AF61" s="23">
        <v>2</v>
      </c>
      <c r="AG61" s="70">
        <v>0</v>
      </c>
      <c r="AH61" s="130">
        <v>10</v>
      </c>
      <c r="AI61" s="163">
        <v>0.83333333333333337</v>
      </c>
      <c r="AJ61" s="368">
        <v>1</v>
      </c>
      <c r="AK61" s="70">
        <v>1</v>
      </c>
      <c r="AL61" s="23">
        <v>1</v>
      </c>
      <c r="AM61" s="70">
        <v>2</v>
      </c>
      <c r="AN61" s="23">
        <v>0</v>
      </c>
      <c r="AO61" s="70">
        <v>1</v>
      </c>
      <c r="AP61" s="625">
        <v>1</v>
      </c>
      <c r="AQ61" s="70">
        <v>1</v>
      </c>
      <c r="AR61" s="625">
        <v>1</v>
      </c>
      <c r="AS61" s="70">
        <v>1</v>
      </c>
      <c r="AT61" s="625">
        <v>1</v>
      </c>
      <c r="AU61" s="70">
        <v>2</v>
      </c>
      <c r="AV61" s="130">
        <f t="shared" si="1087"/>
        <v>13</v>
      </c>
      <c r="AW61" s="163">
        <f t="shared" si="1088"/>
        <v>1.0833333333333333</v>
      </c>
      <c r="AX61" s="368">
        <v>1</v>
      </c>
      <c r="AY61" s="70">
        <v>1</v>
      </c>
      <c r="AZ61" s="23">
        <v>1</v>
      </c>
      <c r="BA61" s="70">
        <v>2</v>
      </c>
      <c r="BB61" s="23">
        <v>1</v>
      </c>
      <c r="BC61" s="70">
        <v>0</v>
      </c>
      <c r="BD61" s="625">
        <v>0</v>
      </c>
      <c r="BE61" s="70">
        <v>1</v>
      </c>
      <c r="BF61" s="625">
        <v>1</v>
      </c>
      <c r="BG61" s="70">
        <v>1</v>
      </c>
      <c r="BH61" s="625">
        <v>1</v>
      </c>
      <c r="BI61" s="70">
        <v>2</v>
      </c>
      <c r="BJ61" s="130">
        <f t="shared" si="1091"/>
        <v>12</v>
      </c>
      <c r="BK61" s="163">
        <f t="shared" si="1092"/>
        <v>1</v>
      </c>
      <c r="BL61" s="368">
        <v>1</v>
      </c>
      <c r="BM61" s="70">
        <v>1</v>
      </c>
      <c r="BN61" s="23">
        <v>1</v>
      </c>
      <c r="BO61" s="70">
        <v>1</v>
      </c>
      <c r="BP61" s="23">
        <v>1</v>
      </c>
      <c r="BQ61" s="70">
        <v>0</v>
      </c>
      <c r="BR61" s="625">
        <v>0</v>
      </c>
      <c r="BS61" s="70">
        <v>1</v>
      </c>
      <c r="BT61" s="625">
        <v>2</v>
      </c>
      <c r="BU61" s="625">
        <v>0</v>
      </c>
      <c r="BV61" s="625">
        <v>0</v>
      </c>
      <c r="BW61" s="625">
        <v>0</v>
      </c>
      <c r="BX61" s="130">
        <f t="shared" si="1099"/>
        <v>8</v>
      </c>
      <c r="BY61" s="163">
        <f t="shared" si="1100"/>
        <v>0.66666666666666663</v>
      </c>
      <c r="BZ61" s="625">
        <v>0</v>
      </c>
      <c r="CA61" s="70">
        <v>1</v>
      </c>
      <c r="CB61" s="23">
        <v>0</v>
      </c>
      <c r="CC61" s="950">
        <v>0</v>
      </c>
      <c r="CD61" s="23">
        <v>1</v>
      </c>
      <c r="CE61" s="950">
        <v>0</v>
      </c>
      <c r="CF61" s="952">
        <v>0</v>
      </c>
      <c r="CG61" s="950">
        <v>0</v>
      </c>
      <c r="CH61" s="952">
        <v>2</v>
      </c>
      <c r="CI61" s="952">
        <v>3</v>
      </c>
      <c r="CJ61" s="952">
        <v>1</v>
      </c>
      <c r="CK61" s="952">
        <v>1</v>
      </c>
      <c r="CL61" s="953">
        <f t="shared" si="1107"/>
        <v>9</v>
      </c>
      <c r="CM61" s="163">
        <f t="shared" si="1108"/>
        <v>0.75</v>
      </c>
      <c r="CN61" s="625">
        <v>2</v>
      </c>
      <c r="CO61" s="70">
        <v>1</v>
      </c>
      <c r="CP61" s="23">
        <v>1</v>
      </c>
      <c r="CQ61" s="950">
        <v>2</v>
      </c>
      <c r="CR61" s="1013">
        <v>0</v>
      </c>
      <c r="CS61" s="1014">
        <v>1</v>
      </c>
      <c r="CT61" s="1015">
        <v>0</v>
      </c>
      <c r="CU61" s="1014">
        <v>1</v>
      </c>
      <c r="CV61" s="1111">
        <v>0</v>
      </c>
      <c r="CW61" s="1112">
        <v>2</v>
      </c>
      <c r="CX61" s="1111">
        <v>0</v>
      </c>
      <c r="CY61" s="1113">
        <v>0</v>
      </c>
      <c r="CZ61" s="1109">
        <f t="shared" si="1115"/>
        <v>10</v>
      </c>
      <c r="DA61" s="1110">
        <f t="shared" si="1116"/>
        <v>0.83333333333333337</v>
      </c>
      <c r="DB61" s="1015">
        <v>1</v>
      </c>
      <c r="DC61" s="1014">
        <v>2</v>
      </c>
      <c r="DD61" s="1013">
        <v>0</v>
      </c>
      <c r="DE61" s="1014">
        <v>0</v>
      </c>
      <c r="DF61" s="1013">
        <v>2</v>
      </c>
      <c r="DG61" s="1014">
        <v>0</v>
      </c>
      <c r="DH61" s="1015">
        <v>1</v>
      </c>
      <c r="DI61" s="1014">
        <v>1</v>
      </c>
      <c r="DJ61" s="1015">
        <v>0</v>
      </c>
      <c r="DK61" s="1014">
        <v>0</v>
      </c>
      <c r="DL61" s="1015"/>
      <c r="DM61" s="1014"/>
      <c r="DN61" s="1016">
        <f t="shared" si="1122"/>
        <v>7</v>
      </c>
      <c r="DO61" s="163">
        <f t="shared" si="1123"/>
        <v>0.7</v>
      </c>
      <c r="DP61" s="1015"/>
      <c r="DQ61" s="1014"/>
      <c r="DR61" s="1013"/>
      <c r="DS61" s="1014"/>
      <c r="DT61" s="1013"/>
      <c r="DU61" s="1014"/>
      <c r="DV61" s="1015"/>
      <c r="DW61" s="1014"/>
      <c r="DX61" s="1015"/>
      <c r="DY61" s="1014"/>
      <c r="DZ61" s="1015"/>
      <c r="EA61" s="1014"/>
      <c r="EB61" s="1016">
        <f t="shared" si="1124"/>
        <v>0</v>
      </c>
      <c r="EC61" s="163" t="e">
        <f t="shared" si="1125"/>
        <v>#DIV/0!</v>
      </c>
      <c r="ED61" s="674">
        <f t="shared" si="1197"/>
        <v>-1</v>
      </c>
      <c r="EE61" s="663">
        <f t="shared" si="1260"/>
        <v>-0.5</v>
      </c>
      <c r="EF61" s="674">
        <f t="shared" si="1198"/>
        <v>0</v>
      </c>
      <c r="EG61" s="663">
        <f t="shared" si="1199"/>
        <v>0</v>
      </c>
      <c r="EH61" s="674">
        <f t="shared" si="1200"/>
        <v>0</v>
      </c>
      <c r="EI61" s="663">
        <f t="shared" si="1201"/>
        <v>0</v>
      </c>
      <c r="EJ61" s="674">
        <f t="shared" si="1202"/>
        <v>1</v>
      </c>
      <c r="EK61" s="663">
        <f t="shared" si="1203"/>
        <v>1</v>
      </c>
      <c r="EL61" s="674">
        <f t="shared" si="1204"/>
        <v>-1</v>
      </c>
      <c r="EM61" s="663">
        <f>EL61/BA61</f>
        <v>-0.5</v>
      </c>
      <c r="EN61" s="674">
        <f t="shared" si="1205"/>
        <v>-1</v>
      </c>
      <c r="EO61" s="663">
        <f t="shared" si="1280"/>
        <v>-1</v>
      </c>
      <c r="EP61" s="674">
        <f t="shared" si="1206"/>
        <v>0</v>
      </c>
      <c r="EQ61" s="750">
        <v>0</v>
      </c>
      <c r="ER61" s="674">
        <f t="shared" si="1207"/>
        <v>1</v>
      </c>
      <c r="ES61" s="663">
        <v>1</v>
      </c>
      <c r="ET61" s="674">
        <f t="shared" si="1208"/>
        <v>0</v>
      </c>
      <c r="EU61" s="663">
        <f t="shared" si="1209"/>
        <v>0</v>
      </c>
      <c r="EV61" s="674">
        <f t="shared" si="1210"/>
        <v>0</v>
      </c>
      <c r="EW61" s="109">
        <f t="shared" si="1211"/>
        <v>0</v>
      </c>
      <c r="EX61" s="674">
        <f t="shared" si="1212"/>
        <v>0</v>
      </c>
      <c r="EY61" s="663">
        <f t="shared" si="1213"/>
        <v>0</v>
      </c>
      <c r="EZ61" s="674">
        <f t="shared" si="1214"/>
        <v>1</v>
      </c>
      <c r="FA61" s="663">
        <f>EZ61/BH61</f>
        <v>1</v>
      </c>
      <c r="FB61" s="674">
        <f t="shared" si="1215"/>
        <v>-1</v>
      </c>
      <c r="FC61" s="663">
        <f t="shared" si="1216"/>
        <v>-0.5</v>
      </c>
      <c r="FD61" s="324">
        <f t="shared" si="1217"/>
        <v>0</v>
      </c>
      <c r="FE61" s="402">
        <f t="shared" si="1218"/>
        <v>0</v>
      </c>
      <c r="FF61" s="324">
        <f t="shared" si="1219"/>
        <v>0</v>
      </c>
      <c r="FG61" s="402">
        <f t="shared" si="1220"/>
        <v>0</v>
      </c>
      <c r="FH61" s="324">
        <f t="shared" si="1221"/>
        <v>0</v>
      </c>
      <c r="FI61" s="402">
        <f t="shared" si="1222"/>
        <v>0</v>
      </c>
      <c r="FJ61" s="324">
        <f t="shared" si="1223"/>
        <v>0</v>
      </c>
      <c r="FK61" s="402">
        <f t="shared" si="1261"/>
        <v>0</v>
      </c>
      <c r="FL61" s="324">
        <f t="shared" si="1126"/>
        <v>-1</v>
      </c>
      <c r="FM61" s="402">
        <f t="shared" si="1224"/>
        <v>-1</v>
      </c>
      <c r="FN61" s="324">
        <f t="shared" si="1127"/>
        <v>0</v>
      </c>
      <c r="FO61" s="402">
        <v>0</v>
      </c>
      <c r="FP61" s="324">
        <f t="shared" si="1128"/>
        <v>1</v>
      </c>
      <c r="FQ61" s="402">
        <v>1</v>
      </c>
      <c r="FR61" s="324">
        <f t="shared" si="1129"/>
        <v>1</v>
      </c>
      <c r="FS61" s="402">
        <f t="shared" si="1225"/>
        <v>1</v>
      </c>
      <c r="FT61" s="324">
        <f t="shared" si="1130"/>
        <v>-2</v>
      </c>
      <c r="FU61" s="402">
        <f t="shared" si="1262"/>
        <v>-1</v>
      </c>
      <c r="FV61" s="324">
        <f t="shared" si="1131"/>
        <v>0</v>
      </c>
      <c r="FW61" s="402">
        <v>0</v>
      </c>
      <c r="FX61" s="324">
        <f t="shared" si="1133"/>
        <v>0</v>
      </c>
      <c r="FY61" s="402">
        <v>0</v>
      </c>
      <c r="FZ61" s="324">
        <f t="shared" si="1134"/>
        <v>0</v>
      </c>
      <c r="GA61" s="402">
        <v>0</v>
      </c>
      <c r="GB61" s="324">
        <f t="shared" si="1135"/>
        <v>1</v>
      </c>
      <c r="GC61" s="402">
        <v>0</v>
      </c>
      <c r="GD61" s="324">
        <f t="shared" si="1136"/>
        <v>-1</v>
      </c>
      <c r="GE61" s="402">
        <f t="shared" si="1263"/>
        <v>-1</v>
      </c>
      <c r="GF61" s="324">
        <f t="shared" si="1137"/>
        <v>0</v>
      </c>
      <c r="GG61" s="402">
        <v>0</v>
      </c>
      <c r="GH61" s="324">
        <f t="shared" si="1138"/>
        <v>1</v>
      </c>
      <c r="GI61" s="402">
        <v>1</v>
      </c>
      <c r="GJ61" s="324">
        <f t="shared" si="1139"/>
        <v>-1</v>
      </c>
      <c r="GK61" s="402">
        <f t="shared" si="1194"/>
        <v>-1</v>
      </c>
      <c r="GL61" s="324">
        <f t="shared" si="1140"/>
        <v>0</v>
      </c>
      <c r="GM61" s="402">
        <v>0</v>
      </c>
      <c r="GN61" s="324">
        <f t="shared" si="1141"/>
        <v>0</v>
      </c>
      <c r="GO61" s="402">
        <v>0</v>
      </c>
      <c r="GP61" s="324">
        <f t="shared" si="1142"/>
        <v>2</v>
      </c>
      <c r="GQ61" s="402">
        <v>0</v>
      </c>
      <c r="GR61" s="324">
        <f t="shared" si="1143"/>
        <v>1</v>
      </c>
      <c r="GS61" s="402">
        <f t="shared" si="1144"/>
        <v>0.5</v>
      </c>
      <c r="GT61" s="324">
        <f t="shared" si="1145"/>
        <v>-2</v>
      </c>
      <c r="GU61" s="402">
        <f t="shared" si="1264"/>
        <v>-0.66666666666666663</v>
      </c>
      <c r="GV61" s="324">
        <f t="shared" si="1146"/>
        <v>0</v>
      </c>
      <c r="GW61" s="402">
        <f t="shared" si="1147"/>
        <v>0</v>
      </c>
      <c r="GX61" s="324">
        <f t="shared" si="1148"/>
        <v>1</v>
      </c>
      <c r="GY61" s="402">
        <f t="shared" si="1265"/>
        <v>1</v>
      </c>
      <c r="GZ61" s="324">
        <f t="shared" si="1149"/>
        <v>-1</v>
      </c>
      <c r="HA61" s="402">
        <f>GZ61/CN61</f>
        <v>-0.5</v>
      </c>
      <c r="HB61" s="324">
        <f t="shared" si="1150"/>
        <v>0</v>
      </c>
      <c r="HC61" s="402">
        <f t="shared" si="1266"/>
        <v>0</v>
      </c>
      <c r="HD61" s="324">
        <f t="shared" si="1151"/>
        <v>1</v>
      </c>
      <c r="HE61" s="402">
        <f>HD61/CP61</f>
        <v>1</v>
      </c>
      <c r="HF61" s="324">
        <f t="shared" si="1152"/>
        <v>-2</v>
      </c>
      <c r="HG61" s="402">
        <f t="shared" si="1267"/>
        <v>-1</v>
      </c>
      <c r="HH61" s="324">
        <f t="shared" si="1153"/>
        <v>1</v>
      </c>
      <c r="HI61" s="402">
        <v>0</v>
      </c>
      <c r="HJ61" s="324">
        <f t="shared" si="1154"/>
        <v>-1</v>
      </c>
      <c r="HK61" s="402">
        <f>HJ61/CS61</f>
        <v>-1</v>
      </c>
      <c r="HL61" s="324">
        <f t="shared" si="1155"/>
        <v>1</v>
      </c>
      <c r="HM61" s="402">
        <v>0</v>
      </c>
      <c r="HN61" s="324">
        <f t="shared" si="1156"/>
        <v>-1</v>
      </c>
      <c r="HO61" s="402">
        <f t="shared" si="1196"/>
        <v>-1</v>
      </c>
      <c r="HP61" s="324">
        <f t="shared" si="1157"/>
        <v>2</v>
      </c>
      <c r="HQ61" s="402">
        <v>0</v>
      </c>
      <c r="HR61" s="324">
        <f t="shared" si="1158"/>
        <v>-2</v>
      </c>
      <c r="HS61" s="402">
        <f t="shared" si="1268"/>
        <v>-1</v>
      </c>
      <c r="HT61" s="324">
        <f t="shared" si="1159"/>
        <v>0</v>
      </c>
      <c r="HU61" s="402">
        <v>0</v>
      </c>
      <c r="HV61" s="324">
        <f t="shared" si="1160"/>
        <v>1</v>
      </c>
      <c r="HW61" s="402">
        <v>0</v>
      </c>
      <c r="HX61" s="324">
        <f t="shared" si="1161"/>
        <v>1</v>
      </c>
      <c r="HY61" s="402">
        <f>HX61/DB61</f>
        <v>1</v>
      </c>
      <c r="HZ61" s="324">
        <f t="shared" si="1162"/>
        <v>-2</v>
      </c>
      <c r="IA61" s="402">
        <v>0</v>
      </c>
      <c r="IB61" s="324">
        <f t="shared" si="1163"/>
        <v>0</v>
      </c>
      <c r="IC61" s="402">
        <v>0</v>
      </c>
      <c r="ID61" s="324">
        <f t="shared" si="1164"/>
        <v>2</v>
      </c>
      <c r="IE61" s="402">
        <f>ID61/DO61</f>
        <v>2.8571428571428572</v>
      </c>
      <c r="IF61" s="324">
        <f t="shared" si="1165"/>
        <v>-2</v>
      </c>
      <c r="IG61" s="402">
        <f t="shared" si="1166"/>
        <v>-1</v>
      </c>
      <c r="IH61" s="324">
        <f t="shared" si="1167"/>
        <v>1</v>
      </c>
      <c r="II61" s="402">
        <v>0</v>
      </c>
      <c r="IJ61" s="324">
        <f t="shared" si="1169"/>
        <v>0</v>
      </c>
      <c r="IK61" s="402">
        <f t="shared" si="1170"/>
        <v>0</v>
      </c>
      <c r="IL61" s="324">
        <f t="shared" si="1171"/>
        <v>-1</v>
      </c>
      <c r="IM61" s="402">
        <f t="shared" si="1172"/>
        <v>-1</v>
      </c>
      <c r="IN61" s="324">
        <f t="shared" si="1173"/>
        <v>0</v>
      </c>
      <c r="IO61" s="402">
        <v>0</v>
      </c>
      <c r="IP61" s="324">
        <f t="shared" si="1175"/>
        <v>0</v>
      </c>
      <c r="IQ61" s="402" t="e">
        <f t="shared" si="1176"/>
        <v>#DIV/0!</v>
      </c>
      <c r="IR61" s="324">
        <f t="shared" si="1177"/>
        <v>0</v>
      </c>
      <c r="IS61" s="402">
        <f t="shared" si="1178"/>
        <v>0</v>
      </c>
      <c r="IT61" s="952">
        <f t="shared" si="1179"/>
        <v>2</v>
      </c>
      <c r="IU61" s="1079">
        <f t="shared" si="1180"/>
        <v>0</v>
      </c>
      <c r="IV61" s="122">
        <f t="shared" si="1181"/>
        <v>-2</v>
      </c>
      <c r="IW61" s="949">
        <f t="shared" si="1182"/>
        <v>-1</v>
      </c>
      <c r="IX61" s="698"/>
      <c r="IY61" s="698"/>
      <c r="IZ61" s="698"/>
      <c r="JA61" s="2" t="str">
        <f t="shared" si="1183"/>
        <v>Workflow</v>
      </c>
      <c r="JB61" s="262" t="e">
        <f>#REF!</f>
        <v>#REF!</v>
      </c>
      <c r="JC61" s="262" t="e">
        <f>#REF!</f>
        <v>#REF!</v>
      </c>
      <c r="JD61" s="262" t="e">
        <f>#REF!</f>
        <v>#REF!</v>
      </c>
      <c r="JE61" s="262" t="e">
        <f>#REF!</f>
        <v>#REF!</v>
      </c>
      <c r="JF61" s="262" t="e">
        <f>#REF!</f>
        <v>#REF!</v>
      </c>
      <c r="JG61" s="262" t="e">
        <f>#REF!</f>
        <v>#REF!</v>
      </c>
      <c r="JH61" s="262" t="e">
        <f>#REF!</f>
        <v>#REF!</v>
      </c>
      <c r="JI61" s="262" t="e">
        <f>#REF!</f>
        <v>#REF!</v>
      </c>
      <c r="JJ61" s="262" t="e">
        <f>#REF!</f>
        <v>#REF!</v>
      </c>
      <c r="JK61" s="262" t="e">
        <f>#REF!</f>
        <v>#REF!</v>
      </c>
      <c r="JL61" s="262" t="e">
        <f>#REF!</f>
        <v>#REF!</v>
      </c>
      <c r="JM61" s="263">
        <f t="shared" si="1269"/>
        <v>1</v>
      </c>
      <c r="JN61" s="263">
        <f t="shared" si="1269"/>
        <v>1</v>
      </c>
      <c r="JO61" s="263">
        <f t="shared" si="1269"/>
        <v>1</v>
      </c>
      <c r="JP61" s="263">
        <f t="shared" si="1269"/>
        <v>2</v>
      </c>
      <c r="JQ61" s="263">
        <f t="shared" si="1269"/>
        <v>0</v>
      </c>
      <c r="JR61" s="263">
        <f t="shared" si="1269"/>
        <v>1</v>
      </c>
      <c r="JS61" s="263">
        <f t="shared" si="1269"/>
        <v>1</v>
      </c>
      <c r="JT61" s="263">
        <f t="shared" si="1269"/>
        <v>1</v>
      </c>
      <c r="JU61" s="263">
        <f t="shared" si="1269"/>
        <v>1</v>
      </c>
      <c r="JV61" s="263">
        <f t="shared" si="1269"/>
        <v>1</v>
      </c>
      <c r="JW61" s="263">
        <f t="shared" si="1269"/>
        <v>1</v>
      </c>
      <c r="JX61" s="263">
        <f t="shared" si="1269"/>
        <v>2</v>
      </c>
      <c r="JY61" s="263">
        <f t="shared" si="1270"/>
        <v>1</v>
      </c>
      <c r="JZ61" s="263">
        <f t="shared" si="1270"/>
        <v>1</v>
      </c>
      <c r="KA61" s="263">
        <f t="shared" si="1270"/>
        <v>1</v>
      </c>
      <c r="KB61" s="263">
        <f t="shared" si="1270"/>
        <v>2</v>
      </c>
      <c r="KC61" s="263">
        <f t="shared" si="1270"/>
        <v>1</v>
      </c>
      <c r="KD61" s="263">
        <f t="shared" si="1270"/>
        <v>0</v>
      </c>
      <c r="KE61" s="263">
        <f t="shared" si="1270"/>
        <v>0</v>
      </c>
      <c r="KF61" s="263">
        <f t="shared" si="1270"/>
        <v>1</v>
      </c>
      <c r="KG61" s="263">
        <f t="shared" si="1270"/>
        <v>1</v>
      </c>
      <c r="KH61" s="263">
        <f t="shared" si="1270"/>
        <v>1</v>
      </c>
      <c r="KI61" s="263">
        <f t="shared" si="1270"/>
        <v>1</v>
      </c>
      <c r="KJ61" s="263">
        <f t="shared" si="1270"/>
        <v>2</v>
      </c>
      <c r="KK61" s="788">
        <f t="shared" si="1271"/>
        <v>1</v>
      </c>
      <c r="KL61" s="788">
        <f t="shared" si="1271"/>
        <v>1</v>
      </c>
      <c r="KM61" s="788">
        <f t="shared" si="1271"/>
        <v>1</v>
      </c>
      <c r="KN61" s="788">
        <f t="shared" si="1271"/>
        <v>1</v>
      </c>
      <c r="KO61" s="788">
        <f t="shared" si="1271"/>
        <v>1</v>
      </c>
      <c r="KP61" s="788">
        <f t="shared" si="1226"/>
        <v>0</v>
      </c>
      <c r="KQ61" s="788">
        <f t="shared" si="1227"/>
        <v>0</v>
      </c>
      <c r="KR61" s="788">
        <f t="shared" si="1228"/>
        <v>1</v>
      </c>
      <c r="KS61" s="788">
        <f t="shared" si="1229"/>
        <v>2</v>
      </c>
      <c r="KT61" s="788">
        <f t="shared" si="1272"/>
        <v>0</v>
      </c>
      <c r="KU61" s="788">
        <f t="shared" si="1230"/>
        <v>0</v>
      </c>
      <c r="KV61" s="788">
        <f t="shared" si="1273"/>
        <v>0</v>
      </c>
      <c r="KW61" s="900">
        <f t="shared" si="1231"/>
        <v>0</v>
      </c>
      <c r="KX61" s="900">
        <f t="shared" si="1232"/>
        <v>1</v>
      </c>
      <c r="KY61" s="900">
        <f t="shared" si="1233"/>
        <v>0</v>
      </c>
      <c r="KZ61" s="900">
        <f t="shared" si="1234"/>
        <v>0</v>
      </c>
      <c r="LA61" s="900">
        <f t="shared" si="1235"/>
        <v>1</v>
      </c>
      <c r="LB61" s="900">
        <f t="shared" si="1236"/>
        <v>0</v>
      </c>
      <c r="LC61" s="900">
        <f t="shared" si="1237"/>
        <v>0</v>
      </c>
      <c r="LD61" s="900">
        <f t="shared" si="1274"/>
        <v>0</v>
      </c>
      <c r="LE61" s="900">
        <f t="shared" si="1274"/>
        <v>2</v>
      </c>
      <c r="LF61" s="900">
        <f t="shared" si="1274"/>
        <v>3</v>
      </c>
      <c r="LG61" s="900">
        <f t="shared" si="1238"/>
        <v>1</v>
      </c>
      <c r="LH61" s="900">
        <f t="shared" si="1275"/>
        <v>1</v>
      </c>
      <c r="LI61" s="959">
        <f t="shared" si="1239"/>
        <v>2</v>
      </c>
      <c r="LJ61" s="959">
        <f t="shared" si="1240"/>
        <v>1</v>
      </c>
      <c r="LK61" s="959">
        <f t="shared" si="1241"/>
        <v>1</v>
      </c>
      <c r="LL61" s="959">
        <f t="shared" si="1242"/>
        <v>2</v>
      </c>
      <c r="LM61" s="959">
        <f t="shared" si="1243"/>
        <v>0</v>
      </c>
      <c r="LN61" s="959">
        <f t="shared" si="1276"/>
        <v>1</v>
      </c>
      <c r="LO61" s="959">
        <f t="shared" si="1244"/>
        <v>0</v>
      </c>
      <c r="LP61" s="959">
        <f t="shared" si="1245"/>
        <v>1</v>
      </c>
      <c r="LQ61" s="959">
        <f t="shared" si="1246"/>
        <v>0</v>
      </c>
      <c r="LR61" s="959">
        <f t="shared" si="1247"/>
        <v>2</v>
      </c>
      <c r="LS61" s="959">
        <f t="shared" si="1248"/>
        <v>0</v>
      </c>
      <c r="LT61" s="959">
        <f t="shared" si="1249"/>
        <v>0</v>
      </c>
      <c r="LU61" s="1155">
        <f t="shared" si="1250"/>
        <v>1</v>
      </c>
      <c r="LV61" s="1155">
        <f t="shared" si="1251"/>
        <v>2</v>
      </c>
      <c r="LW61" s="1155">
        <f t="shared" si="1252"/>
        <v>0</v>
      </c>
      <c r="LX61" s="1155">
        <f t="shared" si="1253"/>
        <v>0</v>
      </c>
      <c r="LY61" s="1155">
        <f t="shared" si="1254"/>
        <v>2</v>
      </c>
      <c r="LZ61" s="1155">
        <f t="shared" si="1255"/>
        <v>0</v>
      </c>
      <c r="MA61" s="1155">
        <f t="shared" si="1277"/>
        <v>1</v>
      </c>
      <c r="MB61" s="1155">
        <f t="shared" si="1277"/>
        <v>1</v>
      </c>
      <c r="MC61" s="1155">
        <f t="shared" si="1277"/>
        <v>0</v>
      </c>
      <c r="MD61" s="1155">
        <f t="shared" si="1277"/>
        <v>0</v>
      </c>
      <c r="ME61" s="1155">
        <f t="shared" si="1277"/>
        <v>0</v>
      </c>
      <c r="MF61" s="1155">
        <f t="shared" si="1277"/>
        <v>0</v>
      </c>
      <c r="MG61" s="1177">
        <f t="shared" si="1256"/>
        <v>0</v>
      </c>
      <c r="MH61" s="1177">
        <f t="shared" si="1257"/>
        <v>0</v>
      </c>
      <c r="MI61" s="1177">
        <f t="shared" si="1258"/>
        <v>0</v>
      </c>
      <c r="MJ61" s="1177">
        <f t="shared" si="1259"/>
        <v>0</v>
      </c>
      <c r="MK61" s="1177">
        <f t="shared" si="1278"/>
        <v>0</v>
      </c>
      <c r="ML61" s="1177">
        <f t="shared" si="1278"/>
        <v>0</v>
      </c>
      <c r="MM61" s="1177">
        <f t="shared" si="1278"/>
        <v>0</v>
      </c>
      <c r="MN61" s="1177">
        <f t="shared" si="1278"/>
        <v>0</v>
      </c>
      <c r="MO61" s="1177">
        <f t="shared" si="1278"/>
        <v>0</v>
      </c>
      <c r="MP61" s="1177">
        <f t="shared" si="1278"/>
        <v>0</v>
      </c>
      <c r="MQ61" s="1177">
        <f t="shared" si="1279"/>
        <v>0</v>
      </c>
      <c r="MR61" s="1177">
        <f t="shared" si="1279"/>
        <v>0</v>
      </c>
    </row>
    <row r="62" spans="1:356" x14ac:dyDescent="0.25">
      <c r="A62" s="764"/>
      <c r="B62" s="874">
        <v>8.11</v>
      </c>
      <c r="C62" s="7"/>
      <c r="D62" s="119"/>
      <c r="E62" s="1221" t="s">
        <v>116</v>
      </c>
      <c r="F62" s="1221"/>
      <c r="G62" s="1222"/>
      <c r="H62" s="368">
        <v>29</v>
      </c>
      <c r="I62" s="70">
        <v>34</v>
      </c>
      <c r="J62" s="23">
        <v>42</v>
      </c>
      <c r="K62" s="70">
        <v>42</v>
      </c>
      <c r="L62" s="23">
        <v>37</v>
      </c>
      <c r="M62" s="70">
        <v>23</v>
      </c>
      <c r="N62" s="23">
        <v>35</v>
      </c>
      <c r="O62" s="70">
        <v>43</v>
      </c>
      <c r="P62" s="23">
        <v>57</v>
      </c>
      <c r="Q62" s="70">
        <v>46</v>
      </c>
      <c r="R62" s="23">
        <v>28</v>
      </c>
      <c r="S62" s="70">
        <v>20</v>
      </c>
      <c r="T62" s="130">
        <v>436</v>
      </c>
      <c r="U62" s="163">
        <v>36.333333333333336</v>
      </c>
      <c r="V62" s="368">
        <v>27</v>
      </c>
      <c r="W62" s="70">
        <v>30</v>
      </c>
      <c r="X62" s="23">
        <v>35</v>
      </c>
      <c r="Y62" s="70">
        <v>25</v>
      </c>
      <c r="Z62" s="23">
        <v>20</v>
      </c>
      <c r="AA62" s="70">
        <v>20</v>
      </c>
      <c r="AB62" s="23">
        <v>18</v>
      </c>
      <c r="AC62" s="70">
        <v>1</v>
      </c>
      <c r="AD62" s="23">
        <v>5</v>
      </c>
      <c r="AE62" s="70">
        <v>8</v>
      </c>
      <c r="AF62" s="23">
        <v>5</v>
      </c>
      <c r="AG62" s="70">
        <v>11</v>
      </c>
      <c r="AH62" s="130">
        <v>205</v>
      </c>
      <c r="AI62" s="163">
        <v>17.083333333333332</v>
      </c>
      <c r="AJ62" s="368">
        <v>9</v>
      </c>
      <c r="AK62" s="70">
        <v>8</v>
      </c>
      <c r="AL62" s="23">
        <v>3</v>
      </c>
      <c r="AM62" s="70">
        <v>10</v>
      </c>
      <c r="AN62" s="23">
        <v>7</v>
      </c>
      <c r="AO62" s="70">
        <v>5</v>
      </c>
      <c r="AP62" s="625">
        <v>10</v>
      </c>
      <c r="AQ62" s="70">
        <v>6</v>
      </c>
      <c r="AR62" s="625">
        <v>17</v>
      </c>
      <c r="AS62" s="70">
        <v>24</v>
      </c>
      <c r="AT62" s="625">
        <v>8</v>
      </c>
      <c r="AU62" s="70">
        <v>8</v>
      </c>
      <c r="AV62" s="130">
        <f t="shared" si="1087"/>
        <v>115</v>
      </c>
      <c r="AW62" s="163">
        <f t="shared" si="1088"/>
        <v>9.5833333333333339</v>
      </c>
      <c r="AX62" s="368">
        <v>0</v>
      </c>
      <c r="AY62" s="70">
        <v>5</v>
      </c>
      <c r="AZ62" s="23">
        <v>3</v>
      </c>
      <c r="BA62" s="70">
        <v>1</v>
      </c>
      <c r="BB62" s="23">
        <v>1</v>
      </c>
      <c r="BC62" s="70">
        <v>3</v>
      </c>
      <c r="BD62" s="625">
        <v>1</v>
      </c>
      <c r="BE62" s="70">
        <v>4</v>
      </c>
      <c r="BF62" s="625">
        <v>2</v>
      </c>
      <c r="BG62" s="70">
        <v>3</v>
      </c>
      <c r="BH62" s="625">
        <v>2</v>
      </c>
      <c r="BI62" s="70">
        <v>1</v>
      </c>
      <c r="BJ62" s="130">
        <f t="shared" si="1091"/>
        <v>26</v>
      </c>
      <c r="BK62" s="163">
        <f t="shared" si="1092"/>
        <v>2.1666666666666665</v>
      </c>
      <c r="BL62" s="368">
        <v>2</v>
      </c>
      <c r="BM62" s="70">
        <v>2</v>
      </c>
      <c r="BN62" s="23">
        <v>3</v>
      </c>
      <c r="BO62" s="70">
        <v>3</v>
      </c>
      <c r="BP62" s="23">
        <v>2</v>
      </c>
      <c r="BQ62" s="70">
        <v>2</v>
      </c>
      <c r="BR62" s="625">
        <v>2</v>
      </c>
      <c r="BS62" s="70">
        <v>8</v>
      </c>
      <c r="BT62" s="625">
        <v>3</v>
      </c>
      <c r="BU62" s="625">
        <v>2</v>
      </c>
      <c r="BV62" s="625">
        <v>4</v>
      </c>
      <c r="BW62" s="625">
        <v>2</v>
      </c>
      <c r="BX62" s="130">
        <f t="shared" si="1099"/>
        <v>35</v>
      </c>
      <c r="BY62" s="163">
        <f t="shared" si="1100"/>
        <v>2.9166666666666665</v>
      </c>
      <c r="BZ62" s="625">
        <v>12</v>
      </c>
      <c r="CA62" s="70">
        <f>3+2</f>
        <v>5</v>
      </c>
      <c r="CB62" s="23">
        <v>3</v>
      </c>
      <c r="CC62" s="70">
        <v>2</v>
      </c>
      <c r="CD62" s="23">
        <v>2</v>
      </c>
      <c r="CE62" s="950">
        <v>4</v>
      </c>
      <c r="CF62" s="952">
        <v>2</v>
      </c>
      <c r="CG62" s="950">
        <v>4</v>
      </c>
      <c r="CH62" s="952">
        <v>2</v>
      </c>
      <c r="CI62" s="952">
        <v>2</v>
      </c>
      <c r="CJ62" s="952">
        <v>4</v>
      </c>
      <c r="CK62" s="952">
        <v>1</v>
      </c>
      <c r="CL62" s="953">
        <f t="shared" si="1107"/>
        <v>43</v>
      </c>
      <c r="CM62" s="163">
        <f t="shared" si="1108"/>
        <v>3.5833333333333335</v>
      </c>
      <c r="CN62" s="625">
        <v>2</v>
      </c>
      <c r="CO62" s="70">
        <v>3</v>
      </c>
      <c r="CP62" s="23">
        <v>2</v>
      </c>
      <c r="CQ62" s="70">
        <v>2</v>
      </c>
      <c r="CR62" s="1013">
        <v>1</v>
      </c>
      <c r="CS62" s="1014">
        <v>0</v>
      </c>
      <c r="CT62" s="1015">
        <v>2</v>
      </c>
      <c r="CU62" s="1014">
        <v>4</v>
      </c>
      <c r="CV62" s="1111">
        <v>2</v>
      </c>
      <c r="CW62" s="1112">
        <v>2</v>
      </c>
      <c r="CX62" s="1111">
        <v>1</v>
      </c>
      <c r="CY62" s="1113">
        <v>0</v>
      </c>
      <c r="CZ62" s="1109">
        <f t="shared" si="1115"/>
        <v>21</v>
      </c>
      <c r="DA62" s="1110">
        <f t="shared" si="1116"/>
        <v>1.75</v>
      </c>
      <c r="DB62" s="1015">
        <v>0</v>
      </c>
      <c r="DC62" s="1014">
        <v>0</v>
      </c>
      <c r="DD62" s="1013">
        <v>0</v>
      </c>
      <c r="DE62" s="1014">
        <v>0</v>
      </c>
      <c r="DF62" s="1013">
        <v>0</v>
      </c>
      <c r="DG62" s="1014">
        <v>0</v>
      </c>
      <c r="DH62" s="1015">
        <v>0</v>
      </c>
      <c r="DI62" s="1014">
        <v>0</v>
      </c>
      <c r="DJ62" s="1015">
        <v>0</v>
      </c>
      <c r="DK62" s="1014">
        <v>0</v>
      </c>
      <c r="DL62" s="1015"/>
      <c r="DM62" s="1014"/>
      <c r="DN62" s="1016">
        <f t="shared" si="1122"/>
        <v>0</v>
      </c>
      <c r="DO62" s="163">
        <f t="shared" si="1123"/>
        <v>0</v>
      </c>
      <c r="DP62" s="1015"/>
      <c r="DQ62" s="1014"/>
      <c r="DR62" s="1013"/>
      <c r="DS62" s="1014"/>
      <c r="DT62" s="1013"/>
      <c r="DU62" s="1014"/>
      <c r="DV62" s="1015"/>
      <c r="DW62" s="1014"/>
      <c r="DX62" s="1015"/>
      <c r="DY62" s="1014"/>
      <c r="DZ62" s="1015"/>
      <c r="EA62" s="1014"/>
      <c r="EB62" s="1016">
        <f t="shared" si="1124"/>
        <v>0</v>
      </c>
      <c r="EC62" s="163" t="e">
        <f t="shared" si="1125"/>
        <v>#DIV/0!</v>
      </c>
      <c r="ED62" s="674">
        <f t="shared" si="1197"/>
        <v>-8</v>
      </c>
      <c r="EE62" s="663">
        <f t="shared" si="1260"/>
        <v>-1</v>
      </c>
      <c r="EF62" s="674">
        <f t="shared" si="1198"/>
        <v>5</v>
      </c>
      <c r="EG62" s="473">
        <v>-1</v>
      </c>
      <c r="EH62" s="674">
        <f t="shared" si="1200"/>
        <v>-2</v>
      </c>
      <c r="EI62" s="663">
        <f t="shared" si="1201"/>
        <v>-0.4</v>
      </c>
      <c r="EJ62" s="674">
        <f t="shared" si="1202"/>
        <v>-2</v>
      </c>
      <c r="EK62" s="663">
        <f t="shared" si="1203"/>
        <v>-0.66666666666666663</v>
      </c>
      <c r="EL62" s="674">
        <f t="shared" si="1204"/>
        <v>0</v>
      </c>
      <c r="EM62" s="663">
        <f>EL62/BA62</f>
        <v>0</v>
      </c>
      <c r="EN62" s="674">
        <f t="shared" si="1205"/>
        <v>2</v>
      </c>
      <c r="EO62" s="663">
        <f t="shared" si="1280"/>
        <v>2</v>
      </c>
      <c r="EP62" s="674">
        <f t="shared" si="1206"/>
        <v>-2</v>
      </c>
      <c r="EQ62" s="663">
        <f>EP62/BC62</f>
        <v>-0.66666666666666663</v>
      </c>
      <c r="ER62" s="674">
        <f t="shared" si="1207"/>
        <v>3</v>
      </c>
      <c r="ES62" s="663">
        <f>ER62/BD62</f>
        <v>3</v>
      </c>
      <c r="ET62" s="674">
        <f t="shared" si="1208"/>
        <v>-2</v>
      </c>
      <c r="EU62" s="663">
        <f t="shared" si="1209"/>
        <v>-0.5</v>
      </c>
      <c r="EV62" s="674">
        <f t="shared" si="1210"/>
        <v>1</v>
      </c>
      <c r="EW62" s="109">
        <f t="shared" si="1211"/>
        <v>0.5</v>
      </c>
      <c r="EX62" s="674">
        <f t="shared" si="1212"/>
        <v>-1</v>
      </c>
      <c r="EY62" s="663">
        <f t="shared" si="1213"/>
        <v>-0.33333333333333331</v>
      </c>
      <c r="EZ62" s="674">
        <f t="shared" si="1214"/>
        <v>-1</v>
      </c>
      <c r="FA62" s="663">
        <f>EZ62/BH62</f>
        <v>-0.5</v>
      </c>
      <c r="FB62" s="674">
        <f t="shared" si="1215"/>
        <v>1</v>
      </c>
      <c r="FC62" s="663">
        <f t="shared" si="1216"/>
        <v>1</v>
      </c>
      <c r="FD62" s="324">
        <f t="shared" si="1217"/>
        <v>0</v>
      </c>
      <c r="FE62" s="402">
        <f t="shared" si="1218"/>
        <v>0</v>
      </c>
      <c r="FF62" s="324">
        <f t="shared" si="1219"/>
        <v>1</v>
      </c>
      <c r="FG62" s="402">
        <f t="shared" si="1220"/>
        <v>0.5</v>
      </c>
      <c r="FH62" s="324">
        <f t="shared" si="1221"/>
        <v>0</v>
      </c>
      <c r="FI62" s="402">
        <f t="shared" si="1222"/>
        <v>0</v>
      </c>
      <c r="FJ62" s="324">
        <f t="shared" si="1223"/>
        <v>-1</v>
      </c>
      <c r="FK62" s="402">
        <f t="shared" si="1261"/>
        <v>-0.33333333333333331</v>
      </c>
      <c r="FL62" s="324">
        <f t="shared" si="1126"/>
        <v>0</v>
      </c>
      <c r="FM62" s="402">
        <f t="shared" si="1224"/>
        <v>0</v>
      </c>
      <c r="FN62" s="324">
        <f t="shared" si="1127"/>
        <v>0</v>
      </c>
      <c r="FO62" s="402">
        <f>FN62/BQ62</f>
        <v>0</v>
      </c>
      <c r="FP62" s="324">
        <f t="shared" si="1128"/>
        <v>6</v>
      </c>
      <c r="FQ62" s="402">
        <f>FP62/BR62</f>
        <v>3</v>
      </c>
      <c r="FR62" s="324">
        <f t="shared" si="1129"/>
        <v>-5</v>
      </c>
      <c r="FS62" s="402">
        <f t="shared" si="1225"/>
        <v>-0.625</v>
      </c>
      <c r="FT62" s="324">
        <f t="shared" si="1130"/>
        <v>-1</v>
      </c>
      <c r="FU62" s="402">
        <f t="shared" si="1262"/>
        <v>-0.33333333333333331</v>
      </c>
      <c r="FV62" s="324">
        <f t="shared" si="1131"/>
        <v>2</v>
      </c>
      <c r="FW62" s="402">
        <f>FV62/BU62</f>
        <v>1</v>
      </c>
      <c r="FX62" s="324">
        <f t="shared" si="1133"/>
        <v>-2</v>
      </c>
      <c r="FY62" s="402">
        <f>FX62/BV62</f>
        <v>-0.5</v>
      </c>
      <c r="FZ62" s="324">
        <f t="shared" si="1134"/>
        <v>10</v>
      </c>
      <c r="GA62" s="402">
        <f>FZ62/BW62</f>
        <v>5</v>
      </c>
      <c r="GB62" s="324">
        <f t="shared" si="1135"/>
        <v>-7</v>
      </c>
      <c r="GC62" s="402">
        <f>GB62/BZ62</f>
        <v>-0.58333333333333337</v>
      </c>
      <c r="GD62" s="324">
        <f t="shared" si="1136"/>
        <v>-2</v>
      </c>
      <c r="GE62" s="402">
        <f t="shared" si="1263"/>
        <v>-0.4</v>
      </c>
      <c r="GF62" s="324">
        <f t="shared" si="1137"/>
        <v>-1</v>
      </c>
      <c r="GG62" s="402">
        <f>GF62/CB62</f>
        <v>-0.33333333333333331</v>
      </c>
      <c r="GH62" s="324">
        <f t="shared" si="1138"/>
        <v>0</v>
      </c>
      <c r="GI62" s="402">
        <f>GH62/CC62</f>
        <v>0</v>
      </c>
      <c r="GJ62" s="324">
        <f t="shared" si="1139"/>
        <v>2</v>
      </c>
      <c r="GK62" s="402">
        <f t="shared" si="1194"/>
        <v>1</v>
      </c>
      <c r="GL62" s="324">
        <f t="shared" si="1140"/>
        <v>-2</v>
      </c>
      <c r="GM62" s="402">
        <f>GL62/CE62</f>
        <v>-0.5</v>
      </c>
      <c r="GN62" s="324">
        <f t="shared" si="1141"/>
        <v>2</v>
      </c>
      <c r="GO62" s="402">
        <f>GN62/CF62</f>
        <v>1</v>
      </c>
      <c r="GP62" s="324">
        <f t="shared" si="1142"/>
        <v>-2</v>
      </c>
      <c r="GQ62" s="402">
        <f>GP62/CG62</f>
        <v>-0.5</v>
      </c>
      <c r="GR62" s="324">
        <f t="shared" si="1143"/>
        <v>0</v>
      </c>
      <c r="GS62" s="402">
        <f t="shared" si="1144"/>
        <v>0</v>
      </c>
      <c r="GT62" s="324">
        <f t="shared" si="1145"/>
        <v>2</v>
      </c>
      <c r="GU62" s="402">
        <f t="shared" si="1264"/>
        <v>1</v>
      </c>
      <c r="GV62" s="324">
        <f t="shared" si="1146"/>
        <v>-3</v>
      </c>
      <c r="GW62" s="402">
        <f t="shared" si="1147"/>
        <v>-0.75</v>
      </c>
      <c r="GX62" s="324">
        <f t="shared" si="1148"/>
        <v>1</v>
      </c>
      <c r="GY62" s="402">
        <f t="shared" si="1265"/>
        <v>1</v>
      </c>
      <c r="GZ62" s="324">
        <f t="shared" si="1149"/>
        <v>1</v>
      </c>
      <c r="HA62" s="402">
        <f>GZ62/CN62</f>
        <v>0.5</v>
      </c>
      <c r="HB62" s="324">
        <f t="shared" si="1150"/>
        <v>-1</v>
      </c>
      <c r="HC62" s="402">
        <f t="shared" si="1266"/>
        <v>-0.33333333333333331</v>
      </c>
      <c r="HD62" s="324">
        <f t="shared" si="1151"/>
        <v>0</v>
      </c>
      <c r="HE62" s="402">
        <f>HD62/CP62</f>
        <v>0</v>
      </c>
      <c r="HF62" s="324">
        <f t="shared" si="1152"/>
        <v>-1</v>
      </c>
      <c r="HG62" s="402">
        <f t="shared" si="1267"/>
        <v>-0.5</v>
      </c>
      <c r="HH62" s="324">
        <f t="shared" si="1153"/>
        <v>-1</v>
      </c>
      <c r="HI62" s="402">
        <f>HH62/CR62</f>
        <v>-1</v>
      </c>
      <c r="HJ62" s="324">
        <f t="shared" si="1154"/>
        <v>2</v>
      </c>
      <c r="HK62" s="402">
        <v>0</v>
      </c>
      <c r="HL62" s="324">
        <f t="shared" si="1155"/>
        <v>2</v>
      </c>
      <c r="HM62" s="402">
        <f>HL62/CT62</f>
        <v>1</v>
      </c>
      <c r="HN62" s="324">
        <f t="shared" si="1156"/>
        <v>-2</v>
      </c>
      <c r="HO62" s="402">
        <f t="shared" si="1196"/>
        <v>-0.5</v>
      </c>
      <c r="HP62" s="324">
        <f t="shared" si="1157"/>
        <v>0</v>
      </c>
      <c r="HQ62" s="402">
        <f>HP62/CV62</f>
        <v>0</v>
      </c>
      <c r="HR62" s="324">
        <f t="shared" si="1158"/>
        <v>-1</v>
      </c>
      <c r="HS62" s="402">
        <f t="shared" si="1268"/>
        <v>-0.5</v>
      </c>
      <c r="HT62" s="324">
        <f t="shared" si="1159"/>
        <v>-1</v>
      </c>
      <c r="HU62" s="402">
        <f>HT62/CX62</f>
        <v>-1</v>
      </c>
      <c r="HV62" s="324">
        <f t="shared" si="1160"/>
        <v>0</v>
      </c>
      <c r="HW62" s="402">
        <v>0</v>
      </c>
      <c r="HX62" s="324">
        <f t="shared" si="1161"/>
        <v>0</v>
      </c>
      <c r="HY62" s="402">
        <v>0</v>
      </c>
      <c r="HZ62" s="324">
        <f t="shared" si="1162"/>
        <v>0</v>
      </c>
      <c r="IA62" s="402">
        <v>0</v>
      </c>
      <c r="IB62" s="324">
        <f t="shared" si="1163"/>
        <v>0</v>
      </c>
      <c r="IC62" s="402">
        <v>0</v>
      </c>
      <c r="ID62" s="324">
        <f t="shared" si="1164"/>
        <v>0</v>
      </c>
      <c r="IE62" s="402">
        <v>0</v>
      </c>
      <c r="IF62" s="324">
        <f t="shared" si="1165"/>
        <v>0</v>
      </c>
      <c r="IG62" s="402" t="e">
        <f t="shared" si="1166"/>
        <v>#DIV/0!</v>
      </c>
      <c r="IH62" s="324">
        <f t="shared" si="1167"/>
        <v>0</v>
      </c>
      <c r="II62" s="402">
        <v>0</v>
      </c>
      <c r="IJ62" s="324">
        <f t="shared" si="1169"/>
        <v>0</v>
      </c>
      <c r="IK62" s="402">
        <v>0</v>
      </c>
      <c r="IL62" s="324">
        <f t="shared" si="1171"/>
        <v>0</v>
      </c>
      <c r="IM62" s="402">
        <v>0</v>
      </c>
      <c r="IN62" s="324">
        <f t="shared" si="1173"/>
        <v>0</v>
      </c>
      <c r="IO62" s="402">
        <v>0</v>
      </c>
      <c r="IP62" s="324">
        <f t="shared" si="1175"/>
        <v>0</v>
      </c>
      <c r="IQ62" s="402">
        <f t="shared" si="1176"/>
        <v>0</v>
      </c>
      <c r="IR62" s="324">
        <f t="shared" si="1177"/>
        <v>1.3333333333333335</v>
      </c>
      <c r="IS62" s="402">
        <f t="shared" si="1178"/>
        <v>-0.66666666666666674</v>
      </c>
      <c r="IT62" s="952">
        <f t="shared" si="1179"/>
        <v>2</v>
      </c>
      <c r="IU62" s="1079">
        <f t="shared" si="1180"/>
        <v>0</v>
      </c>
      <c r="IV62" s="122">
        <f t="shared" si="1181"/>
        <v>-2</v>
      </c>
      <c r="IW62" s="949">
        <f t="shared" si="1182"/>
        <v>-1</v>
      </c>
      <c r="IX62" s="698"/>
      <c r="IY62" s="698"/>
      <c r="IZ62" s="698"/>
      <c r="JA62" t="str">
        <f t="shared" si="1183"/>
        <v>Other (Non-ERP)</v>
      </c>
      <c r="JB62" s="262" t="e">
        <f>#REF!</f>
        <v>#REF!</v>
      </c>
      <c r="JC62" s="262" t="e">
        <f>#REF!</f>
        <v>#REF!</v>
      </c>
      <c r="JD62" s="262" t="e">
        <f>#REF!</f>
        <v>#REF!</v>
      </c>
      <c r="JE62" s="262" t="e">
        <f>#REF!</f>
        <v>#REF!</v>
      </c>
      <c r="JF62" s="262" t="e">
        <f>#REF!</f>
        <v>#REF!</v>
      </c>
      <c r="JG62" s="262" t="e">
        <f>#REF!</f>
        <v>#REF!</v>
      </c>
      <c r="JH62" s="262" t="e">
        <f>#REF!</f>
        <v>#REF!</v>
      </c>
      <c r="JI62" s="262" t="e">
        <f>#REF!</f>
        <v>#REF!</v>
      </c>
      <c r="JJ62" s="262" t="e">
        <f>#REF!</f>
        <v>#REF!</v>
      </c>
      <c r="JK62" s="262" t="e">
        <f>#REF!</f>
        <v>#REF!</v>
      </c>
      <c r="JL62" s="262" t="e">
        <f>#REF!</f>
        <v>#REF!</v>
      </c>
      <c r="JM62" s="263">
        <f t="shared" si="1269"/>
        <v>9</v>
      </c>
      <c r="JN62" s="263">
        <f t="shared" si="1269"/>
        <v>8</v>
      </c>
      <c r="JO62" s="263">
        <f t="shared" si="1269"/>
        <v>3</v>
      </c>
      <c r="JP62" s="263">
        <f t="shared" si="1269"/>
        <v>10</v>
      </c>
      <c r="JQ62" s="263">
        <f t="shared" si="1269"/>
        <v>7</v>
      </c>
      <c r="JR62" s="263">
        <f t="shared" si="1269"/>
        <v>5</v>
      </c>
      <c r="JS62" s="263">
        <f t="shared" si="1269"/>
        <v>10</v>
      </c>
      <c r="JT62" s="263">
        <f t="shared" si="1269"/>
        <v>6</v>
      </c>
      <c r="JU62" s="263">
        <f t="shared" si="1269"/>
        <v>17</v>
      </c>
      <c r="JV62" s="263">
        <f t="shared" si="1269"/>
        <v>24</v>
      </c>
      <c r="JW62" s="263">
        <f t="shared" si="1269"/>
        <v>8</v>
      </c>
      <c r="JX62" s="263">
        <f t="shared" si="1269"/>
        <v>8</v>
      </c>
      <c r="JY62" s="263">
        <f t="shared" si="1270"/>
        <v>0</v>
      </c>
      <c r="JZ62" s="263">
        <f t="shared" si="1270"/>
        <v>5</v>
      </c>
      <c r="KA62" s="263">
        <f t="shared" si="1270"/>
        <v>3</v>
      </c>
      <c r="KB62" s="263">
        <f t="shared" si="1270"/>
        <v>1</v>
      </c>
      <c r="KC62" s="263">
        <f t="shared" si="1270"/>
        <v>1</v>
      </c>
      <c r="KD62" s="263">
        <f t="shared" si="1270"/>
        <v>3</v>
      </c>
      <c r="KE62" s="263">
        <f t="shared" si="1270"/>
        <v>1</v>
      </c>
      <c r="KF62" s="263">
        <f t="shared" si="1270"/>
        <v>4</v>
      </c>
      <c r="KG62" s="263">
        <f t="shared" si="1270"/>
        <v>2</v>
      </c>
      <c r="KH62" s="263">
        <f t="shared" si="1270"/>
        <v>3</v>
      </c>
      <c r="KI62" s="263">
        <f t="shared" si="1270"/>
        <v>2</v>
      </c>
      <c r="KJ62" s="263">
        <f t="shared" si="1270"/>
        <v>1</v>
      </c>
      <c r="KK62" s="788">
        <f t="shared" si="1271"/>
        <v>2</v>
      </c>
      <c r="KL62" s="788">
        <f t="shared" si="1271"/>
        <v>2</v>
      </c>
      <c r="KM62" s="788">
        <f t="shared" si="1271"/>
        <v>3</v>
      </c>
      <c r="KN62" s="788">
        <f t="shared" si="1271"/>
        <v>3</v>
      </c>
      <c r="KO62" s="788">
        <f t="shared" si="1271"/>
        <v>2</v>
      </c>
      <c r="KP62" s="788">
        <f t="shared" si="1226"/>
        <v>2</v>
      </c>
      <c r="KQ62" s="788">
        <f t="shared" si="1227"/>
        <v>2</v>
      </c>
      <c r="KR62" s="788">
        <f t="shared" si="1228"/>
        <v>8</v>
      </c>
      <c r="KS62" s="788">
        <f t="shared" si="1229"/>
        <v>3</v>
      </c>
      <c r="KT62" s="788">
        <f t="shared" si="1272"/>
        <v>2</v>
      </c>
      <c r="KU62" s="788">
        <f t="shared" si="1230"/>
        <v>4</v>
      </c>
      <c r="KV62" s="788">
        <f t="shared" si="1273"/>
        <v>2</v>
      </c>
      <c r="KW62" s="900">
        <f t="shared" si="1231"/>
        <v>12</v>
      </c>
      <c r="KX62" s="900">
        <f t="shared" si="1232"/>
        <v>5</v>
      </c>
      <c r="KY62" s="900">
        <f t="shared" si="1233"/>
        <v>3</v>
      </c>
      <c r="KZ62" s="900">
        <f t="shared" si="1234"/>
        <v>2</v>
      </c>
      <c r="LA62" s="900">
        <f t="shared" si="1235"/>
        <v>2</v>
      </c>
      <c r="LB62" s="900">
        <f t="shared" si="1236"/>
        <v>4</v>
      </c>
      <c r="LC62" s="900">
        <f t="shared" si="1237"/>
        <v>2</v>
      </c>
      <c r="LD62" s="900">
        <f t="shared" si="1274"/>
        <v>4</v>
      </c>
      <c r="LE62" s="900">
        <f t="shared" si="1274"/>
        <v>2</v>
      </c>
      <c r="LF62" s="900">
        <f t="shared" si="1274"/>
        <v>2</v>
      </c>
      <c r="LG62" s="900">
        <f t="shared" si="1238"/>
        <v>4</v>
      </c>
      <c r="LH62" s="900">
        <f t="shared" si="1275"/>
        <v>1</v>
      </c>
      <c r="LI62" s="959">
        <f t="shared" si="1239"/>
        <v>2</v>
      </c>
      <c r="LJ62" s="959">
        <f t="shared" si="1240"/>
        <v>3</v>
      </c>
      <c r="LK62" s="959">
        <f t="shared" si="1241"/>
        <v>2</v>
      </c>
      <c r="LL62" s="959">
        <f t="shared" si="1242"/>
        <v>2</v>
      </c>
      <c r="LM62" s="959">
        <f t="shared" si="1243"/>
        <v>1</v>
      </c>
      <c r="LN62" s="959">
        <f t="shared" si="1276"/>
        <v>0</v>
      </c>
      <c r="LO62" s="959">
        <f t="shared" si="1244"/>
        <v>2</v>
      </c>
      <c r="LP62" s="959">
        <f t="shared" si="1245"/>
        <v>4</v>
      </c>
      <c r="LQ62" s="959">
        <f t="shared" si="1246"/>
        <v>2</v>
      </c>
      <c r="LR62" s="959">
        <f t="shared" si="1247"/>
        <v>2</v>
      </c>
      <c r="LS62" s="959">
        <f t="shared" si="1248"/>
        <v>1</v>
      </c>
      <c r="LT62" s="959">
        <f t="shared" si="1249"/>
        <v>0</v>
      </c>
      <c r="LU62" s="1155">
        <f t="shared" si="1250"/>
        <v>0</v>
      </c>
      <c r="LV62" s="1155">
        <f t="shared" si="1251"/>
        <v>0</v>
      </c>
      <c r="LW62" s="1155">
        <f t="shared" si="1252"/>
        <v>0</v>
      </c>
      <c r="LX62" s="1155">
        <f t="shared" si="1253"/>
        <v>0</v>
      </c>
      <c r="LY62" s="1155">
        <f t="shared" si="1254"/>
        <v>0</v>
      </c>
      <c r="LZ62" s="1155">
        <f t="shared" si="1255"/>
        <v>0</v>
      </c>
      <c r="MA62" s="1155">
        <f t="shared" si="1277"/>
        <v>0</v>
      </c>
      <c r="MB62" s="1155">
        <f t="shared" si="1277"/>
        <v>0</v>
      </c>
      <c r="MC62" s="1155">
        <f t="shared" si="1277"/>
        <v>0</v>
      </c>
      <c r="MD62" s="1155">
        <f t="shared" si="1277"/>
        <v>0</v>
      </c>
      <c r="ME62" s="1155">
        <f t="shared" si="1277"/>
        <v>0</v>
      </c>
      <c r="MF62" s="1155">
        <f t="shared" si="1277"/>
        <v>0</v>
      </c>
      <c r="MG62" s="1177">
        <f t="shared" si="1256"/>
        <v>0</v>
      </c>
      <c r="MH62" s="1177">
        <f t="shared" si="1257"/>
        <v>0</v>
      </c>
      <c r="MI62" s="1177">
        <f t="shared" si="1258"/>
        <v>0</v>
      </c>
      <c r="MJ62" s="1177">
        <f t="shared" si="1259"/>
        <v>0</v>
      </c>
      <c r="MK62" s="1177">
        <f t="shared" si="1278"/>
        <v>0</v>
      </c>
      <c r="ML62" s="1177">
        <f t="shared" si="1278"/>
        <v>0</v>
      </c>
      <c r="MM62" s="1177">
        <f t="shared" si="1278"/>
        <v>0</v>
      </c>
      <c r="MN62" s="1177">
        <f t="shared" si="1278"/>
        <v>0</v>
      </c>
      <c r="MO62" s="1177">
        <f t="shared" si="1278"/>
        <v>0</v>
      </c>
      <c r="MP62" s="1177">
        <f t="shared" si="1278"/>
        <v>0</v>
      </c>
      <c r="MQ62" s="1177">
        <f t="shared" si="1279"/>
        <v>0</v>
      </c>
      <c r="MR62" s="1177">
        <f t="shared" si="1279"/>
        <v>0</v>
      </c>
    </row>
    <row r="63" spans="1:356" s="32" customFormat="1" x14ac:dyDescent="0.25">
      <c r="A63" s="764"/>
      <c r="B63" s="227">
        <v>8.1199999999999992</v>
      </c>
      <c r="C63" s="30"/>
      <c r="D63" s="447"/>
      <c r="E63" s="1225" t="s">
        <v>61</v>
      </c>
      <c r="F63" s="1225"/>
      <c r="G63" s="1226"/>
      <c r="H63" s="376">
        <v>162</v>
      </c>
      <c r="I63" s="78">
        <v>161</v>
      </c>
      <c r="J63" s="31">
        <v>136</v>
      </c>
      <c r="K63" s="78">
        <v>108</v>
      </c>
      <c r="L63" s="31">
        <v>222</v>
      </c>
      <c r="M63" s="78">
        <v>77</v>
      </c>
      <c r="N63" s="31">
        <v>88</v>
      </c>
      <c r="O63" s="78">
        <v>86</v>
      </c>
      <c r="P63" s="31">
        <v>98</v>
      </c>
      <c r="Q63" s="78">
        <v>72</v>
      </c>
      <c r="R63" s="31">
        <v>53</v>
      </c>
      <c r="S63" s="78">
        <v>61</v>
      </c>
      <c r="T63" s="145">
        <v>1324</v>
      </c>
      <c r="U63" s="164">
        <v>110.33333333333333</v>
      </c>
      <c r="V63" s="376">
        <v>2</v>
      </c>
      <c r="W63" s="78">
        <v>128</v>
      </c>
      <c r="X63" s="31">
        <v>63</v>
      </c>
      <c r="Y63" s="78">
        <v>61</v>
      </c>
      <c r="Z63" s="31">
        <v>44</v>
      </c>
      <c r="AA63" s="78">
        <v>30</v>
      </c>
      <c r="AB63" s="31">
        <v>89</v>
      </c>
      <c r="AC63" s="78">
        <v>87</v>
      </c>
      <c r="AD63" s="31">
        <v>133</v>
      </c>
      <c r="AE63" s="78">
        <v>200</v>
      </c>
      <c r="AF63" s="31">
        <v>87</v>
      </c>
      <c r="AG63" s="78">
        <v>124</v>
      </c>
      <c r="AH63" s="145">
        <v>1048</v>
      </c>
      <c r="AI63" s="164">
        <v>87.333333333333329</v>
      </c>
      <c r="AJ63" s="376">
        <v>92</v>
      </c>
      <c r="AK63" s="78">
        <v>96</v>
      </c>
      <c r="AL63" s="31">
        <v>115</v>
      </c>
      <c r="AM63" s="78">
        <v>210</v>
      </c>
      <c r="AN63" s="31">
        <v>102</v>
      </c>
      <c r="AO63" s="78">
        <v>122</v>
      </c>
      <c r="AP63" s="626">
        <v>186</v>
      </c>
      <c r="AQ63" s="78">
        <v>216</v>
      </c>
      <c r="AR63" s="626">
        <v>180</v>
      </c>
      <c r="AS63" s="78">
        <v>183</v>
      </c>
      <c r="AT63" s="626">
        <v>189</v>
      </c>
      <c r="AU63" s="78">
        <v>89</v>
      </c>
      <c r="AV63" s="145">
        <f t="shared" si="1087"/>
        <v>1780</v>
      </c>
      <c r="AW63" s="164">
        <f t="shared" si="1088"/>
        <v>148.33333333333334</v>
      </c>
      <c r="AX63" s="376">
        <v>88</v>
      </c>
      <c r="AY63" s="78">
        <v>159</v>
      </c>
      <c r="AZ63" s="31">
        <v>71</v>
      </c>
      <c r="BA63" s="78">
        <v>83</v>
      </c>
      <c r="BB63" s="31">
        <v>37</v>
      </c>
      <c r="BC63" s="78">
        <v>156</v>
      </c>
      <c r="BD63" s="626">
        <v>51</v>
      </c>
      <c r="BE63" s="78">
        <v>116</v>
      </c>
      <c r="BF63" s="626">
        <v>95</v>
      </c>
      <c r="BG63" s="78">
        <v>121</v>
      </c>
      <c r="BH63" s="626">
        <v>91</v>
      </c>
      <c r="BI63" s="78">
        <v>131</v>
      </c>
      <c r="BJ63" s="145">
        <f t="shared" si="1091"/>
        <v>1199</v>
      </c>
      <c r="BK63" s="164">
        <f t="shared" si="1092"/>
        <v>99.916666666666671</v>
      </c>
      <c r="BL63" s="376">
        <v>140</v>
      </c>
      <c r="BM63" s="78">
        <v>175</v>
      </c>
      <c r="BN63" s="31">
        <v>149</v>
      </c>
      <c r="BO63" s="78">
        <v>132</v>
      </c>
      <c r="BP63" s="31">
        <v>163</v>
      </c>
      <c r="BQ63" s="78">
        <v>139</v>
      </c>
      <c r="BR63" s="626">
        <v>118</v>
      </c>
      <c r="BS63" s="78">
        <v>114</v>
      </c>
      <c r="BT63" s="626">
        <v>271</v>
      </c>
      <c r="BU63" s="626">
        <v>358</v>
      </c>
      <c r="BV63" s="626">
        <v>331</v>
      </c>
      <c r="BW63" s="626">
        <v>252</v>
      </c>
      <c r="BX63" s="145">
        <f t="shared" si="1099"/>
        <v>2342</v>
      </c>
      <c r="BY63" s="164">
        <f t="shared" si="1100"/>
        <v>195.16666666666666</v>
      </c>
      <c r="BZ63" s="626">
        <f>126+72</f>
        <v>198</v>
      </c>
      <c r="CA63" s="78">
        <v>193</v>
      </c>
      <c r="CB63" s="31">
        <v>197</v>
      </c>
      <c r="CC63" s="78">
        <v>181</v>
      </c>
      <c r="CD63" s="31">
        <v>219</v>
      </c>
      <c r="CE63" s="78">
        <v>106</v>
      </c>
      <c r="CF63" s="626">
        <v>159</v>
      </c>
      <c r="CG63" s="78">
        <v>175</v>
      </c>
      <c r="CH63" s="626">
        <v>240</v>
      </c>
      <c r="CI63" s="626">
        <v>165</v>
      </c>
      <c r="CJ63" s="626">
        <v>157</v>
      </c>
      <c r="CK63" s="626">
        <v>144</v>
      </c>
      <c r="CL63" s="145">
        <f t="shared" si="1107"/>
        <v>2134</v>
      </c>
      <c r="CM63" s="164">
        <f t="shared" si="1108"/>
        <v>177.83333333333334</v>
      </c>
      <c r="CN63" s="626">
        <v>216</v>
      </c>
      <c r="CO63" s="78">
        <v>220</v>
      </c>
      <c r="CP63" s="31">
        <v>228</v>
      </c>
      <c r="CQ63" s="78">
        <v>187</v>
      </c>
      <c r="CR63" s="1017">
        <v>185</v>
      </c>
      <c r="CS63" s="1018">
        <v>70</v>
      </c>
      <c r="CT63" s="1019">
        <v>159</v>
      </c>
      <c r="CU63" s="1018">
        <v>214</v>
      </c>
      <c r="CV63" s="1114">
        <v>157</v>
      </c>
      <c r="CW63" s="1115">
        <v>170</v>
      </c>
      <c r="CX63" s="1114">
        <v>174</v>
      </c>
      <c r="CY63" s="1116">
        <v>82</v>
      </c>
      <c r="CZ63" s="1117">
        <f t="shared" si="1115"/>
        <v>2062</v>
      </c>
      <c r="DA63" s="1118">
        <f t="shared" si="1116"/>
        <v>171.83333333333334</v>
      </c>
      <c r="DB63" s="1019">
        <v>173</v>
      </c>
      <c r="DC63" s="1018">
        <v>153</v>
      </c>
      <c r="DD63" s="1017">
        <v>163</v>
      </c>
      <c r="DE63" s="1018">
        <v>166</v>
      </c>
      <c r="DF63" s="1017">
        <v>149</v>
      </c>
      <c r="DG63" s="1018">
        <v>62</v>
      </c>
      <c r="DH63" s="1019">
        <v>188</v>
      </c>
      <c r="DI63" s="1018">
        <v>167</v>
      </c>
      <c r="DJ63" s="1019">
        <v>143</v>
      </c>
      <c r="DK63" s="1018">
        <v>175</v>
      </c>
      <c r="DL63" s="1019"/>
      <c r="DM63" s="1018"/>
      <c r="DN63" s="1020">
        <f t="shared" si="1122"/>
        <v>1539</v>
      </c>
      <c r="DO63" s="164">
        <f t="shared" si="1123"/>
        <v>153.9</v>
      </c>
      <c r="DP63" s="1019"/>
      <c r="DQ63" s="1018"/>
      <c r="DR63" s="1017"/>
      <c r="DS63" s="1018"/>
      <c r="DT63" s="1017"/>
      <c r="DU63" s="1018"/>
      <c r="DV63" s="1019"/>
      <c r="DW63" s="1018"/>
      <c r="DX63" s="1019"/>
      <c r="DY63" s="1018"/>
      <c r="DZ63" s="1019"/>
      <c r="EA63" s="1018"/>
      <c r="EB63" s="1020">
        <f t="shared" si="1124"/>
        <v>0</v>
      </c>
      <c r="EC63" s="164" t="e">
        <f t="shared" si="1125"/>
        <v>#DIV/0!</v>
      </c>
      <c r="ED63" s="686">
        <f t="shared" si="1197"/>
        <v>-1</v>
      </c>
      <c r="EE63" s="669">
        <f t="shared" si="1260"/>
        <v>-1.1235955056179775E-2</v>
      </c>
      <c r="EF63" s="686">
        <f t="shared" si="1198"/>
        <v>71</v>
      </c>
      <c r="EG63" s="669">
        <f>EF63/AX63</f>
        <v>0.80681818181818177</v>
      </c>
      <c r="EH63" s="686">
        <f t="shared" si="1200"/>
        <v>-88</v>
      </c>
      <c r="EI63" s="669">
        <f t="shared" si="1201"/>
        <v>-0.55345911949685533</v>
      </c>
      <c r="EJ63" s="686">
        <f t="shared" si="1202"/>
        <v>12</v>
      </c>
      <c r="EK63" s="669">
        <f t="shared" si="1203"/>
        <v>0.16901408450704225</v>
      </c>
      <c r="EL63" s="686">
        <f t="shared" si="1204"/>
        <v>-46</v>
      </c>
      <c r="EM63" s="669">
        <f>EL63/BA63</f>
        <v>-0.55421686746987953</v>
      </c>
      <c r="EN63" s="686">
        <f t="shared" si="1205"/>
        <v>119</v>
      </c>
      <c r="EO63" s="669">
        <f t="shared" si="1280"/>
        <v>3.2162162162162162</v>
      </c>
      <c r="EP63" s="686">
        <f t="shared" si="1206"/>
        <v>-105</v>
      </c>
      <c r="EQ63" s="669">
        <f>EP63/BC63</f>
        <v>-0.67307692307692313</v>
      </c>
      <c r="ER63" s="686">
        <f t="shared" si="1207"/>
        <v>65</v>
      </c>
      <c r="ES63" s="669">
        <f>ER63/BD63</f>
        <v>1.2745098039215685</v>
      </c>
      <c r="ET63" s="686">
        <f t="shared" si="1208"/>
        <v>-21</v>
      </c>
      <c r="EU63" s="669">
        <f t="shared" si="1209"/>
        <v>-0.18103448275862069</v>
      </c>
      <c r="EV63" s="686">
        <f t="shared" si="1210"/>
        <v>26</v>
      </c>
      <c r="EW63" s="117">
        <f t="shared" si="1211"/>
        <v>0.27368421052631581</v>
      </c>
      <c r="EX63" s="686">
        <f t="shared" si="1212"/>
        <v>-30</v>
      </c>
      <c r="EY63" s="669">
        <f t="shared" si="1213"/>
        <v>-0.24793388429752067</v>
      </c>
      <c r="EZ63" s="686">
        <f t="shared" si="1214"/>
        <v>40</v>
      </c>
      <c r="FA63" s="669">
        <f>EZ63/BH63</f>
        <v>0.43956043956043955</v>
      </c>
      <c r="FB63" s="686">
        <f t="shared" si="1215"/>
        <v>9</v>
      </c>
      <c r="FC63" s="669">
        <f t="shared" si="1216"/>
        <v>6.8702290076335881E-2</v>
      </c>
      <c r="FD63" s="330">
        <f t="shared" si="1217"/>
        <v>35</v>
      </c>
      <c r="FE63" s="404">
        <f t="shared" si="1218"/>
        <v>0.25</v>
      </c>
      <c r="FF63" s="330">
        <f t="shared" si="1219"/>
        <v>-26</v>
      </c>
      <c r="FG63" s="404">
        <f t="shared" si="1220"/>
        <v>-0.14857142857142858</v>
      </c>
      <c r="FH63" s="330">
        <f t="shared" si="1221"/>
        <v>-17</v>
      </c>
      <c r="FI63" s="404">
        <f t="shared" si="1222"/>
        <v>-0.11409395973154363</v>
      </c>
      <c r="FJ63" s="330">
        <f t="shared" si="1223"/>
        <v>31</v>
      </c>
      <c r="FK63" s="404">
        <f t="shared" si="1261"/>
        <v>0.23484848484848486</v>
      </c>
      <c r="FL63" s="330">
        <f t="shared" si="1126"/>
        <v>-24</v>
      </c>
      <c r="FM63" s="404">
        <f t="shared" si="1224"/>
        <v>-0.14723926380368099</v>
      </c>
      <c r="FN63" s="330">
        <f t="shared" si="1127"/>
        <v>-21</v>
      </c>
      <c r="FO63" s="404">
        <f>FN63/BQ63</f>
        <v>-0.15107913669064749</v>
      </c>
      <c r="FP63" s="330">
        <f t="shared" si="1128"/>
        <v>-4</v>
      </c>
      <c r="FQ63" s="404">
        <f>FP63/BR63</f>
        <v>-3.3898305084745763E-2</v>
      </c>
      <c r="FR63" s="330">
        <f t="shared" si="1129"/>
        <v>157</v>
      </c>
      <c r="FS63" s="404">
        <f t="shared" si="1225"/>
        <v>1.3771929824561404</v>
      </c>
      <c r="FT63" s="330">
        <f t="shared" si="1130"/>
        <v>87</v>
      </c>
      <c r="FU63" s="404">
        <f t="shared" si="1262"/>
        <v>0.3210332103321033</v>
      </c>
      <c r="FV63" s="330">
        <f t="shared" si="1131"/>
        <v>-27</v>
      </c>
      <c r="FW63" s="404">
        <f>FV63/BU63</f>
        <v>-7.5418994413407825E-2</v>
      </c>
      <c r="FX63" s="330">
        <f t="shared" si="1133"/>
        <v>-79</v>
      </c>
      <c r="FY63" s="404">
        <f>FX63/BV63</f>
        <v>-0.23867069486404835</v>
      </c>
      <c r="FZ63" s="330">
        <f t="shared" si="1134"/>
        <v>-54</v>
      </c>
      <c r="GA63" s="404">
        <f>FZ63/BW63</f>
        <v>-0.21428571428571427</v>
      </c>
      <c r="GB63" s="330">
        <f t="shared" si="1135"/>
        <v>-5</v>
      </c>
      <c r="GC63" s="404">
        <f>GB63/BZ63</f>
        <v>-2.5252525252525252E-2</v>
      </c>
      <c r="GD63" s="330">
        <f t="shared" si="1136"/>
        <v>4</v>
      </c>
      <c r="GE63" s="404">
        <f t="shared" si="1263"/>
        <v>2.072538860103627E-2</v>
      </c>
      <c r="GF63" s="330">
        <f t="shared" si="1137"/>
        <v>-16</v>
      </c>
      <c r="GG63" s="404">
        <f>GF63/CB63</f>
        <v>-8.1218274111675121E-2</v>
      </c>
      <c r="GH63" s="330">
        <f t="shared" si="1138"/>
        <v>38</v>
      </c>
      <c r="GI63" s="404">
        <f>GH63/CC63</f>
        <v>0.20994475138121546</v>
      </c>
      <c r="GJ63" s="330">
        <f t="shared" si="1139"/>
        <v>-113</v>
      </c>
      <c r="GK63" s="404">
        <f t="shared" si="1194"/>
        <v>-0.51598173515981738</v>
      </c>
      <c r="GL63" s="330">
        <f t="shared" si="1140"/>
        <v>53</v>
      </c>
      <c r="GM63" s="404">
        <f>GL63/CE63</f>
        <v>0.5</v>
      </c>
      <c r="GN63" s="330">
        <f t="shared" si="1141"/>
        <v>16</v>
      </c>
      <c r="GO63" s="404">
        <f>GN63/CF63</f>
        <v>0.10062893081761007</v>
      </c>
      <c r="GP63" s="330">
        <f t="shared" si="1142"/>
        <v>65</v>
      </c>
      <c r="GQ63" s="404">
        <f>GP63/CG63</f>
        <v>0.37142857142857144</v>
      </c>
      <c r="GR63" s="330">
        <f t="shared" si="1143"/>
        <v>-75</v>
      </c>
      <c r="GS63" s="404">
        <f t="shared" si="1144"/>
        <v>-0.3125</v>
      </c>
      <c r="GT63" s="330">
        <f t="shared" si="1145"/>
        <v>-8</v>
      </c>
      <c r="GU63" s="404">
        <f t="shared" si="1264"/>
        <v>-4.8484848484848485E-2</v>
      </c>
      <c r="GV63" s="330">
        <f t="shared" si="1146"/>
        <v>-13</v>
      </c>
      <c r="GW63" s="404">
        <f t="shared" si="1147"/>
        <v>-8.2802547770700632E-2</v>
      </c>
      <c r="GX63" s="330">
        <f t="shared" si="1148"/>
        <v>72</v>
      </c>
      <c r="GY63" s="404">
        <f t="shared" si="1265"/>
        <v>0.5</v>
      </c>
      <c r="GZ63" s="330">
        <f t="shared" si="1149"/>
        <v>4</v>
      </c>
      <c r="HA63" s="404">
        <f>GZ63/CN63</f>
        <v>1.8518518518518517E-2</v>
      </c>
      <c r="HB63" s="330">
        <f t="shared" si="1150"/>
        <v>8</v>
      </c>
      <c r="HC63" s="404">
        <f t="shared" si="1266"/>
        <v>3.6363636363636362E-2</v>
      </c>
      <c r="HD63" s="330">
        <f t="shared" si="1151"/>
        <v>-41</v>
      </c>
      <c r="HE63" s="404">
        <f>HD63/CP63</f>
        <v>-0.17982456140350878</v>
      </c>
      <c r="HF63" s="330">
        <f t="shared" si="1152"/>
        <v>-2</v>
      </c>
      <c r="HG63" s="404">
        <f t="shared" si="1267"/>
        <v>-1.06951871657754E-2</v>
      </c>
      <c r="HH63" s="330">
        <f t="shared" si="1153"/>
        <v>-115</v>
      </c>
      <c r="HI63" s="404">
        <f>HH63/CR63</f>
        <v>-0.6216216216216216</v>
      </c>
      <c r="HJ63" s="330">
        <f t="shared" si="1154"/>
        <v>89</v>
      </c>
      <c r="HK63" s="404">
        <f>HJ63/CS63</f>
        <v>1.2714285714285714</v>
      </c>
      <c r="HL63" s="330">
        <f t="shared" si="1155"/>
        <v>55</v>
      </c>
      <c r="HM63" s="404">
        <f>HL63/CT63</f>
        <v>0.34591194968553457</v>
      </c>
      <c r="HN63" s="330">
        <f t="shared" si="1156"/>
        <v>-57</v>
      </c>
      <c r="HO63" s="404">
        <f t="shared" si="1196"/>
        <v>-0.26635514018691586</v>
      </c>
      <c r="HP63" s="330">
        <f t="shared" si="1157"/>
        <v>13</v>
      </c>
      <c r="HQ63" s="404">
        <f>HP63/CV63</f>
        <v>8.2802547770700632E-2</v>
      </c>
      <c r="HR63" s="330">
        <f t="shared" si="1158"/>
        <v>4</v>
      </c>
      <c r="HS63" s="404">
        <f t="shared" si="1268"/>
        <v>2.3529411764705882E-2</v>
      </c>
      <c r="HT63" s="330">
        <f t="shared" si="1159"/>
        <v>-92</v>
      </c>
      <c r="HU63" s="404">
        <f>HT63/CX63</f>
        <v>-0.52873563218390807</v>
      </c>
      <c r="HV63" s="330">
        <f t="shared" si="1160"/>
        <v>91</v>
      </c>
      <c r="HW63" s="404">
        <f>HV63/CY63</f>
        <v>1.1097560975609757</v>
      </c>
      <c r="HX63" s="330">
        <f t="shared" si="1161"/>
        <v>-20</v>
      </c>
      <c r="HY63" s="404">
        <f>HX63/DB63</f>
        <v>-0.11560693641618497</v>
      </c>
      <c r="HZ63" s="330">
        <f t="shared" si="1162"/>
        <v>10</v>
      </c>
      <c r="IA63" s="404">
        <f>HZ63/DD63</f>
        <v>6.1349693251533742E-2</v>
      </c>
      <c r="IB63" s="330">
        <f t="shared" si="1163"/>
        <v>3</v>
      </c>
      <c r="IC63" s="404">
        <f>IB63/DD63</f>
        <v>1.8404907975460124E-2</v>
      </c>
      <c r="ID63" s="330">
        <f t="shared" si="1164"/>
        <v>-17</v>
      </c>
      <c r="IE63" s="404">
        <f>ID63/DO63</f>
        <v>-0.11046133853151396</v>
      </c>
      <c r="IF63" s="330">
        <f t="shared" si="1165"/>
        <v>-87</v>
      </c>
      <c r="IG63" s="404">
        <f t="shared" si="1166"/>
        <v>-0.58389261744966447</v>
      </c>
      <c r="IH63" s="330">
        <f t="shared" si="1167"/>
        <v>126</v>
      </c>
      <c r="II63" s="404">
        <v>0</v>
      </c>
      <c r="IJ63" s="330">
        <f t="shared" si="1169"/>
        <v>-21</v>
      </c>
      <c r="IK63" s="404">
        <f t="shared" si="1170"/>
        <v>-0.11170212765957446</v>
      </c>
      <c r="IL63" s="330">
        <f t="shared" si="1171"/>
        <v>-24</v>
      </c>
      <c r="IM63" s="404">
        <f t="shared" si="1172"/>
        <v>-0.1437125748502994</v>
      </c>
      <c r="IN63" s="330">
        <f t="shared" si="1173"/>
        <v>32</v>
      </c>
      <c r="IO63" s="404">
        <f t="shared" si="1174"/>
        <v>0.22377622377622378</v>
      </c>
      <c r="IP63" s="330">
        <f t="shared" si="1175"/>
        <v>-175</v>
      </c>
      <c r="IQ63" s="404">
        <f t="shared" si="1176"/>
        <v>316.19318181818181</v>
      </c>
      <c r="IR63" s="330">
        <f t="shared" si="1177"/>
        <v>-11.830985915492958</v>
      </c>
      <c r="IS63" s="404">
        <f t="shared" si="1178"/>
        <v>-0.9859154929577465</v>
      </c>
      <c r="IT63" s="626">
        <f t="shared" si="1179"/>
        <v>170</v>
      </c>
      <c r="IU63" s="1080">
        <f t="shared" si="1180"/>
        <v>175</v>
      </c>
      <c r="IV63" s="123">
        <f t="shared" si="1181"/>
        <v>5</v>
      </c>
      <c r="IW63" s="117">
        <f t="shared" si="1182"/>
        <v>2.9411764705882353E-2</v>
      </c>
      <c r="IX63" s="702"/>
      <c r="IY63" s="702"/>
      <c r="IZ63" s="702"/>
      <c r="JA63" s="32" t="str">
        <f t="shared" si="1183"/>
        <v>Number Trained in Classroom</v>
      </c>
      <c r="JB63" s="270" t="e">
        <f>#REF!</f>
        <v>#REF!</v>
      </c>
      <c r="JC63" s="270" t="e">
        <f>#REF!</f>
        <v>#REF!</v>
      </c>
      <c r="JD63" s="270" t="e">
        <f>#REF!</f>
        <v>#REF!</v>
      </c>
      <c r="JE63" s="270" t="e">
        <f>#REF!</f>
        <v>#REF!</v>
      </c>
      <c r="JF63" s="270" t="e">
        <f>#REF!</f>
        <v>#REF!</v>
      </c>
      <c r="JG63" s="270" t="e">
        <f>#REF!</f>
        <v>#REF!</v>
      </c>
      <c r="JH63" s="270" t="e">
        <f>#REF!</f>
        <v>#REF!</v>
      </c>
      <c r="JI63" s="270" t="e">
        <f>#REF!</f>
        <v>#REF!</v>
      </c>
      <c r="JJ63" s="270" t="e">
        <f>#REF!</f>
        <v>#REF!</v>
      </c>
      <c r="JK63" s="270" t="e">
        <f>#REF!</f>
        <v>#REF!</v>
      </c>
      <c r="JL63" s="270" t="e">
        <f>#REF!</f>
        <v>#REF!</v>
      </c>
      <c r="JM63" s="271">
        <f t="shared" si="1269"/>
        <v>92</v>
      </c>
      <c r="JN63" s="271">
        <f t="shared" si="1269"/>
        <v>96</v>
      </c>
      <c r="JO63" s="271">
        <f t="shared" si="1269"/>
        <v>115</v>
      </c>
      <c r="JP63" s="271">
        <f t="shared" si="1269"/>
        <v>210</v>
      </c>
      <c r="JQ63" s="271">
        <f t="shared" si="1269"/>
        <v>102</v>
      </c>
      <c r="JR63" s="271">
        <f t="shared" si="1269"/>
        <v>122</v>
      </c>
      <c r="JS63" s="271">
        <f t="shared" si="1269"/>
        <v>186</v>
      </c>
      <c r="JT63" s="271">
        <f t="shared" si="1269"/>
        <v>216</v>
      </c>
      <c r="JU63" s="271">
        <f t="shared" si="1269"/>
        <v>180</v>
      </c>
      <c r="JV63" s="271">
        <f t="shared" si="1269"/>
        <v>183</v>
      </c>
      <c r="JW63" s="271">
        <f t="shared" si="1269"/>
        <v>189</v>
      </c>
      <c r="JX63" s="271">
        <f t="shared" si="1269"/>
        <v>89</v>
      </c>
      <c r="JY63" s="271">
        <f t="shared" si="1270"/>
        <v>88</v>
      </c>
      <c r="JZ63" s="271">
        <f t="shared" si="1270"/>
        <v>159</v>
      </c>
      <c r="KA63" s="271">
        <f t="shared" si="1270"/>
        <v>71</v>
      </c>
      <c r="KB63" s="271">
        <f t="shared" si="1270"/>
        <v>83</v>
      </c>
      <c r="KC63" s="271">
        <f t="shared" si="1270"/>
        <v>37</v>
      </c>
      <c r="KD63" s="271">
        <f t="shared" si="1270"/>
        <v>156</v>
      </c>
      <c r="KE63" s="271">
        <f t="shared" si="1270"/>
        <v>51</v>
      </c>
      <c r="KF63" s="271">
        <f t="shared" si="1270"/>
        <v>116</v>
      </c>
      <c r="KG63" s="271">
        <f t="shared" si="1270"/>
        <v>95</v>
      </c>
      <c r="KH63" s="271">
        <f t="shared" si="1270"/>
        <v>121</v>
      </c>
      <c r="KI63" s="271">
        <f t="shared" si="1270"/>
        <v>91</v>
      </c>
      <c r="KJ63" s="271">
        <f t="shared" si="1270"/>
        <v>131</v>
      </c>
      <c r="KK63" s="792">
        <f t="shared" si="1271"/>
        <v>140</v>
      </c>
      <c r="KL63" s="792">
        <f t="shared" si="1271"/>
        <v>175</v>
      </c>
      <c r="KM63" s="792">
        <f t="shared" si="1271"/>
        <v>149</v>
      </c>
      <c r="KN63" s="792">
        <f t="shared" si="1271"/>
        <v>132</v>
      </c>
      <c r="KO63" s="792">
        <f t="shared" si="1271"/>
        <v>163</v>
      </c>
      <c r="KP63" s="792">
        <f t="shared" si="1226"/>
        <v>139</v>
      </c>
      <c r="KQ63" s="792">
        <f t="shared" si="1227"/>
        <v>118</v>
      </c>
      <c r="KR63" s="792">
        <f t="shared" si="1228"/>
        <v>114</v>
      </c>
      <c r="KS63" s="792">
        <f t="shared" si="1229"/>
        <v>271</v>
      </c>
      <c r="KT63" s="792">
        <f t="shared" si="1272"/>
        <v>358</v>
      </c>
      <c r="KU63" s="792">
        <f t="shared" si="1230"/>
        <v>331</v>
      </c>
      <c r="KV63" s="792">
        <f t="shared" si="1273"/>
        <v>252</v>
      </c>
      <c r="KW63" s="904">
        <f t="shared" si="1231"/>
        <v>198</v>
      </c>
      <c r="KX63" s="904">
        <f t="shared" si="1232"/>
        <v>193</v>
      </c>
      <c r="KY63" s="904">
        <f t="shared" si="1233"/>
        <v>197</v>
      </c>
      <c r="KZ63" s="904">
        <f t="shared" si="1234"/>
        <v>181</v>
      </c>
      <c r="LA63" s="904">
        <f t="shared" si="1235"/>
        <v>219</v>
      </c>
      <c r="LB63" s="904">
        <f t="shared" si="1236"/>
        <v>106</v>
      </c>
      <c r="LC63" s="904">
        <f t="shared" si="1237"/>
        <v>159</v>
      </c>
      <c r="LD63" s="904">
        <f t="shared" si="1274"/>
        <v>175</v>
      </c>
      <c r="LE63" s="904">
        <f t="shared" si="1274"/>
        <v>240</v>
      </c>
      <c r="LF63" s="904">
        <f t="shared" si="1274"/>
        <v>165</v>
      </c>
      <c r="LG63" s="904">
        <f t="shared" si="1238"/>
        <v>157</v>
      </c>
      <c r="LH63" s="904">
        <f t="shared" si="1275"/>
        <v>144</v>
      </c>
      <c r="LI63" s="963">
        <f t="shared" si="1239"/>
        <v>216</v>
      </c>
      <c r="LJ63" s="963">
        <f t="shared" si="1240"/>
        <v>220</v>
      </c>
      <c r="LK63" s="963">
        <f t="shared" si="1241"/>
        <v>228</v>
      </c>
      <c r="LL63" s="963">
        <f t="shared" si="1242"/>
        <v>187</v>
      </c>
      <c r="LM63" s="963">
        <f t="shared" si="1243"/>
        <v>185</v>
      </c>
      <c r="LN63" s="963">
        <f t="shared" si="1276"/>
        <v>70</v>
      </c>
      <c r="LO63" s="963">
        <f t="shared" si="1244"/>
        <v>159</v>
      </c>
      <c r="LP63" s="963">
        <f t="shared" si="1245"/>
        <v>214</v>
      </c>
      <c r="LQ63" s="963">
        <f t="shared" si="1246"/>
        <v>157</v>
      </c>
      <c r="LR63" s="963">
        <f t="shared" si="1247"/>
        <v>170</v>
      </c>
      <c r="LS63" s="963">
        <f t="shared" si="1248"/>
        <v>174</v>
      </c>
      <c r="LT63" s="963">
        <f t="shared" si="1249"/>
        <v>82</v>
      </c>
      <c r="LU63" s="1159">
        <f t="shared" si="1250"/>
        <v>173</v>
      </c>
      <c r="LV63" s="1159">
        <f t="shared" si="1251"/>
        <v>153</v>
      </c>
      <c r="LW63" s="1159">
        <f t="shared" si="1252"/>
        <v>163</v>
      </c>
      <c r="LX63" s="1159">
        <f t="shared" si="1253"/>
        <v>166</v>
      </c>
      <c r="LY63" s="1159">
        <f t="shared" si="1254"/>
        <v>149</v>
      </c>
      <c r="LZ63" s="1159">
        <f t="shared" si="1255"/>
        <v>62</v>
      </c>
      <c r="MA63" s="1159">
        <f t="shared" si="1277"/>
        <v>188</v>
      </c>
      <c r="MB63" s="1159">
        <f t="shared" si="1277"/>
        <v>167</v>
      </c>
      <c r="MC63" s="1159">
        <f t="shared" si="1277"/>
        <v>143</v>
      </c>
      <c r="MD63" s="1159">
        <f t="shared" si="1277"/>
        <v>175</v>
      </c>
      <c r="ME63" s="1159">
        <f t="shared" si="1277"/>
        <v>0</v>
      </c>
      <c r="MF63" s="1159">
        <f t="shared" si="1277"/>
        <v>0</v>
      </c>
      <c r="MG63" s="1181">
        <f t="shared" si="1256"/>
        <v>0</v>
      </c>
      <c r="MH63" s="1181">
        <f t="shared" si="1257"/>
        <v>0</v>
      </c>
      <c r="MI63" s="1181">
        <f t="shared" si="1258"/>
        <v>0</v>
      </c>
      <c r="MJ63" s="1181">
        <f t="shared" si="1259"/>
        <v>0</v>
      </c>
      <c r="MK63" s="1181">
        <f t="shared" si="1278"/>
        <v>0</v>
      </c>
      <c r="ML63" s="1181">
        <f t="shared" si="1278"/>
        <v>0</v>
      </c>
      <c r="MM63" s="1181">
        <f t="shared" si="1278"/>
        <v>0</v>
      </c>
      <c r="MN63" s="1181">
        <f t="shared" si="1278"/>
        <v>0</v>
      </c>
      <c r="MO63" s="1181">
        <f t="shared" si="1278"/>
        <v>0</v>
      </c>
      <c r="MP63" s="1181">
        <f t="shared" si="1278"/>
        <v>0</v>
      </c>
      <c r="MQ63" s="1181">
        <f t="shared" si="1279"/>
        <v>0</v>
      </c>
      <c r="MR63" s="1181">
        <f t="shared" si="1279"/>
        <v>0</v>
      </c>
    </row>
    <row r="64" spans="1:356" s="1" customFormat="1" ht="15.75" thickBot="1" x14ac:dyDescent="0.3">
      <c r="A64" s="765"/>
      <c r="B64" s="104">
        <v>8.1300000000000008</v>
      </c>
      <c r="C64" s="4"/>
      <c r="D64" s="448"/>
      <c r="E64" s="1219" t="s">
        <v>62</v>
      </c>
      <c r="F64" s="1219"/>
      <c r="G64" s="1220"/>
      <c r="H64" s="378">
        <v>186</v>
      </c>
      <c r="I64" s="65">
        <v>192</v>
      </c>
      <c r="J64" s="17">
        <v>274</v>
      </c>
      <c r="K64" s="65">
        <v>287</v>
      </c>
      <c r="L64" s="17">
        <v>196</v>
      </c>
      <c r="M64" s="65">
        <v>116</v>
      </c>
      <c r="N64" s="17">
        <v>148</v>
      </c>
      <c r="O64" s="65">
        <v>278</v>
      </c>
      <c r="P64" s="17">
        <v>349</v>
      </c>
      <c r="Q64" s="65">
        <v>163</v>
      </c>
      <c r="R64" s="17">
        <v>110</v>
      </c>
      <c r="S64" s="65">
        <v>108</v>
      </c>
      <c r="T64" s="146">
        <v>2407</v>
      </c>
      <c r="U64" s="165">
        <v>200.58333333333334</v>
      </c>
      <c r="V64" s="378">
        <v>109</v>
      </c>
      <c r="W64" s="65">
        <v>124</v>
      </c>
      <c r="X64" s="17">
        <v>158</v>
      </c>
      <c r="Y64" s="65">
        <v>122</v>
      </c>
      <c r="Z64" s="17">
        <v>93</v>
      </c>
      <c r="AA64" s="65">
        <v>97</v>
      </c>
      <c r="AB64" s="17">
        <v>103</v>
      </c>
      <c r="AC64" s="65">
        <v>127</v>
      </c>
      <c r="AD64" s="17">
        <v>193</v>
      </c>
      <c r="AE64" s="65">
        <v>122</v>
      </c>
      <c r="AF64" s="17">
        <v>141</v>
      </c>
      <c r="AG64" s="65">
        <v>122</v>
      </c>
      <c r="AH64" s="146">
        <v>1511</v>
      </c>
      <c r="AI64" s="165">
        <v>125.91666666666667</v>
      </c>
      <c r="AJ64" s="378">
        <v>131</v>
      </c>
      <c r="AK64" s="65">
        <v>154</v>
      </c>
      <c r="AL64" s="17">
        <v>147</v>
      </c>
      <c r="AM64" s="65">
        <v>176</v>
      </c>
      <c r="AN64" s="17">
        <v>183</v>
      </c>
      <c r="AO64" s="65">
        <v>162</v>
      </c>
      <c r="AP64" s="628">
        <v>222</v>
      </c>
      <c r="AQ64" s="65">
        <v>216</v>
      </c>
      <c r="AR64" s="628">
        <v>229</v>
      </c>
      <c r="AS64" s="65">
        <v>301</v>
      </c>
      <c r="AT64" s="628">
        <v>187</v>
      </c>
      <c r="AU64" s="65">
        <v>129</v>
      </c>
      <c r="AV64" s="146">
        <f t="shared" si="1087"/>
        <v>2237</v>
      </c>
      <c r="AW64" s="165">
        <f t="shared" si="1088"/>
        <v>186.41666666666666</v>
      </c>
      <c r="AX64" s="378">
        <v>103</v>
      </c>
      <c r="AY64" s="65">
        <v>181</v>
      </c>
      <c r="AZ64" s="17">
        <v>157</v>
      </c>
      <c r="BA64" s="65">
        <v>5</v>
      </c>
      <c r="BB64" s="17">
        <v>7</v>
      </c>
      <c r="BC64" s="65">
        <v>50</v>
      </c>
      <c r="BD64" s="628">
        <v>9</v>
      </c>
      <c r="BE64" s="65">
        <v>26</v>
      </c>
      <c r="BF64" s="628">
        <v>23</v>
      </c>
      <c r="BG64" s="65">
        <v>17</v>
      </c>
      <c r="BH64" s="628">
        <v>18</v>
      </c>
      <c r="BI64" s="65">
        <v>15</v>
      </c>
      <c r="BJ64" s="146">
        <f t="shared" si="1091"/>
        <v>611</v>
      </c>
      <c r="BK64" s="165">
        <f t="shared" si="1092"/>
        <v>50.916666666666664</v>
      </c>
      <c r="BL64" s="378">
        <v>22</v>
      </c>
      <c r="BM64" s="65">
        <v>41</v>
      </c>
      <c r="BN64" s="17">
        <v>40</v>
      </c>
      <c r="BO64" s="65">
        <v>46</v>
      </c>
      <c r="BP64" s="17">
        <v>27</v>
      </c>
      <c r="BQ64" s="65">
        <v>20</v>
      </c>
      <c r="BR64" s="628">
        <v>28</v>
      </c>
      <c r="BS64" s="65">
        <v>110</v>
      </c>
      <c r="BT64" s="628">
        <v>94</v>
      </c>
      <c r="BU64" s="628">
        <v>60</v>
      </c>
      <c r="BV64" s="628">
        <v>52</v>
      </c>
      <c r="BW64" s="628">
        <v>34</v>
      </c>
      <c r="BX64" s="146">
        <f t="shared" si="1099"/>
        <v>574</v>
      </c>
      <c r="BY64" s="165">
        <f t="shared" si="1100"/>
        <v>47.833333333333336</v>
      </c>
      <c r="BZ64" s="628">
        <v>20</v>
      </c>
      <c r="CA64" s="65">
        <v>17</v>
      </c>
      <c r="CB64" s="17">
        <v>33</v>
      </c>
      <c r="CC64" s="65">
        <v>45</v>
      </c>
      <c r="CD64" s="17">
        <v>14</v>
      </c>
      <c r="CE64" s="65">
        <v>39</v>
      </c>
      <c r="CF64" s="628">
        <v>67</v>
      </c>
      <c r="CG64" s="65">
        <v>50</v>
      </c>
      <c r="CH64" s="628">
        <v>40</v>
      </c>
      <c r="CI64" s="628">
        <v>39</v>
      </c>
      <c r="CJ64" s="628">
        <v>49</v>
      </c>
      <c r="CK64" s="628">
        <v>17</v>
      </c>
      <c r="CL64" s="146">
        <f t="shared" si="1107"/>
        <v>430</v>
      </c>
      <c r="CM64" s="165">
        <f t="shared" si="1108"/>
        <v>35.833333333333336</v>
      </c>
      <c r="CN64" s="628">
        <v>44</v>
      </c>
      <c r="CO64" s="65">
        <v>35</v>
      </c>
      <c r="CP64" s="17">
        <v>39</v>
      </c>
      <c r="CQ64" s="65">
        <v>38</v>
      </c>
      <c r="CR64" s="1021">
        <v>21</v>
      </c>
      <c r="CS64" s="1022">
        <v>31</v>
      </c>
      <c r="CT64" s="1023">
        <v>67</v>
      </c>
      <c r="CU64" s="1022">
        <v>50</v>
      </c>
      <c r="CV64" s="1119">
        <v>25</v>
      </c>
      <c r="CW64" s="1120">
        <v>39</v>
      </c>
      <c r="CX64" s="1119">
        <v>22</v>
      </c>
      <c r="CY64" s="1121">
        <v>24</v>
      </c>
      <c r="CZ64" s="1122">
        <f t="shared" si="1115"/>
        <v>435</v>
      </c>
      <c r="DA64" s="1123">
        <f t="shared" si="1116"/>
        <v>36.25</v>
      </c>
      <c r="DB64" s="1023">
        <v>12</v>
      </c>
      <c r="DC64" s="1022">
        <v>30</v>
      </c>
      <c r="DD64" s="1021">
        <v>29</v>
      </c>
      <c r="DE64" s="1022">
        <v>25</v>
      </c>
      <c r="DF64" s="1021">
        <v>33</v>
      </c>
      <c r="DG64" s="1022">
        <v>4</v>
      </c>
      <c r="DH64" s="1023">
        <v>27</v>
      </c>
      <c r="DI64" s="1022">
        <v>7</v>
      </c>
      <c r="DJ64" s="1023">
        <v>27</v>
      </c>
      <c r="DK64" s="1022">
        <v>27</v>
      </c>
      <c r="DL64" s="1023"/>
      <c r="DM64" s="1022"/>
      <c r="DN64" s="1024">
        <f t="shared" si="1122"/>
        <v>221</v>
      </c>
      <c r="DO64" s="165">
        <f t="shared" si="1123"/>
        <v>22.1</v>
      </c>
      <c r="DP64" s="1023"/>
      <c r="DQ64" s="1022"/>
      <c r="DR64" s="1021"/>
      <c r="DS64" s="1022"/>
      <c r="DT64" s="1021"/>
      <c r="DU64" s="1022"/>
      <c r="DV64" s="1023"/>
      <c r="DW64" s="1022"/>
      <c r="DX64" s="1023"/>
      <c r="DY64" s="1022"/>
      <c r="DZ64" s="1023"/>
      <c r="EA64" s="1022"/>
      <c r="EB64" s="1024">
        <f t="shared" si="1124"/>
        <v>0</v>
      </c>
      <c r="EC64" s="165" t="e">
        <f t="shared" si="1125"/>
        <v>#DIV/0!</v>
      </c>
      <c r="ED64" s="658">
        <f t="shared" si="1197"/>
        <v>-26</v>
      </c>
      <c r="EE64" s="672">
        <f t="shared" si="1260"/>
        <v>-0.20155038759689922</v>
      </c>
      <c r="EF64" s="658">
        <f t="shared" si="1198"/>
        <v>78</v>
      </c>
      <c r="EG64" s="672">
        <f>EF64/AX64</f>
        <v>0.75728155339805825</v>
      </c>
      <c r="EH64" s="658">
        <f t="shared" si="1200"/>
        <v>-24</v>
      </c>
      <c r="EI64" s="672">
        <f t="shared" si="1201"/>
        <v>-0.13259668508287292</v>
      </c>
      <c r="EJ64" s="658">
        <f t="shared" si="1202"/>
        <v>-152</v>
      </c>
      <c r="EK64" s="672">
        <f t="shared" si="1203"/>
        <v>-0.96815286624203822</v>
      </c>
      <c r="EL64" s="658">
        <f t="shared" si="1204"/>
        <v>2</v>
      </c>
      <c r="EM64" s="672">
        <f>EL64/BA64</f>
        <v>0.4</v>
      </c>
      <c r="EN64" s="658">
        <f t="shared" si="1205"/>
        <v>43</v>
      </c>
      <c r="EO64" s="672">
        <f t="shared" si="1280"/>
        <v>6.1428571428571432</v>
      </c>
      <c r="EP64" s="658">
        <f t="shared" si="1206"/>
        <v>-41</v>
      </c>
      <c r="EQ64" s="672">
        <f>EP64/BC64</f>
        <v>-0.82</v>
      </c>
      <c r="ER64" s="658">
        <f t="shared" si="1207"/>
        <v>17</v>
      </c>
      <c r="ES64" s="672">
        <f>ER64/BD64</f>
        <v>1.8888888888888888</v>
      </c>
      <c r="ET64" s="658">
        <f t="shared" si="1208"/>
        <v>-3</v>
      </c>
      <c r="EU64" s="672">
        <f t="shared" si="1209"/>
        <v>-0.11538461538461539</v>
      </c>
      <c r="EV64" s="658">
        <f t="shared" si="1210"/>
        <v>-6</v>
      </c>
      <c r="EW64" s="192">
        <f t="shared" si="1211"/>
        <v>-0.2608695652173913</v>
      </c>
      <c r="EX64" s="658">
        <f t="shared" si="1212"/>
        <v>1</v>
      </c>
      <c r="EY64" s="672">
        <f t="shared" si="1213"/>
        <v>5.8823529411764705E-2</v>
      </c>
      <c r="EZ64" s="658">
        <f t="shared" si="1214"/>
        <v>-3</v>
      </c>
      <c r="FA64" s="672">
        <f>EZ64/BH64</f>
        <v>-0.16666666666666666</v>
      </c>
      <c r="FB64" s="658">
        <f t="shared" si="1215"/>
        <v>7</v>
      </c>
      <c r="FC64" s="672">
        <f t="shared" si="1216"/>
        <v>0.46666666666666667</v>
      </c>
      <c r="FD64" s="169">
        <f t="shared" si="1217"/>
        <v>19</v>
      </c>
      <c r="FE64" s="405">
        <f t="shared" si="1218"/>
        <v>0.86363636363636365</v>
      </c>
      <c r="FF64" s="169">
        <f t="shared" si="1219"/>
        <v>-1</v>
      </c>
      <c r="FG64" s="405">
        <f t="shared" si="1220"/>
        <v>-2.4390243902439025E-2</v>
      </c>
      <c r="FH64" s="169">
        <f t="shared" si="1221"/>
        <v>6</v>
      </c>
      <c r="FI64" s="405">
        <f t="shared" si="1222"/>
        <v>0.15</v>
      </c>
      <c r="FJ64" s="169">
        <f t="shared" si="1223"/>
        <v>-19</v>
      </c>
      <c r="FK64" s="405">
        <f t="shared" si="1261"/>
        <v>-0.41304347826086957</v>
      </c>
      <c r="FL64" s="169">
        <f t="shared" si="1126"/>
        <v>-7</v>
      </c>
      <c r="FM64" s="405">
        <f t="shared" si="1224"/>
        <v>-0.25925925925925924</v>
      </c>
      <c r="FN64" s="169">
        <f t="shared" si="1127"/>
        <v>8</v>
      </c>
      <c r="FO64" s="405">
        <f>FN64/BQ64</f>
        <v>0.4</v>
      </c>
      <c r="FP64" s="169">
        <f t="shared" si="1128"/>
        <v>82</v>
      </c>
      <c r="FQ64" s="405">
        <f>FP64/BR64</f>
        <v>2.9285714285714284</v>
      </c>
      <c r="FR64" s="169">
        <f t="shared" si="1129"/>
        <v>-16</v>
      </c>
      <c r="FS64" s="405">
        <f t="shared" si="1225"/>
        <v>-0.14545454545454545</v>
      </c>
      <c r="FT64" s="169">
        <f t="shared" si="1130"/>
        <v>-34</v>
      </c>
      <c r="FU64" s="405">
        <f t="shared" si="1262"/>
        <v>-0.36170212765957449</v>
      </c>
      <c r="FV64" s="169">
        <f t="shared" si="1131"/>
        <v>-8</v>
      </c>
      <c r="FW64" s="405">
        <f>FV64/BU64</f>
        <v>-0.13333333333333333</v>
      </c>
      <c r="FX64" s="169">
        <f t="shared" si="1133"/>
        <v>-18</v>
      </c>
      <c r="FY64" s="405">
        <f>FX64/BV64</f>
        <v>-0.34615384615384615</v>
      </c>
      <c r="FZ64" s="169">
        <f t="shared" si="1134"/>
        <v>-14</v>
      </c>
      <c r="GA64" s="405">
        <f>FZ64/BW64</f>
        <v>-0.41176470588235292</v>
      </c>
      <c r="GB64" s="169">
        <f t="shared" si="1135"/>
        <v>-3</v>
      </c>
      <c r="GC64" s="405">
        <f>GB64/BZ64</f>
        <v>-0.15</v>
      </c>
      <c r="GD64" s="169">
        <f t="shared" si="1136"/>
        <v>16</v>
      </c>
      <c r="GE64" s="405">
        <f t="shared" si="1263"/>
        <v>0.94117647058823528</v>
      </c>
      <c r="GF64" s="169">
        <f t="shared" si="1137"/>
        <v>12</v>
      </c>
      <c r="GG64" s="405">
        <f>GF64/CB64</f>
        <v>0.36363636363636365</v>
      </c>
      <c r="GH64" s="169">
        <f t="shared" si="1138"/>
        <v>-31</v>
      </c>
      <c r="GI64" s="405">
        <f>GH64/CC64</f>
        <v>-0.68888888888888888</v>
      </c>
      <c r="GJ64" s="169">
        <f t="shared" si="1139"/>
        <v>25</v>
      </c>
      <c r="GK64" s="405">
        <f t="shared" si="1194"/>
        <v>1.7857142857142858</v>
      </c>
      <c r="GL64" s="169">
        <f t="shared" si="1140"/>
        <v>28</v>
      </c>
      <c r="GM64" s="405">
        <f>GL64/CE64</f>
        <v>0.71794871794871795</v>
      </c>
      <c r="GN64" s="169">
        <f t="shared" si="1141"/>
        <v>-17</v>
      </c>
      <c r="GO64" s="405">
        <f>GN64/CF64</f>
        <v>-0.2537313432835821</v>
      </c>
      <c r="GP64" s="169">
        <f t="shared" si="1142"/>
        <v>-10</v>
      </c>
      <c r="GQ64" s="405">
        <f>GP64/CG64</f>
        <v>-0.2</v>
      </c>
      <c r="GR64" s="169">
        <f t="shared" si="1143"/>
        <v>-1</v>
      </c>
      <c r="GS64" s="405">
        <f t="shared" si="1144"/>
        <v>-2.5000000000000001E-2</v>
      </c>
      <c r="GT64" s="169">
        <f t="shared" si="1145"/>
        <v>10</v>
      </c>
      <c r="GU64" s="405">
        <f t="shared" si="1264"/>
        <v>0.25641025641025639</v>
      </c>
      <c r="GV64" s="169">
        <f t="shared" si="1146"/>
        <v>-32</v>
      </c>
      <c r="GW64" s="405">
        <f t="shared" si="1147"/>
        <v>-0.65306122448979587</v>
      </c>
      <c r="GX64" s="169">
        <f t="shared" si="1148"/>
        <v>27</v>
      </c>
      <c r="GY64" s="405">
        <f t="shared" si="1265"/>
        <v>1.588235294117647</v>
      </c>
      <c r="GZ64" s="169">
        <f t="shared" si="1149"/>
        <v>-9</v>
      </c>
      <c r="HA64" s="405">
        <f>GZ64/CN64</f>
        <v>-0.20454545454545456</v>
      </c>
      <c r="HB64" s="169">
        <f t="shared" si="1150"/>
        <v>4</v>
      </c>
      <c r="HC64" s="405">
        <f t="shared" si="1266"/>
        <v>0.11428571428571428</v>
      </c>
      <c r="HD64" s="169">
        <f t="shared" si="1151"/>
        <v>-1</v>
      </c>
      <c r="HE64" s="405">
        <f>HD64/CP64</f>
        <v>-2.564102564102564E-2</v>
      </c>
      <c r="HF64" s="169">
        <f t="shared" si="1152"/>
        <v>-17</v>
      </c>
      <c r="HG64" s="405">
        <f t="shared" si="1267"/>
        <v>-0.44736842105263158</v>
      </c>
      <c r="HH64" s="169">
        <f t="shared" si="1153"/>
        <v>10</v>
      </c>
      <c r="HI64" s="405">
        <f>HH64/CR64</f>
        <v>0.47619047619047616</v>
      </c>
      <c r="HJ64" s="169">
        <f t="shared" si="1154"/>
        <v>36</v>
      </c>
      <c r="HK64" s="405">
        <f>HJ64/CS64</f>
        <v>1.1612903225806452</v>
      </c>
      <c r="HL64" s="169">
        <f t="shared" si="1155"/>
        <v>-17</v>
      </c>
      <c r="HM64" s="405">
        <f>HL64/CT64</f>
        <v>-0.2537313432835821</v>
      </c>
      <c r="HN64" s="169">
        <f t="shared" si="1156"/>
        <v>-25</v>
      </c>
      <c r="HO64" s="405">
        <f t="shared" si="1196"/>
        <v>-0.5</v>
      </c>
      <c r="HP64" s="169">
        <f t="shared" si="1157"/>
        <v>14</v>
      </c>
      <c r="HQ64" s="405">
        <f>HP64/CV64</f>
        <v>0.56000000000000005</v>
      </c>
      <c r="HR64" s="169">
        <f t="shared" si="1158"/>
        <v>-17</v>
      </c>
      <c r="HS64" s="405">
        <f t="shared" si="1268"/>
        <v>-0.4358974358974359</v>
      </c>
      <c r="HT64" s="169">
        <f t="shared" si="1159"/>
        <v>2</v>
      </c>
      <c r="HU64" s="405">
        <f>HT64/CX64</f>
        <v>9.0909090909090912E-2</v>
      </c>
      <c r="HV64" s="169">
        <f t="shared" si="1160"/>
        <v>-12</v>
      </c>
      <c r="HW64" s="405">
        <f>HV64/CY64</f>
        <v>-0.5</v>
      </c>
      <c r="HX64" s="169">
        <f t="shared" si="1161"/>
        <v>18</v>
      </c>
      <c r="HY64" s="405">
        <f>HX64/DB64</f>
        <v>1.5</v>
      </c>
      <c r="HZ64" s="169">
        <f t="shared" si="1162"/>
        <v>-1</v>
      </c>
      <c r="IA64" s="405">
        <f>HZ64/DD64</f>
        <v>-3.4482758620689655E-2</v>
      </c>
      <c r="IB64" s="169">
        <f t="shared" si="1163"/>
        <v>-4</v>
      </c>
      <c r="IC64" s="405">
        <f>IB64/DD64</f>
        <v>-0.13793103448275862</v>
      </c>
      <c r="ID64" s="169">
        <f t="shared" si="1164"/>
        <v>8</v>
      </c>
      <c r="IE64" s="405">
        <f>ID64/DO64</f>
        <v>0.36199095022624433</v>
      </c>
      <c r="IF64" s="169">
        <f t="shared" si="1165"/>
        <v>-29</v>
      </c>
      <c r="IG64" s="405">
        <f t="shared" si="1166"/>
        <v>-0.87878787878787878</v>
      </c>
      <c r="IH64" s="169">
        <f t="shared" si="1167"/>
        <v>23</v>
      </c>
      <c r="II64" s="405">
        <f t="shared" si="1168"/>
        <v>5.75</v>
      </c>
      <c r="IJ64" s="169">
        <f t="shared" si="1169"/>
        <v>-20</v>
      </c>
      <c r="IK64" s="405">
        <f t="shared" si="1170"/>
        <v>-0.7407407407407407</v>
      </c>
      <c r="IL64" s="169">
        <f t="shared" si="1171"/>
        <v>20</v>
      </c>
      <c r="IM64" s="405">
        <f t="shared" si="1172"/>
        <v>2.8571428571428572</v>
      </c>
      <c r="IN64" s="169">
        <f t="shared" si="1173"/>
        <v>0</v>
      </c>
      <c r="IO64" s="405">
        <f t="shared" si="1174"/>
        <v>0</v>
      </c>
      <c r="IP64" s="169">
        <f t="shared" si="1175"/>
        <v>-27</v>
      </c>
      <c r="IQ64" s="405">
        <f t="shared" si="1176"/>
        <v>203.625</v>
      </c>
      <c r="IR64" s="169">
        <f t="shared" si="1177"/>
        <v>151.03184713375796</v>
      </c>
      <c r="IS64" s="405">
        <f t="shared" si="1178"/>
        <v>-0.99363057324840764</v>
      </c>
      <c r="IT64" s="628">
        <f t="shared" si="1179"/>
        <v>39</v>
      </c>
      <c r="IU64" s="1081">
        <f t="shared" si="1180"/>
        <v>27</v>
      </c>
      <c r="IV64" s="124">
        <f t="shared" si="1181"/>
        <v>-12</v>
      </c>
      <c r="IW64" s="192">
        <f t="shared" si="1182"/>
        <v>-0.30769230769230771</v>
      </c>
      <c r="IX64" s="696"/>
      <c r="IY64" s="696"/>
      <c r="IZ64" s="696"/>
      <c r="JA64" s="1" t="str">
        <f t="shared" si="1183"/>
        <v>Number Attending eLearning</v>
      </c>
      <c r="JB64" s="274" t="e">
        <f>#REF!</f>
        <v>#REF!</v>
      </c>
      <c r="JC64" s="274" t="e">
        <f>#REF!</f>
        <v>#REF!</v>
      </c>
      <c r="JD64" s="274" t="e">
        <f>#REF!</f>
        <v>#REF!</v>
      </c>
      <c r="JE64" s="274" t="e">
        <f>#REF!</f>
        <v>#REF!</v>
      </c>
      <c r="JF64" s="274" t="e">
        <f>#REF!</f>
        <v>#REF!</v>
      </c>
      <c r="JG64" s="274" t="e">
        <f>#REF!</f>
        <v>#REF!</v>
      </c>
      <c r="JH64" s="274" t="e">
        <f>#REF!</f>
        <v>#REF!</v>
      </c>
      <c r="JI64" s="274" t="e">
        <f>#REF!</f>
        <v>#REF!</v>
      </c>
      <c r="JJ64" s="274" t="e">
        <f>#REF!</f>
        <v>#REF!</v>
      </c>
      <c r="JK64" s="274" t="e">
        <f>#REF!</f>
        <v>#REF!</v>
      </c>
      <c r="JL64" s="274" t="e">
        <f>#REF!</f>
        <v>#REF!</v>
      </c>
      <c r="JM64" s="275">
        <f t="shared" si="1269"/>
        <v>131</v>
      </c>
      <c r="JN64" s="275">
        <f t="shared" si="1269"/>
        <v>154</v>
      </c>
      <c r="JO64" s="275">
        <f t="shared" si="1269"/>
        <v>147</v>
      </c>
      <c r="JP64" s="275">
        <f t="shared" si="1269"/>
        <v>176</v>
      </c>
      <c r="JQ64" s="275">
        <f t="shared" si="1269"/>
        <v>183</v>
      </c>
      <c r="JR64" s="275">
        <f t="shared" si="1269"/>
        <v>162</v>
      </c>
      <c r="JS64" s="275">
        <f t="shared" si="1269"/>
        <v>222</v>
      </c>
      <c r="JT64" s="275">
        <f t="shared" si="1269"/>
        <v>216</v>
      </c>
      <c r="JU64" s="275">
        <f t="shared" si="1269"/>
        <v>229</v>
      </c>
      <c r="JV64" s="275">
        <f t="shared" si="1269"/>
        <v>301</v>
      </c>
      <c r="JW64" s="275">
        <f t="shared" si="1269"/>
        <v>187</v>
      </c>
      <c r="JX64" s="275">
        <f t="shared" si="1269"/>
        <v>129</v>
      </c>
      <c r="JY64" s="275">
        <f t="shared" si="1270"/>
        <v>103</v>
      </c>
      <c r="JZ64" s="275">
        <f t="shared" si="1270"/>
        <v>181</v>
      </c>
      <c r="KA64" s="275">
        <f t="shared" si="1270"/>
        <v>157</v>
      </c>
      <c r="KB64" s="275">
        <f t="shared" si="1270"/>
        <v>5</v>
      </c>
      <c r="KC64" s="275">
        <f t="shared" si="1270"/>
        <v>7</v>
      </c>
      <c r="KD64" s="275">
        <f t="shared" si="1270"/>
        <v>50</v>
      </c>
      <c r="KE64" s="275">
        <f t="shared" si="1270"/>
        <v>9</v>
      </c>
      <c r="KF64" s="275">
        <f t="shared" si="1270"/>
        <v>26</v>
      </c>
      <c r="KG64" s="275">
        <f t="shared" si="1270"/>
        <v>23</v>
      </c>
      <c r="KH64" s="275">
        <f t="shared" si="1270"/>
        <v>17</v>
      </c>
      <c r="KI64" s="275">
        <f t="shared" si="1270"/>
        <v>18</v>
      </c>
      <c r="KJ64" s="275">
        <f t="shared" si="1270"/>
        <v>15</v>
      </c>
      <c r="KK64" s="794">
        <f t="shared" si="1271"/>
        <v>22</v>
      </c>
      <c r="KL64" s="794">
        <f t="shared" si="1271"/>
        <v>41</v>
      </c>
      <c r="KM64" s="794">
        <f t="shared" si="1271"/>
        <v>40</v>
      </c>
      <c r="KN64" s="794">
        <f t="shared" si="1271"/>
        <v>46</v>
      </c>
      <c r="KO64" s="794">
        <f t="shared" si="1271"/>
        <v>27</v>
      </c>
      <c r="KP64" s="794">
        <f t="shared" si="1226"/>
        <v>20</v>
      </c>
      <c r="KQ64" s="794">
        <f t="shared" si="1227"/>
        <v>28</v>
      </c>
      <c r="KR64" s="794">
        <f t="shared" si="1228"/>
        <v>110</v>
      </c>
      <c r="KS64" s="794">
        <f t="shared" si="1229"/>
        <v>94</v>
      </c>
      <c r="KT64" s="794">
        <f t="shared" si="1272"/>
        <v>60</v>
      </c>
      <c r="KU64" s="794">
        <f t="shared" si="1230"/>
        <v>52</v>
      </c>
      <c r="KV64" s="794">
        <f t="shared" si="1273"/>
        <v>34</v>
      </c>
      <c r="KW64" s="906">
        <f t="shared" si="1231"/>
        <v>20</v>
      </c>
      <c r="KX64" s="906">
        <f t="shared" si="1232"/>
        <v>17</v>
      </c>
      <c r="KY64" s="906">
        <f t="shared" si="1233"/>
        <v>33</v>
      </c>
      <c r="KZ64" s="906">
        <f t="shared" si="1234"/>
        <v>45</v>
      </c>
      <c r="LA64" s="906">
        <f t="shared" si="1235"/>
        <v>14</v>
      </c>
      <c r="LB64" s="906">
        <f t="shared" si="1236"/>
        <v>39</v>
      </c>
      <c r="LC64" s="906">
        <f t="shared" si="1237"/>
        <v>67</v>
      </c>
      <c r="LD64" s="906">
        <f t="shared" si="1274"/>
        <v>50</v>
      </c>
      <c r="LE64" s="906">
        <f t="shared" si="1274"/>
        <v>40</v>
      </c>
      <c r="LF64" s="906">
        <f t="shared" si="1274"/>
        <v>39</v>
      </c>
      <c r="LG64" s="906">
        <f t="shared" si="1238"/>
        <v>49</v>
      </c>
      <c r="LH64" s="906">
        <f t="shared" si="1275"/>
        <v>17</v>
      </c>
      <c r="LI64" s="965">
        <f t="shared" si="1239"/>
        <v>44</v>
      </c>
      <c r="LJ64" s="965">
        <f t="shared" si="1240"/>
        <v>35</v>
      </c>
      <c r="LK64" s="965">
        <f t="shared" si="1241"/>
        <v>39</v>
      </c>
      <c r="LL64" s="965">
        <f t="shared" si="1242"/>
        <v>38</v>
      </c>
      <c r="LM64" s="965">
        <f t="shared" si="1243"/>
        <v>21</v>
      </c>
      <c r="LN64" s="965">
        <f t="shared" si="1276"/>
        <v>31</v>
      </c>
      <c r="LO64" s="965">
        <f t="shared" si="1244"/>
        <v>67</v>
      </c>
      <c r="LP64" s="965">
        <f t="shared" si="1245"/>
        <v>50</v>
      </c>
      <c r="LQ64" s="965">
        <f t="shared" si="1246"/>
        <v>25</v>
      </c>
      <c r="LR64" s="965">
        <f t="shared" si="1247"/>
        <v>39</v>
      </c>
      <c r="LS64" s="965">
        <f t="shared" si="1248"/>
        <v>22</v>
      </c>
      <c r="LT64" s="965">
        <f t="shared" si="1249"/>
        <v>24</v>
      </c>
      <c r="LU64" s="1161">
        <f t="shared" si="1250"/>
        <v>12</v>
      </c>
      <c r="LV64" s="1161">
        <f t="shared" si="1251"/>
        <v>30</v>
      </c>
      <c r="LW64" s="1161">
        <f t="shared" si="1252"/>
        <v>29</v>
      </c>
      <c r="LX64" s="1161">
        <f t="shared" si="1253"/>
        <v>25</v>
      </c>
      <c r="LY64" s="1161">
        <f t="shared" si="1254"/>
        <v>33</v>
      </c>
      <c r="LZ64" s="1161">
        <f t="shared" si="1255"/>
        <v>4</v>
      </c>
      <c r="MA64" s="1161">
        <f t="shared" si="1277"/>
        <v>27</v>
      </c>
      <c r="MB64" s="1161">
        <f t="shared" si="1277"/>
        <v>7</v>
      </c>
      <c r="MC64" s="1161">
        <f t="shared" si="1277"/>
        <v>27</v>
      </c>
      <c r="MD64" s="1161">
        <f t="shared" si="1277"/>
        <v>27</v>
      </c>
      <c r="ME64" s="1161">
        <f t="shared" si="1277"/>
        <v>0</v>
      </c>
      <c r="MF64" s="1161">
        <f t="shared" si="1277"/>
        <v>0</v>
      </c>
      <c r="MG64" s="1183">
        <f t="shared" si="1256"/>
        <v>0</v>
      </c>
      <c r="MH64" s="1183">
        <f t="shared" si="1257"/>
        <v>0</v>
      </c>
      <c r="MI64" s="1183">
        <f t="shared" si="1258"/>
        <v>0</v>
      </c>
      <c r="MJ64" s="1183">
        <f t="shared" si="1259"/>
        <v>0</v>
      </c>
      <c r="MK64" s="1183">
        <f t="shared" si="1278"/>
        <v>0</v>
      </c>
      <c r="ML64" s="1183">
        <f t="shared" si="1278"/>
        <v>0</v>
      </c>
      <c r="MM64" s="1183">
        <f t="shared" si="1278"/>
        <v>0</v>
      </c>
      <c r="MN64" s="1183">
        <f t="shared" si="1278"/>
        <v>0</v>
      </c>
      <c r="MO64" s="1183">
        <f t="shared" si="1278"/>
        <v>0</v>
      </c>
      <c r="MP64" s="1183">
        <f t="shared" si="1278"/>
        <v>0</v>
      </c>
      <c r="MQ64" s="1183">
        <f t="shared" si="1279"/>
        <v>0</v>
      </c>
      <c r="MR64" s="1183">
        <f t="shared" si="1279"/>
        <v>0</v>
      </c>
    </row>
    <row r="65" spans="1:356" s="12" customFormat="1" ht="15.75" customHeight="1" x14ac:dyDescent="0.25">
      <c r="A65" s="764">
        <v>9</v>
      </c>
      <c r="B65" s="7" t="s">
        <v>4</v>
      </c>
      <c r="C65" s="9"/>
      <c r="D65" s="449"/>
      <c r="E65" s="456"/>
      <c r="F65" s="456"/>
      <c r="G65" s="456"/>
      <c r="H65" s="390"/>
      <c r="I65" s="73"/>
      <c r="J65" s="26"/>
      <c r="K65" s="73"/>
      <c r="L65" s="26"/>
      <c r="M65" s="73"/>
      <c r="N65" s="26"/>
      <c r="O65" s="73"/>
      <c r="P65" s="26"/>
      <c r="Q65" s="73"/>
      <c r="R65" s="26"/>
      <c r="S65" s="73"/>
      <c r="T65" s="147"/>
      <c r="U65" s="166"/>
      <c r="V65" s="390"/>
      <c r="W65" s="73"/>
      <c r="X65" s="26"/>
      <c r="Y65" s="73"/>
      <c r="Z65" s="26"/>
      <c r="AA65" s="73"/>
      <c r="AB65" s="26"/>
      <c r="AC65" s="73"/>
      <c r="AD65" s="26"/>
      <c r="AE65" s="73"/>
      <c r="AF65" s="26"/>
      <c r="AG65" s="73"/>
      <c r="AH65" s="147"/>
      <c r="AI65" s="166"/>
      <c r="AJ65" s="390"/>
      <c r="AK65" s="73"/>
      <c r="AL65" s="26"/>
      <c r="AM65" s="73"/>
      <c r="AN65" s="26"/>
      <c r="AO65" s="73"/>
      <c r="AP65" s="643"/>
      <c r="AQ65" s="73"/>
      <c r="AR65" s="643"/>
      <c r="AS65" s="73"/>
      <c r="AT65" s="643"/>
      <c r="AU65" s="73"/>
      <c r="AV65" s="147"/>
      <c r="AW65" s="166"/>
      <c r="AX65" s="390"/>
      <c r="AY65" s="73"/>
      <c r="AZ65" s="26"/>
      <c r="BA65" s="73"/>
      <c r="BB65" s="26"/>
      <c r="BC65" s="73"/>
      <c r="BD65" s="643"/>
      <c r="BE65" s="73"/>
      <c r="BF65" s="643"/>
      <c r="BG65" s="73"/>
      <c r="BH65" s="643"/>
      <c r="BI65" s="73"/>
      <c r="BJ65" s="147"/>
      <c r="BK65" s="166"/>
      <c r="BL65" s="390"/>
      <c r="BM65" s="73"/>
      <c r="BN65" s="26"/>
      <c r="BO65" s="73"/>
      <c r="BP65" s="26"/>
      <c r="BQ65" s="73"/>
      <c r="BR65" s="643"/>
      <c r="BS65" s="73"/>
      <c r="BT65" s="643"/>
      <c r="BU65" s="643"/>
      <c r="BV65" s="643"/>
      <c r="BW65" s="643"/>
      <c r="BX65" s="147"/>
      <c r="BY65" s="166"/>
      <c r="BZ65" s="643"/>
      <c r="CA65" s="73"/>
      <c r="CB65" s="26"/>
      <c r="CC65" s="73"/>
      <c r="CD65" s="26"/>
      <c r="CE65" s="73"/>
      <c r="CF65" s="643"/>
      <c r="CG65" s="73"/>
      <c r="CH65" s="643"/>
      <c r="CI65" s="643"/>
      <c r="CJ65" s="643"/>
      <c r="CK65" s="643"/>
      <c r="CL65" s="147"/>
      <c r="CM65" s="166"/>
      <c r="CN65" s="643"/>
      <c r="CO65" s="73"/>
      <c r="CP65" s="26"/>
      <c r="CQ65" s="73"/>
      <c r="CR65" s="26"/>
      <c r="CS65" s="73"/>
      <c r="CT65" s="643"/>
      <c r="CU65" s="73"/>
      <c r="CV65" s="643"/>
      <c r="CW65" s="1082"/>
      <c r="CX65" s="643"/>
      <c r="CY65" s="73"/>
      <c r="CZ65" s="147"/>
      <c r="DA65" s="166"/>
      <c r="DB65" s="643"/>
      <c r="DC65" s="73"/>
      <c r="DD65" s="26"/>
      <c r="DE65" s="73"/>
      <c r="DF65" s="26"/>
      <c r="DG65" s="73"/>
      <c r="DH65" s="643"/>
      <c r="DI65" s="73"/>
      <c r="DJ65" s="643"/>
      <c r="DK65" s="73"/>
      <c r="DL65" s="643"/>
      <c r="DM65" s="73"/>
      <c r="DN65" s="147"/>
      <c r="DO65" s="166"/>
      <c r="DP65" s="643"/>
      <c r="DQ65" s="73"/>
      <c r="DR65" s="26"/>
      <c r="DS65" s="73"/>
      <c r="DT65" s="26"/>
      <c r="DU65" s="73"/>
      <c r="DV65" s="643"/>
      <c r="DW65" s="73"/>
      <c r="DX65" s="643"/>
      <c r="DY65" s="73"/>
      <c r="DZ65" s="643"/>
      <c r="EA65" s="73"/>
      <c r="EB65" s="147"/>
      <c r="EC65" s="166"/>
      <c r="ED65" s="118"/>
      <c r="EE65" s="663"/>
      <c r="EF65" s="118"/>
      <c r="EG65" s="663"/>
      <c r="EH65" s="118"/>
      <c r="EI65" s="663"/>
      <c r="EJ65" s="118"/>
      <c r="EK65" s="663"/>
      <c r="EL65" s="118"/>
      <c r="EM65" s="663"/>
      <c r="EN65" s="118"/>
      <c r="EO65" s="663"/>
      <c r="EP65" s="118"/>
      <c r="EQ65" s="663"/>
      <c r="ER65" s="118"/>
      <c r="ES65" s="663"/>
      <c r="ET65" s="118"/>
      <c r="EU65" s="663"/>
      <c r="EV65" s="118"/>
      <c r="EW65" s="109"/>
      <c r="EX65" s="118"/>
      <c r="EY65" s="663"/>
      <c r="EZ65" s="118"/>
      <c r="FA65" s="663"/>
      <c r="FB65" s="118"/>
      <c r="FC65" s="663"/>
      <c r="FD65" s="319"/>
      <c r="FE65" s="402"/>
      <c r="FF65" s="319"/>
      <c r="FG65" s="402"/>
      <c r="FH65" s="319"/>
      <c r="FI65" s="402"/>
      <c r="FJ65" s="319"/>
      <c r="FK65" s="402"/>
      <c r="FL65" s="319"/>
      <c r="FM65" s="402"/>
      <c r="FN65" s="319"/>
      <c r="FO65" s="402"/>
      <c r="FP65" s="319"/>
      <c r="FQ65" s="402"/>
      <c r="FR65" s="319"/>
      <c r="FS65" s="402"/>
      <c r="FT65" s="319"/>
      <c r="FU65" s="402"/>
      <c r="FV65" s="319"/>
      <c r="FW65" s="402"/>
      <c r="FX65" s="319"/>
      <c r="FY65" s="402"/>
      <c r="FZ65" s="319"/>
      <c r="GA65" s="402"/>
      <c r="GB65" s="319"/>
      <c r="GC65" s="402"/>
      <c r="GD65" s="319"/>
      <c r="GE65" s="402"/>
      <c r="GF65" s="319"/>
      <c r="GG65" s="402"/>
      <c r="GH65" s="319"/>
      <c r="GI65" s="402"/>
      <c r="GJ65" s="319"/>
      <c r="GK65" s="402"/>
      <c r="GL65" s="319"/>
      <c r="GM65" s="402"/>
      <c r="GN65" s="319"/>
      <c r="GO65" s="402"/>
      <c r="GP65" s="319"/>
      <c r="GQ65" s="402"/>
      <c r="GR65" s="319"/>
      <c r="GS65" s="402"/>
      <c r="GT65" s="319"/>
      <c r="GU65" s="402"/>
      <c r="GV65" s="319"/>
      <c r="GW65" s="402"/>
      <c r="GX65" s="319"/>
      <c r="GY65" s="402"/>
      <c r="GZ65" s="319"/>
      <c r="HA65" s="402"/>
      <c r="HB65" s="319"/>
      <c r="HC65" s="402"/>
      <c r="HD65" s="319"/>
      <c r="HE65" s="402"/>
      <c r="HF65" s="319"/>
      <c r="HG65" s="402"/>
      <c r="HH65" s="319"/>
      <c r="HI65" s="402"/>
      <c r="HJ65" s="319"/>
      <c r="HK65" s="402"/>
      <c r="HL65" s="319"/>
      <c r="HM65" s="402"/>
      <c r="HN65" s="319"/>
      <c r="HO65" s="402"/>
      <c r="HP65" s="319"/>
      <c r="HQ65" s="402"/>
      <c r="HR65" s="319"/>
      <c r="HS65" s="402"/>
      <c r="HT65" s="319"/>
      <c r="HU65" s="402"/>
      <c r="HV65" s="319"/>
      <c r="HW65" s="402"/>
      <c r="HX65" s="319"/>
      <c r="HY65" s="402"/>
      <c r="HZ65" s="319"/>
      <c r="IA65" s="402"/>
      <c r="IB65" s="319"/>
      <c r="IC65" s="402"/>
      <c r="ID65" s="319"/>
      <c r="IE65" s="402"/>
      <c r="IF65" s="319"/>
      <c r="IG65" s="402"/>
      <c r="IH65" s="319"/>
      <c r="II65" s="402"/>
      <c r="IJ65" s="319"/>
      <c r="IK65" s="402"/>
      <c r="IL65" s="319"/>
      <c r="IM65" s="402"/>
      <c r="IN65" s="319"/>
      <c r="IO65" s="402"/>
      <c r="IP65" s="319"/>
      <c r="IQ65" s="402"/>
      <c r="IR65" s="319"/>
      <c r="IS65" s="402"/>
      <c r="IT65" s="643"/>
      <c r="IU65" s="1082"/>
      <c r="IV65" s="118"/>
      <c r="IW65" s="109"/>
      <c r="IX65" s="698"/>
      <c r="IY65" s="698"/>
      <c r="IZ65" s="698"/>
      <c r="JB65" s="276"/>
      <c r="JC65" s="276"/>
      <c r="JD65" s="276"/>
      <c r="JE65" s="276"/>
      <c r="JF65" s="276"/>
      <c r="JG65" s="276"/>
      <c r="JH65" s="276"/>
      <c r="JI65" s="276"/>
      <c r="JJ65" s="276"/>
      <c r="JK65" s="276"/>
      <c r="JL65" s="276"/>
      <c r="JM65" s="277"/>
      <c r="JN65" s="277"/>
      <c r="JO65" s="277"/>
      <c r="JP65" s="277"/>
      <c r="JQ65" s="277"/>
      <c r="JR65" s="277"/>
      <c r="JS65" s="277"/>
      <c r="JT65" s="277"/>
      <c r="JU65" s="277"/>
      <c r="JV65" s="277"/>
      <c r="JW65" s="277"/>
      <c r="JX65" s="277"/>
      <c r="JY65" s="277"/>
      <c r="JZ65" s="277"/>
      <c r="KA65" s="277"/>
      <c r="KB65" s="277"/>
      <c r="KC65" s="277"/>
      <c r="KD65" s="277"/>
      <c r="KE65" s="277"/>
      <c r="KF65" s="277"/>
      <c r="KG65" s="277"/>
      <c r="KH65" s="277"/>
      <c r="KI65" s="277"/>
      <c r="KJ65" s="277"/>
      <c r="KK65" s="795"/>
      <c r="KL65" s="795"/>
      <c r="KM65" s="795"/>
      <c r="KN65" s="795"/>
      <c r="KO65" s="795"/>
      <c r="KP65" s="795"/>
      <c r="KQ65" s="795"/>
      <c r="KR65" s="795"/>
      <c r="KS65" s="795"/>
      <c r="KT65" s="795"/>
      <c r="KU65" s="795"/>
      <c r="KV65" s="795"/>
      <c r="KW65" s="907"/>
      <c r="KX65" s="907"/>
      <c r="KY65" s="907"/>
      <c r="KZ65" s="907"/>
      <c r="LA65" s="907"/>
      <c r="LB65" s="907"/>
      <c r="LC65" s="907"/>
      <c r="LD65" s="907"/>
      <c r="LE65" s="907"/>
      <c r="LF65" s="907"/>
      <c r="LG65" s="907"/>
      <c r="LH65" s="907"/>
      <c r="LI65" s="966"/>
      <c r="LJ65" s="966"/>
      <c r="LK65" s="966"/>
      <c r="LL65" s="966"/>
      <c r="LM65" s="966"/>
      <c r="LN65" s="966"/>
      <c r="LO65" s="966"/>
      <c r="LP65" s="966"/>
      <c r="LQ65" s="966"/>
      <c r="LR65" s="966"/>
      <c r="LS65" s="966"/>
      <c r="LT65" s="966"/>
      <c r="LU65" s="1162"/>
      <c r="LV65" s="1162"/>
      <c r="LW65" s="1162"/>
      <c r="LX65" s="1162"/>
      <c r="LY65" s="1162"/>
      <c r="LZ65" s="1162"/>
      <c r="MA65" s="1162"/>
      <c r="MB65" s="1162"/>
      <c r="MC65" s="1162"/>
      <c r="MD65" s="1162"/>
      <c r="ME65" s="1162"/>
      <c r="MF65" s="1162"/>
      <c r="MG65" s="1184"/>
      <c r="MH65" s="1184"/>
      <c r="MI65" s="1184"/>
      <c r="MJ65" s="1184"/>
      <c r="MK65" s="1184"/>
      <c r="ML65" s="1184"/>
      <c r="MM65" s="1184"/>
      <c r="MN65" s="1184"/>
      <c r="MO65" s="1184"/>
      <c r="MP65" s="1184"/>
      <c r="MQ65" s="1184"/>
      <c r="MR65" s="1184"/>
    </row>
    <row r="66" spans="1:356" s="36" customFormat="1" x14ac:dyDescent="0.25">
      <c r="A66" s="770"/>
      <c r="B66" s="56">
        <v>9.1</v>
      </c>
      <c r="C66" s="35"/>
      <c r="D66" s="457"/>
      <c r="E66" s="1210" t="s">
        <v>68</v>
      </c>
      <c r="F66" s="1210"/>
      <c r="G66" s="1211"/>
      <c r="H66" s="391">
        <v>1</v>
      </c>
      <c r="I66" s="74">
        <v>1</v>
      </c>
      <c r="J66" s="19">
        <v>0.94320000000000004</v>
      </c>
      <c r="K66" s="74">
        <v>1</v>
      </c>
      <c r="L66" s="19">
        <v>1</v>
      </c>
      <c r="M66" s="74">
        <v>1</v>
      </c>
      <c r="N66" s="19">
        <v>1</v>
      </c>
      <c r="O66" s="74">
        <v>1</v>
      </c>
      <c r="P66" s="19">
        <v>1</v>
      </c>
      <c r="Q66" s="74">
        <v>1</v>
      </c>
      <c r="R66" s="19">
        <v>1</v>
      </c>
      <c r="S66" s="74">
        <v>1</v>
      </c>
      <c r="T66" s="132" t="s">
        <v>29</v>
      </c>
      <c r="U66" s="151">
        <v>0.99526666666666674</v>
      </c>
      <c r="V66" s="391">
        <v>1</v>
      </c>
      <c r="W66" s="74">
        <v>1</v>
      </c>
      <c r="X66" s="19">
        <v>1</v>
      </c>
      <c r="Y66" s="74">
        <v>0.99860000000000004</v>
      </c>
      <c r="Z66" s="19">
        <v>1</v>
      </c>
      <c r="AA66" s="74">
        <v>1</v>
      </c>
      <c r="AB66" s="19">
        <v>1</v>
      </c>
      <c r="AC66" s="74">
        <v>1</v>
      </c>
      <c r="AD66" s="19">
        <v>1</v>
      </c>
      <c r="AE66" s="74">
        <v>1</v>
      </c>
      <c r="AF66" s="19">
        <v>1</v>
      </c>
      <c r="AG66" s="74">
        <v>1</v>
      </c>
      <c r="AH66" s="132" t="s">
        <v>29</v>
      </c>
      <c r="AI66" s="151">
        <v>0.99988333333333335</v>
      </c>
      <c r="AJ66" s="391">
        <v>1</v>
      </c>
      <c r="AK66" s="74">
        <v>0.998</v>
      </c>
      <c r="AL66" s="19">
        <v>1</v>
      </c>
      <c r="AM66" s="74">
        <v>1</v>
      </c>
      <c r="AN66" s="19">
        <v>1</v>
      </c>
      <c r="AO66" s="74">
        <v>1</v>
      </c>
      <c r="AP66" s="644">
        <v>1</v>
      </c>
      <c r="AQ66" s="74">
        <v>1</v>
      </c>
      <c r="AR66" s="644">
        <v>1</v>
      </c>
      <c r="AS66" s="74">
        <v>1</v>
      </c>
      <c r="AT66" s="644">
        <v>1</v>
      </c>
      <c r="AU66" s="74">
        <v>1</v>
      </c>
      <c r="AV66" s="132" t="s">
        <v>29</v>
      </c>
      <c r="AW66" s="151">
        <f>SUM(AJ66:AU66)/$AV$4</f>
        <v>0.99983333333333346</v>
      </c>
      <c r="AX66" s="391">
        <v>1</v>
      </c>
      <c r="AY66" s="74">
        <v>0.99739999999999995</v>
      </c>
      <c r="AZ66" s="19">
        <v>1</v>
      </c>
      <c r="BA66" s="74">
        <v>1</v>
      </c>
      <c r="BB66" s="19">
        <v>1</v>
      </c>
      <c r="BC66" s="74">
        <v>1</v>
      </c>
      <c r="BD66" s="644">
        <v>1</v>
      </c>
      <c r="BE66" s="74">
        <v>1</v>
      </c>
      <c r="BF66" s="644">
        <v>1</v>
      </c>
      <c r="BG66" s="74">
        <v>1</v>
      </c>
      <c r="BH66" s="644">
        <v>1</v>
      </c>
      <c r="BI66" s="74">
        <v>1</v>
      </c>
      <c r="BJ66" s="132" t="s">
        <v>29</v>
      </c>
      <c r="BK66" s="151">
        <f>SUM(AX66:BI66)/$BJ$4</f>
        <v>0.99978333333333325</v>
      </c>
      <c r="BL66" s="391">
        <v>1</v>
      </c>
      <c r="BM66" s="74">
        <v>1</v>
      </c>
      <c r="BN66" s="19">
        <v>0.99329999999999996</v>
      </c>
      <c r="BO66" s="74">
        <v>1</v>
      </c>
      <c r="BP66" s="19">
        <v>1</v>
      </c>
      <c r="BQ66" s="74">
        <v>1</v>
      </c>
      <c r="BR66" s="644">
        <v>1</v>
      </c>
      <c r="BS66" s="74">
        <v>1</v>
      </c>
      <c r="BT66" s="644">
        <v>1</v>
      </c>
      <c r="BU66" s="644">
        <v>0.99839999999999995</v>
      </c>
      <c r="BV66" s="644">
        <v>1</v>
      </c>
      <c r="BW66" s="644">
        <v>1</v>
      </c>
      <c r="BX66" s="132" t="s">
        <v>29</v>
      </c>
      <c r="BY66" s="151">
        <f>SUM(BL66:BW66)/$BX$4</f>
        <v>0.99930833333333335</v>
      </c>
      <c r="BZ66" s="644">
        <v>1</v>
      </c>
      <c r="CA66" s="74">
        <v>1</v>
      </c>
      <c r="CB66" s="19">
        <v>1</v>
      </c>
      <c r="CC66" s="74">
        <v>1</v>
      </c>
      <c r="CD66" s="19">
        <v>1</v>
      </c>
      <c r="CE66" s="74">
        <v>1</v>
      </c>
      <c r="CF66" s="644">
        <v>1</v>
      </c>
      <c r="CG66" s="74">
        <v>1</v>
      </c>
      <c r="CH66" s="644">
        <v>1</v>
      </c>
      <c r="CI66" s="644">
        <v>1</v>
      </c>
      <c r="CJ66" s="644">
        <v>1</v>
      </c>
      <c r="CK66" s="644">
        <v>1</v>
      </c>
      <c r="CL66" s="132" t="s">
        <v>29</v>
      </c>
      <c r="CM66" s="151">
        <f>SUM(BZ66:CK66)/$CL$4</f>
        <v>1</v>
      </c>
      <c r="CN66" s="644">
        <v>1</v>
      </c>
      <c r="CO66" s="74">
        <v>1</v>
      </c>
      <c r="CP66" s="19">
        <v>1</v>
      </c>
      <c r="CQ66" s="74">
        <v>1</v>
      </c>
      <c r="CR66" s="19">
        <v>1</v>
      </c>
      <c r="CS66" s="74">
        <v>1</v>
      </c>
      <c r="CT66" s="644">
        <v>1</v>
      </c>
      <c r="CU66" s="74">
        <v>1</v>
      </c>
      <c r="CV66" s="644">
        <v>1</v>
      </c>
      <c r="CW66" s="1083">
        <v>1</v>
      </c>
      <c r="CX66" s="644">
        <v>1</v>
      </c>
      <c r="CY66" s="74">
        <v>1</v>
      </c>
      <c r="CZ66" s="132" t="s">
        <v>29</v>
      </c>
      <c r="DA66" s="151">
        <f>SUM(CN66:CY66)/$CZ$4</f>
        <v>1</v>
      </c>
      <c r="DB66" s="644">
        <v>1</v>
      </c>
      <c r="DC66" s="74">
        <v>0.99709999999999999</v>
      </c>
      <c r="DD66" s="19">
        <v>1</v>
      </c>
      <c r="DE66" s="74">
        <v>0.99870000000000003</v>
      </c>
      <c r="DF66" s="19">
        <v>1</v>
      </c>
      <c r="DG66" s="74">
        <v>1</v>
      </c>
      <c r="DH66" s="644">
        <v>0.99999899999999997</v>
      </c>
      <c r="DI66" s="74">
        <v>1</v>
      </c>
      <c r="DJ66" s="644">
        <v>0.99619999999999997</v>
      </c>
      <c r="DK66" s="74">
        <v>1</v>
      </c>
      <c r="DL66" s="644"/>
      <c r="DM66" s="74"/>
      <c r="DN66" s="132" t="s">
        <v>29</v>
      </c>
      <c r="DO66" s="151">
        <f>SUM(DB66:DM66)/$DN$4</f>
        <v>0.99919990000000003</v>
      </c>
      <c r="DP66" s="644"/>
      <c r="DQ66" s="74"/>
      <c r="DR66" s="19"/>
      <c r="DS66" s="74"/>
      <c r="DT66" s="19"/>
      <c r="DU66" s="74"/>
      <c r="DV66" s="644"/>
      <c r="DW66" s="74"/>
      <c r="DX66" s="644"/>
      <c r="DY66" s="74"/>
      <c r="DZ66" s="644"/>
      <c r="EA66" s="74"/>
      <c r="EB66" s="132" t="s">
        <v>29</v>
      </c>
      <c r="EC66" s="151" t="e">
        <f>SUM(DP66:EA66)/$EB$4</f>
        <v>#DIV/0!</v>
      </c>
      <c r="ED66" s="687">
        <f>AX66-AU66</f>
        <v>0</v>
      </c>
      <c r="EE66" s="688">
        <f>ED66/AU66</f>
        <v>0</v>
      </c>
      <c r="EF66" s="687">
        <f>AY66-AX66</f>
        <v>-2.6000000000000467E-3</v>
      </c>
      <c r="EG66" s="688">
        <f>EF66/AX66</f>
        <v>-2.6000000000000467E-3</v>
      </c>
      <c r="EH66" s="687">
        <f>AZ66-AY66</f>
        <v>2.6000000000000467E-3</v>
      </c>
      <c r="EI66" s="688">
        <f>EH66/AY66</f>
        <v>2.6067776218167706E-3</v>
      </c>
      <c r="EJ66" s="687">
        <f>BA66-AZ66</f>
        <v>0</v>
      </c>
      <c r="EK66" s="688">
        <f>EJ66/AZ66</f>
        <v>0</v>
      </c>
      <c r="EL66" s="687">
        <f>BB66-BA66</f>
        <v>0</v>
      </c>
      <c r="EM66" s="688">
        <f>EL66/BA66</f>
        <v>0</v>
      </c>
      <c r="EN66" s="687">
        <f>BC66-BB66</f>
        <v>0</v>
      </c>
      <c r="EO66" s="688">
        <f>EN66/BB66</f>
        <v>0</v>
      </c>
      <c r="EP66" s="690">
        <f>BD66-BC66</f>
        <v>0</v>
      </c>
      <c r="EQ66" s="688">
        <f>EP66/BC66</f>
        <v>0</v>
      </c>
      <c r="ER66" s="687">
        <f>BE66-BD66</f>
        <v>0</v>
      </c>
      <c r="ES66" s="688">
        <f>ER66/BD66</f>
        <v>0</v>
      </c>
      <c r="ET66" s="687">
        <f>BF66-BE66</f>
        <v>0</v>
      </c>
      <c r="EU66" s="688">
        <f>ET66/BE66</f>
        <v>0</v>
      </c>
      <c r="EV66" s="687">
        <f>BG66-BF66</f>
        <v>0</v>
      </c>
      <c r="EW66" s="809">
        <f>EV66/BF66</f>
        <v>0</v>
      </c>
      <c r="EX66" s="687">
        <f>BH66-BG66</f>
        <v>0</v>
      </c>
      <c r="EY66" s="688">
        <f>EX66/BG66</f>
        <v>0</v>
      </c>
      <c r="EZ66" s="687">
        <f>BI66-BH66</f>
        <v>0</v>
      </c>
      <c r="FA66" s="688">
        <f>EZ66/BH66</f>
        <v>0</v>
      </c>
      <c r="FB66" s="687">
        <f>BL66-BI66</f>
        <v>0</v>
      </c>
      <c r="FC66" s="688">
        <f>FB66/BI66</f>
        <v>0</v>
      </c>
      <c r="FD66" s="317">
        <f>BM66-BL66</f>
        <v>0</v>
      </c>
      <c r="FE66" s="402">
        <f>FD66/BL66</f>
        <v>0</v>
      </c>
      <c r="FF66" s="317">
        <f>BN66-BM66</f>
        <v>-6.7000000000000393E-3</v>
      </c>
      <c r="FG66" s="402">
        <f>FF66/BM66</f>
        <v>-6.7000000000000393E-3</v>
      </c>
      <c r="FH66" s="317">
        <f>BO66-BN66</f>
        <v>6.7000000000000393E-3</v>
      </c>
      <c r="FI66" s="402">
        <f>FH66/BN66</f>
        <v>6.7451927917044595E-3</v>
      </c>
      <c r="FJ66" s="317">
        <f>BP66-BO66</f>
        <v>0</v>
      </c>
      <c r="FK66" s="663">
        <f>FJ66/BO66</f>
        <v>0</v>
      </c>
      <c r="FL66" s="317">
        <f>BQ66-BP66</f>
        <v>0</v>
      </c>
      <c r="FM66" s="402">
        <f>FL66/BP66</f>
        <v>0</v>
      </c>
      <c r="FN66" s="876">
        <f>BR66-BQ66</f>
        <v>0</v>
      </c>
      <c r="FO66" s="402">
        <f>FN66/BQ66</f>
        <v>0</v>
      </c>
      <c r="FP66" s="317">
        <f>BS66-BR66</f>
        <v>0</v>
      </c>
      <c r="FQ66" s="402">
        <f>FP66/BR66</f>
        <v>0</v>
      </c>
      <c r="FR66" s="317">
        <f>BT66-BS66</f>
        <v>0</v>
      </c>
      <c r="FS66" s="402">
        <f>FR66/BS66</f>
        <v>0</v>
      </c>
      <c r="FT66" s="317">
        <f>BU66-BT66</f>
        <v>-1.6000000000000458E-3</v>
      </c>
      <c r="FU66" s="402">
        <f>FT66/BT66</f>
        <v>-1.6000000000000458E-3</v>
      </c>
      <c r="FV66" s="317">
        <f>BV66-BU66</f>
        <v>1.6000000000000458E-3</v>
      </c>
      <c r="FW66" s="402">
        <f>FV66/BU66</f>
        <v>1.6025641025641485E-3</v>
      </c>
      <c r="FX66" s="317">
        <f>BW66-BV66</f>
        <v>0</v>
      </c>
      <c r="FY66" s="402">
        <f>FX66/BV66</f>
        <v>0</v>
      </c>
      <c r="FZ66" s="317">
        <f>BZ66-BW66</f>
        <v>0</v>
      </c>
      <c r="GA66" s="402">
        <f>FZ66/BW66</f>
        <v>0</v>
      </c>
      <c r="GB66" s="317">
        <f>CA66-BZ66</f>
        <v>0</v>
      </c>
      <c r="GC66" s="402">
        <f>GB66/BZ66</f>
        <v>0</v>
      </c>
      <c r="GD66" s="317">
        <f>CB66-CA66</f>
        <v>0</v>
      </c>
      <c r="GE66" s="402">
        <f>GD66/CA66</f>
        <v>0</v>
      </c>
      <c r="GF66" s="317">
        <f>CC66-CB66</f>
        <v>0</v>
      </c>
      <c r="GG66" s="402">
        <f>GF66/CB66</f>
        <v>0</v>
      </c>
      <c r="GH66" s="317">
        <f>CD66-CC66</f>
        <v>0</v>
      </c>
      <c r="GI66" s="402">
        <f>GH66/CC66</f>
        <v>0</v>
      </c>
      <c r="GJ66" s="317">
        <f>CE66-CD66</f>
        <v>0</v>
      </c>
      <c r="GK66" s="402">
        <f>GJ66/CD66</f>
        <v>0</v>
      </c>
      <c r="GL66" s="317">
        <f>CF66-CE66</f>
        <v>0</v>
      </c>
      <c r="GM66" s="402">
        <f>GL66/CE66</f>
        <v>0</v>
      </c>
      <c r="GN66" s="317">
        <f>CG66-CF66</f>
        <v>0</v>
      </c>
      <c r="GO66" s="402">
        <f>GN66/CF66</f>
        <v>0</v>
      </c>
      <c r="GP66" s="317">
        <f>CH66-CG66</f>
        <v>0</v>
      </c>
      <c r="GQ66" s="402">
        <f>GP66/CG66</f>
        <v>0</v>
      </c>
      <c r="GR66" s="317">
        <f>CI66-CH66</f>
        <v>0</v>
      </c>
      <c r="GS66" s="402">
        <f>GR66/CH66</f>
        <v>0</v>
      </c>
      <c r="GT66" s="317">
        <f>CJ66-CI66</f>
        <v>0</v>
      </c>
      <c r="GU66" s="402">
        <f>GT66/CI66</f>
        <v>0</v>
      </c>
      <c r="GV66" s="317">
        <f>CK66-CJ66</f>
        <v>0</v>
      </c>
      <c r="GW66" s="402">
        <f>GV66/CJ66</f>
        <v>0</v>
      </c>
      <c r="GX66" s="317">
        <f>CN66-CK66</f>
        <v>0</v>
      </c>
      <c r="GY66" s="402">
        <f>GX66/CK66</f>
        <v>0</v>
      </c>
      <c r="GZ66" s="317">
        <f>CO66-CN66</f>
        <v>0</v>
      </c>
      <c r="HA66" s="402">
        <f>GZ66/CN66</f>
        <v>0</v>
      </c>
      <c r="HB66" s="317">
        <f>CP66-CO66</f>
        <v>0</v>
      </c>
      <c r="HC66" s="402">
        <f>HB66/CO66</f>
        <v>0</v>
      </c>
      <c r="HD66" s="317">
        <f>CQ66-CP66</f>
        <v>0</v>
      </c>
      <c r="HE66" s="402">
        <f>HD66/CP66</f>
        <v>0</v>
      </c>
      <c r="HF66" s="317">
        <f>CR66-CQ66</f>
        <v>0</v>
      </c>
      <c r="HG66" s="402">
        <f>HF66/CQ66</f>
        <v>0</v>
      </c>
      <c r="HH66" s="317">
        <f>CS66-CR66</f>
        <v>0</v>
      </c>
      <c r="HI66" s="402">
        <f>HH66/CR66</f>
        <v>0</v>
      </c>
      <c r="HJ66" s="317">
        <f>CT66-CS66</f>
        <v>0</v>
      </c>
      <c r="HK66" s="402">
        <f>HJ66/CS66</f>
        <v>0</v>
      </c>
      <c r="HL66" s="317">
        <f>CU66-CT66</f>
        <v>0</v>
      </c>
      <c r="HM66" s="402">
        <f>HL66/CT66</f>
        <v>0</v>
      </c>
      <c r="HN66" s="1089">
        <f>CV66-CU66</f>
        <v>0</v>
      </c>
      <c r="HO66" s="402">
        <f>HN66/CU66</f>
        <v>0</v>
      </c>
      <c r="HP66" s="317">
        <f>CW66-CV66</f>
        <v>0</v>
      </c>
      <c r="HQ66" s="402">
        <f>HP66/CV66</f>
        <v>0</v>
      </c>
      <c r="HR66" s="317">
        <f>CX66-CW66</f>
        <v>0</v>
      </c>
      <c r="HS66" s="402">
        <f>HR66/CW66</f>
        <v>0</v>
      </c>
      <c r="HT66" s="317">
        <f>CY66-CX66</f>
        <v>0</v>
      </c>
      <c r="HU66" s="402">
        <f>HT66/CX66</f>
        <v>0</v>
      </c>
      <c r="HV66" s="317">
        <f>DB66-CY66</f>
        <v>0</v>
      </c>
      <c r="HW66" s="402">
        <f>HV66/CY66</f>
        <v>0</v>
      </c>
      <c r="HX66" s="317">
        <f>DC66-DB66</f>
        <v>-2.9000000000000137E-3</v>
      </c>
      <c r="HY66" s="402">
        <f>HX66/DB66</f>
        <v>-2.9000000000000137E-3</v>
      </c>
      <c r="HZ66" s="317">
        <f>DD66-DC66</f>
        <v>2.9000000000000137E-3</v>
      </c>
      <c r="IA66" s="402">
        <f>HZ66/DD66</f>
        <v>2.9000000000000137E-3</v>
      </c>
      <c r="IB66" s="317">
        <f>DE66-DD66</f>
        <v>-1.2999999999999678E-3</v>
      </c>
      <c r="IC66" s="402">
        <f>IB66/DD66</f>
        <v>-1.2999999999999678E-3</v>
      </c>
      <c r="ID66" s="317">
        <f>DF66-DE66</f>
        <v>1.2999999999999678E-3</v>
      </c>
      <c r="IE66" s="402">
        <f>ID66/DO66</f>
        <v>1.3010409628743636E-3</v>
      </c>
      <c r="IF66" s="317">
        <f>DG66-DF66</f>
        <v>0</v>
      </c>
      <c r="IG66" s="402">
        <f>IF66/DF66</f>
        <v>0</v>
      </c>
      <c r="IH66" s="317">
        <f>DH66-DG66</f>
        <v>-1.0000000000287557E-6</v>
      </c>
      <c r="II66" s="402">
        <f>IH66/DG66</f>
        <v>-1.0000000000287557E-6</v>
      </c>
      <c r="IJ66" s="317">
        <f>DI66-DH66</f>
        <v>1.0000000000287557E-6</v>
      </c>
      <c r="IK66" s="402">
        <f>IJ66/DH66</f>
        <v>1.0000010000297558E-6</v>
      </c>
      <c r="IL66" s="317">
        <f>DJ66-DI66</f>
        <v>-3.8000000000000256E-3</v>
      </c>
      <c r="IM66" s="402">
        <f>IL66/DI66</f>
        <v>-3.8000000000000256E-3</v>
      </c>
      <c r="IN66" s="317">
        <f>DK66-DJ66</f>
        <v>3.8000000000000256E-3</v>
      </c>
      <c r="IO66" s="402">
        <f>IN66/DJ66</f>
        <v>3.8144950813089997E-3</v>
      </c>
      <c r="IP66" s="317">
        <f>DL66-DK66</f>
        <v>-1</v>
      </c>
      <c r="IQ66" s="402">
        <f t="shared" ref="IQ66:IQ70" si="1281">IP66/EI66</f>
        <v>-383.61538461537771</v>
      </c>
      <c r="IR66" s="317">
        <f>EK66-EJ66</f>
        <v>0</v>
      </c>
      <c r="IS66" s="402" t="e">
        <f>IR66/EJ66</f>
        <v>#DIV/0!</v>
      </c>
      <c r="IT66" s="644">
        <f>CW66</f>
        <v>1</v>
      </c>
      <c r="IU66" s="1083">
        <f>DK66</f>
        <v>1</v>
      </c>
      <c r="IV66" s="665">
        <f>(IU66-IT66)*100</f>
        <v>0</v>
      </c>
      <c r="IW66" s="109">
        <f t="shared" ref="IW66:IW69" si="1282">IF(ISERROR((IV66/IT66)/100),0,(IV66/IT66)/100)</f>
        <v>0</v>
      </c>
      <c r="IX66" s="698"/>
      <c r="IY66" s="698"/>
      <c r="IZ66" s="698"/>
      <c r="JA66" s="862" t="str">
        <f>E66</f>
        <v>ERP Up Time</v>
      </c>
      <c r="JB66" s="266" t="e">
        <f>#REF!</f>
        <v>#REF!</v>
      </c>
      <c r="JC66" s="266" t="e">
        <f>#REF!</f>
        <v>#REF!</v>
      </c>
      <c r="JD66" s="266" t="e">
        <f>#REF!</f>
        <v>#REF!</v>
      </c>
      <c r="JE66" s="266" t="e">
        <f>#REF!</f>
        <v>#REF!</v>
      </c>
      <c r="JF66" s="266" t="e">
        <f>#REF!</f>
        <v>#REF!</v>
      </c>
      <c r="JG66" s="266" t="e">
        <f>#REF!</f>
        <v>#REF!</v>
      </c>
      <c r="JH66" s="266" t="e">
        <f>#REF!</f>
        <v>#REF!</v>
      </c>
      <c r="JI66" s="266" t="e">
        <f>#REF!</f>
        <v>#REF!</v>
      </c>
      <c r="JJ66" s="266" t="e">
        <f>#REF!</f>
        <v>#REF!</v>
      </c>
      <c r="JK66" s="266" t="e">
        <f>#REF!</f>
        <v>#REF!</v>
      </c>
      <c r="JL66" s="266" t="e">
        <f>#REF!</f>
        <v>#REF!</v>
      </c>
      <c r="JM66" s="267">
        <f t="shared" ref="JM66:JX70" si="1283">AJ66</f>
        <v>1</v>
      </c>
      <c r="JN66" s="267">
        <f t="shared" si="1283"/>
        <v>0.998</v>
      </c>
      <c r="JO66" s="267">
        <f t="shared" si="1283"/>
        <v>1</v>
      </c>
      <c r="JP66" s="267">
        <f t="shared" si="1283"/>
        <v>1</v>
      </c>
      <c r="JQ66" s="267">
        <f t="shared" si="1283"/>
        <v>1</v>
      </c>
      <c r="JR66" s="267">
        <f t="shared" si="1283"/>
        <v>1</v>
      </c>
      <c r="JS66" s="267">
        <f t="shared" si="1283"/>
        <v>1</v>
      </c>
      <c r="JT66" s="267">
        <f t="shared" si="1283"/>
        <v>1</v>
      </c>
      <c r="JU66" s="267">
        <f t="shared" si="1283"/>
        <v>1</v>
      </c>
      <c r="JV66" s="267">
        <f t="shared" si="1283"/>
        <v>1</v>
      </c>
      <c r="JW66" s="267">
        <f t="shared" si="1283"/>
        <v>1</v>
      </c>
      <c r="JX66" s="267">
        <f t="shared" si="1283"/>
        <v>1</v>
      </c>
      <c r="JY66" s="267">
        <f t="shared" ref="JY66:KJ70" si="1284">AX66</f>
        <v>1</v>
      </c>
      <c r="JZ66" s="267">
        <f t="shared" si="1284"/>
        <v>0.99739999999999995</v>
      </c>
      <c r="KA66" s="267">
        <f t="shared" si="1284"/>
        <v>1</v>
      </c>
      <c r="KB66" s="267">
        <f t="shared" si="1284"/>
        <v>1</v>
      </c>
      <c r="KC66" s="267">
        <f t="shared" si="1284"/>
        <v>1</v>
      </c>
      <c r="KD66" s="267">
        <f t="shared" si="1284"/>
        <v>1</v>
      </c>
      <c r="KE66" s="267">
        <f t="shared" si="1284"/>
        <v>1</v>
      </c>
      <c r="KF66" s="267">
        <f t="shared" si="1284"/>
        <v>1</v>
      </c>
      <c r="KG66" s="267">
        <f t="shared" si="1284"/>
        <v>1</v>
      </c>
      <c r="KH66" s="267">
        <f t="shared" si="1284"/>
        <v>1</v>
      </c>
      <c r="KI66" s="267">
        <f t="shared" si="1284"/>
        <v>1</v>
      </c>
      <c r="KJ66" s="267">
        <f t="shared" si="1284"/>
        <v>1</v>
      </c>
      <c r="KK66" s="790">
        <f t="shared" ref="KK66:KV70" si="1285">BL66</f>
        <v>1</v>
      </c>
      <c r="KL66" s="790">
        <f t="shared" si="1285"/>
        <v>1</v>
      </c>
      <c r="KM66" s="790">
        <f t="shared" si="1285"/>
        <v>0.99329999999999996</v>
      </c>
      <c r="KN66" s="790">
        <f t="shared" si="1285"/>
        <v>1</v>
      </c>
      <c r="KO66" s="790">
        <f t="shared" si="1285"/>
        <v>1</v>
      </c>
      <c r="KP66" s="790">
        <f t="shared" si="1285"/>
        <v>1</v>
      </c>
      <c r="KQ66" s="790">
        <f t="shared" si="1285"/>
        <v>1</v>
      </c>
      <c r="KR66" s="790">
        <f t="shared" si="1285"/>
        <v>1</v>
      </c>
      <c r="KS66" s="790">
        <f t="shared" si="1285"/>
        <v>1</v>
      </c>
      <c r="KT66" s="790">
        <f t="shared" si="1285"/>
        <v>0.99839999999999995</v>
      </c>
      <c r="KU66" s="790">
        <f t="shared" si="1285"/>
        <v>1</v>
      </c>
      <c r="KV66" s="790">
        <f t="shared" si="1285"/>
        <v>1</v>
      </c>
      <c r="KW66" s="902">
        <f t="shared" ref="KW66:LH70" si="1286">BZ66</f>
        <v>1</v>
      </c>
      <c r="KX66" s="902">
        <f t="shared" si="1286"/>
        <v>1</v>
      </c>
      <c r="KY66" s="902">
        <f t="shared" si="1286"/>
        <v>1</v>
      </c>
      <c r="KZ66" s="902">
        <f t="shared" si="1286"/>
        <v>1</v>
      </c>
      <c r="LA66" s="902">
        <f t="shared" si="1286"/>
        <v>1</v>
      </c>
      <c r="LB66" s="902">
        <f t="shared" si="1286"/>
        <v>1</v>
      </c>
      <c r="LC66" s="902">
        <f t="shared" si="1286"/>
        <v>1</v>
      </c>
      <c r="LD66" s="902">
        <f t="shared" si="1286"/>
        <v>1</v>
      </c>
      <c r="LE66" s="902">
        <f t="shared" si="1286"/>
        <v>1</v>
      </c>
      <c r="LF66" s="902">
        <f t="shared" si="1286"/>
        <v>1</v>
      </c>
      <c r="LG66" s="902">
        <f t="shared" si="1286"/>
        <v>1</v>
      </c>
      <c r="LH66" s="902">
        <f t="shared" si="1286"/>
        <v>1</v>
      </c>
      <c r="LI66" s="961">
        <f t="shared" ref="LI66:LT70" si="1287">CN66</f>
        <v>1</v>
      </c>
      <c r="LJ66" s="961">
        <f t="shared" si="1287"/>
        <v>1</v>
      </c>
      <c r="LK66" s="961">
        <f t="shared" si="1287"/>
        <v>1</v>
      </c>
      <c r="LL66" s="961">
        <f t="shared" si="1287"/>
        <v>1</v>
      </c>
      <c r="LM66" s="961">
        <f t="shared" si="1287"/>
        <v>1</v>
      </c>
      <c r="LN66" s="961">
        <f t="shared" si="1287"/>
        <v>1</v>
      </c>
      <c r="LO66" s="961">
        <f t="shared" si="1287"/>
        <v>1</v>
      </c>
      <c r="LP66" s="961">
        <f t="shared" si="1287"/>
        <v>1</v>
      </c>
      <c r="LQ66" s="961">
        <f t="shared" si="1287"/>
        <v>1</v>
      </c>
      <c r="LR66" s="961">
        <f t="shared" si="1287"/>
        <v>1</v>
      </c>
      <c r="LS66" s="961">
        <f t="shared" si="1287"/>
        <v>1</v>
      </c>
      <c r="LT66" s="961">
        <f t="shared" si="1287"/>
        <v>1</v>
      </c>
      <c r="LU66" s="1157">
        <f t="shared" ref="LU66:MF70" si="1288">DB66</f>
        <v>1</v>
      </c>
      <c r="LV66" s="1157">
        <f t="shared" si="1288"/>
        <v>0.99709999999999999</v>
      </c>
      <c r="LW66" s="1157">
        <f t="shared" si="1288"/>
        <v>1</v>
      </c>
      <c r="LX66" s="1157">
        <f t="shared" si="1288"/>
        <v>0.99870000000000003</v>
      </c>
      <c r="LY66" s="1157">
        <f t="shared" si="1288"/>
        <v>1</v>
      </c>
      <c r="LZ66" s="1157">
        <f t="shared" si="1288"/>
        <v>1</v>
      </c>
      <c r="MA66" s="1157">
        <f t="shared" si="1288"/>
        <v>0.99999899999999997</v>
      </c>
      <c r="MB66" s="1157">
        <f t="shared" si="1288"/>
        <v>1</v>
      </c>
      <c r="MC66" s="1157">
        <f t="shared" si="1288"/>
        <v>0.99619999999999997</v>
      </c>
      <c r="MD66" s="1157">
        <f t="shared" si="1288"/>
        <v>1</v>
      </c>
      <c r="ME66" s="1157">
        <f t="shared" si="1288"/>
        <v>0</v>
      </c>
      <c r="MF66" s="1157">
        <f t="shared" si="1288"/>
        <v>0</v>
      </c>
      <c r="MG66" s="1179">
        <f t="shared" ref="MG66:MP70" si="1289">DP66</f>
        <v>0</v>
      </c>
      <c r="MH66" s="1179">
        <f t="shared" si="1289"/>
        <v>0</v>
      </c>
      <c r="MI66" s="1179">
        <f t="shared" si="1289"/>
        <v>0</v>
      </c>
      <c r="MJ66" s="1179">
        <f t="shared" si="1289"/>
        <v>0</v>
      </c>
      <c r="MK66" s="1179">
        <f t="shared" si="1289"/>
        <v>0</v>
      </c>
      <c r="ML66" s="1179">
        <f t="shared" si="1289"/>
        <v>0</v>
      </c>
      <c r="MM66" s="1179">
        <f t="shared" si="1289"/>
        <v>0</v>
      </c>
      <c r="MN66" s="1179">
        <f t="shared" si="1289"/>
        <v>0</v>
      </c>
      <c r="MO66" s="1179">
        <f t="shared" si="1289"/>
        <v>0</v>
      </c>
      <c r="MP66" s="1179">
        <f t="shared" si="1289"/>
        <v>0</v>
      </c>
      <c r="MQ66" s="1179">
        <f t="shared" ref="MQ66:MR70" si="1290">DZ66</f>
        <v>0</v>
      </c>
      <c r="MR66" s="1179">
        <f t="shared" si="1290"/>
        <v>0</v>
      </c>
    </row>
    <row r="67" spans="1:356" s="177" customFormat="1" x14ac:dyDescent="0.25">
      <c r="A67" s="770"/>
      <c r="B67" s="76">
        <v>9.1999999999999993</v>
      </c>
      <c r="C67" s="173"/>
      <c r="D67" s="458"/>
      <c r="E67" s="1212" t="s">
        <v>69</v>
      </c>
      <c r="F67" s="1212"/>
      <c r="G67" s="1213"/>
      <c r="H67" s="392">
        <v>0</v>
      </c>
      <c r="I67" s="175">
        <v>0</v>
      </c>
      <c r="J67" s="174">
        <v>5.6800000000000003E-2</v>
      </c>
      <c r="K67" s="175">
        <v>0</v>
      </c>
      <c r="L67" s="174">
        <v>0</v>
      </c>
      <c r="M67" s="175">
        <v>0</v>
      </c>
      <c r="N67" s="174">
        <v>0</v>
      </c>
      <c r="O67" s="175">
        <v>0</v>
      </c>
      <c r="P67" s="174">
        <v>0</v>
      </c>
      <c r="Q67" s="175">
        <v>0</v>
      </c>
      <c r="R67" s="174">
        <v>0</v>
      </c>
      <c r="S67" s="175">
        <v>0</v>
      </c>
      <c r="T67" s="176" t="s">
        <v>29</v>
      </c>
      <c r="U67" s="161">
        <v>4.7333333333333333E-3</v>
      </c>
      <c r="V67" s="392">
        <v>0</v>
      </c>
      <c r="W67" s="175">
        <v>0</v>
      </c>
      <c r="X67" s="174">
        <v>0</v>
      </c>
      <c r="Y67" s="175">
        <v>1.4E-3</v>
      </c>
      <c r="Z67" s="174">
        <v>0</v>
      </c>
      <c r="AA67" s="175">
        <v>0</v>
      </c>
      <c r="AB67" s="174">
        <v>0</v>
      </c>
      <c r="AC67" s="175">
        <v>0</v>
      </c>
      <c r="AD67" s="174">
        <v>0</v>
      </c>
      <c r="AE67" s="175">
        <v>0</v>
      </c>
      <c r="AF67" s="174">
        <v>0</v>
      </c>
      <c r="AG67" s="175">
        <v>0</v>
      </c>
      <c r="AH67" s="176" t="s">
        <v>29</v>
      </c>
      <c r="AI67" s="161">
        <v>1.1666666666666667E-4</v>
      </c>
      <c r="AJ67" s="392">
        <v>0</v>
      </c>
      <c r="AK67" s="175">
        <v>2E-3</v>
      </c>
      <c r="AL67" s="174">
        <v>0</v>
      </c>
      <c r="AM67" s="175">
        <v>0</v>
      </c>
      <c r="AN67" s="174">
        <v>0</v>
      </c>
      <c r="AO67" s="175">
        <v>0</v>
      </c>
      <c r="AP67" s="645">
        <v>0</v>
      </c>
      <c r="AQ67" s="175">
        <v>0</v>
      </c>
      <c r="AR67" s="645">
        <v>0</v>
      </c>
      <c r="AS67" s="175">
        <v>0</v>
      </c>
      <c r="AT67" s="645">
        <v>0</v>
      </c>
      <c r="AU67" s="175">
        <v>0</v>
      </c>
      <c r="AV67" s="176" t="s">
        <v>29</v>
      </c>
      <c r="AW67" s="161">
        <f>SUM(AJ67:AU67)/$AV$4</f>
        <v>1.6666666666666666E-4</v>
      </c>
      <c r="AX67" s="392">
        <v>0</v>
      </c>
      <c r="AY67" s="175">
        <v>2.5999999999999999E-3</v>
      </c>
      <c r="AZ67" s="174">
        <v>0</v>
      </c>
      <c r="BA67" s="175">
        <v>0</v>
      </c>
      <c r="BB67" s="174">
        <v>0</v>
      </c>
      <c r="BC67" s="175">
        <v>0</v>
      </c>
      <c r="BD67" s="645">
        <v>0</v>
      </c>
      <c r="BE67" s="175">
        <v>0</v>
      </c>
      <c r="BF67" s="645">
        <v>0</v>
      </c>
      <c r="BG67" s="175">
        <v>0</v>
      </c>
      <c r="BH67" s="645">
        <v>0</v>
      </c>
      <c r="BI67" s="175">
        <v>0</v>
      </c>
      <c r="BJ67" s="176" t="s">
        <v>29</v>
      </c>
      <c r="BK67" s="161">
        <f>SUM(AX67:BI67)/$BJ$4</f>
        <v>2.1666666666666666E-4</v>
      </c>
      <c r="BL67" s="392">
        <v>0</v>
      </c>
      <c r="BM67" s="175">
        <v>0</v>
      </c>
      <c r="BN67" s="174">
        <v>6.7000000000000002E-3</v>
      </c>
      <c r="BO67" s="175">
        <v>0</v>
      </c>
      <c r="BP67" s="174">
        <v>0</v>
      </c>
      <c r="BQ67" s="175">
        <v>0</v>
      </c>
      <c r="BR67" s="645">
        <v>0</v>
      </c>
      <c r="BS67" s="175">
        <v>0</v>
      </c>
      <c r="BT67" s="645">
        <v>0</v>
      </c>
      <c r="BU67" s="645">
        <v>1.6000000000000001E-3</v>
      </c>
      <c r="BV67" s="645">
        <v>0</v>
      </c>
      <c r="BW67" s="645">
        <v>0</v>
      </c>
      <c r="BX67" s="176" t="s">
        <v>29</v>
      </c>
      <c r="BY67" s="161">
        <f>SUM(BL67:BW67)/$BX$4</f>
        <v>6.9166666666666671E-4</v>
      </c>
      <c r="BZ67" s="645">
        <v>0</v>
      </c>
      <c r="CA67" s="175">
        <v>0</v>
      </c>
      <c r="CB67" s="174">
        <v>0</v>
      </c>
      <c r="CC67" s="175">
        <v>0</v>
      </c>
      <c r="CD67" s="174">
        <v>0</v>
      </c>
      <c r="CE67" s="175">
        <v>0</v>
      </c>
      <c r="CF67" s="645">
        <v>0</v>
      </c>
      <c r="CG67" s="175">
        <v>0</v>
      </c>
      <c r="CH67" s="645">
        <v>0</v>
      </c>
      <c r="CI67" s="645">
        <v>0</v>
      </c>
      <c r="CJ67" s="645">
        <v>0</v>
      </c>
      <c r="CK67" s="645">
        <v>0</v>
      </c>
      <c r="CL67" s="176" t="s">
        <v>29</v>
      </c>
      <c r="CM67" s="161">
        <f>SUM(BZ67:CK67)/$CL$4</f>
        <v>0</v>
      </c>
      <c r="CN67" s="645">
        <v>0</v>
      </c>
      <c r="CO67" s="175">
        <v>0</v>
      </c>
      <c r="CP67" s="174">
        <v>0</v>
      </c>
      <c r="CQ67" s="175">
        <v>0</v>
      </c>
      <c r="CR67" s="174">
        <v>0</v>
      </c>
      <c r="CS67" s="175">
        <v>0</v>
      </c>
      <c r="CT67" s="645">
        <v>0</v>
      </c>
      <c r="CU67" s="175">
        <v>0</v>
      </c>
      <c r="CV67" s="645">
        <v>0</v>
      </c>
      <c r="CW67" s="1084">
        <v>0</v>
      </c>
      <c r="CX67" s="645">
        <v>0</v>
      </c>
      <c r="CY67" s="175">
        <v>0</v>
      </c>
      <c r="CZ67" s="176" t="s">
        <v>29</v>
      </c>
      <c r="DA67" s="161">
        <f>SUM(CN67:CY67)/$CZ$4</f>
        <v>0</v>
      </c>
      <c r="DB67" s="645">
        <v>0</v>
      </c>
      <c r="DC67" s="175">
        <v>2.8999999999999998E-3</v>
      </c>
      <c r="DD67" s="174">
        <v>0</v>
      </c>
      <c r="DE67" s="175">
        <v>1.2999999999999999E-3</v>
      </c>
      <c r="DF67" s="174">
        <v>0</v>
      </c>
      <c r="DG67" s="175">
        <v>0</v>
      </c>
      <c r="DH67" s="645">
        <v>1.0000000000000001E-5</v>
      </c>
      <c r="DI67" s="175">
        <v>0</v>
      </c>
      <c r="DJ67" s="645">
        <v>3.8E-3</v>
      </c>
      <c r="DK67" s="175">
        <v>0</v>
      </c>
      <c r="DL67" s="645"/>
      <c r="DM67" s="175"/>
      <c r="DN67" s="176" t="s">
        <v>29</v>
      </c>
      <c r="DO67" s="161">
        <f>SUM(DB67:DM67)/$DN$4</f>
        <v>8.0099999999999995E-4</v>
      </c>
      <c r="DP67" s="645"/>
      <c r="DQ67" s="175"/>
      <c r="DR67" s="174"/>
      <c r="DS67" s="175"/>
      <c r="DT67" s="174"/>
      <c r="DU67" s="175"/>
      <c r="DV67" s="645"/>
      <c r="DW67" s="175"/>
      <c r="DX67" s="645"/>
      <c r="DY67" s="175"/>
      <c r="DZ67" s="645"/>
      <c r="EA67" s="175"/>
      <c r="EB67" s="176" t="s">
        <v>29</v>
      </c>
      <c r="EC67" s="161" t="e">
        <f>SUM(DP67:EA67)/$EB$4</f>
        <v>#DIV/0!</v>
      </c>
      <c r="ED67" s="689">
        <f>AX67-AU67</f>
        <v>0</v>
      </c>
      <c r="EE67" s="751">
        <v>0</v>
      </c>
      <c r="EF67" s="689">
        <f>AY67-AX67</f>
        <v>2.5999999999999999E-3</v>
      </c>
      <c r="EG67" s="755">
        <v>0</v>
      </c>
      <c r="EH67" s="689">
        <f>AZ67-AY67</f>
        <v>-2.5999999999999999E-3</v>
      </c>
      <c r="EI67" s="669">
        <f>EH67/AY67</f>
        <v>-1</v>
      </c>
      <c r="EJ67" s="689">
        <f>BA67-AZ67</f>
        <v>0</v>
      </c>
      <c r="EK67" s="409">
        <v>0</v>
      </c>
      <c r="EL67" s="689">
        <f>BB67-BA67</f>
        <v>0</v>
      </c>
      <c r="EM67" s="751">
        <v>0</v>
      </c>
      <c r="EN67" s="689">
        <f>BC67-BB67</f>
        <v>0</v>
      </c>
      <c r="EO67" s="751">
        <v>0</v>
      </c>
      <c r="EP67" s="689">
        <f>BD67-BC67</f>
        <v>0</v>
      </c>
      <c r="EQ67" s="751">
        <v>0</v>
      </c>
      <c r="ER67" s="689">
        <f>BE67-BD67</f>
        <v>0</v>
      </c>
      <c r="ES67" s="751">
        <v>0</v>
      </c>
      <c r="ET67" s="689">
        <f>BF67-BE67</f>
        <v>0</v>
      </c>
      <c r="EU67" s="751">
        <v>0</v>
      </c>
      <c r="EV67" s="689">
        <f>BG67-BF67</f>
        <v>0</v>
      </c>
      <c r="EW67" s="117">
        <v>0</v>
      </c>
      <c r="EX67" s="689">
        <f>BH67-BG67</f>
        <v>0</v>
      </c>
      <c r="EY67" s="669">
        <v>0</v>
      </c>
      <c r="EZ67" s="689">
        <f>BI67-BH67</f>
        <v>0</v>
      </c>
      <c r="FA67" s="669">
        <v>0</v>
      </c>
      <c r="FB67" s="689">
        <f>BL67-BI67</f>
        <v>0</v>
      </c>
      <c r="FC67" s="669">
        <v>0</v>
      </c>
      <c r="FD67" s="328">
        <f>BM67-BL67</f>
        <v>0</v>
      </c>
      <c r="FE67" s="751">
        <v>0</v>
      </c>
      <c r="FF67" s="328">
        <f>BN67-BM67</f>
        <v>6.7000000000000002E-3</v>
      </c>
      <c r="FG67" s="751">
        <v>0</v>
      </c>
      <c r="FH67" s="328">
        <f>BO67-BN67</f>
        <v>-6.7000000000000002E-3</v>
      </c>
      <c r="FI67" s="409">
        <f>FH67/BN67</f>
        <v>-1</v>
      </c>
      <c r="FJ67" s="328">
        <f>BP67-BO67</f>
        <v>0</v>
      </c>
      <c r="FK67" s="669">
        <v>0</v>
      </c>
      <c r="FL67" s="328">
        <f>BQ67-BP67</f>
        <v>0</v>
      </c>
      <c r="FM67" s="409">
        <v>0</v>
      </c>
      <c r="FN67" s="877">
        <f>BR67-BQ67</f>
        <v>0</v>
      </c>
      <c r="FO67" s="669">
        <v>0</v>
      </c>
      <c r="FP67" s="328">
        <f>BS67-BR67</f>
        <v>0</v>
      </c>
      <c r="FQ67" s="409">
        <v>0</v>
      </c>
      <c r="FR67" s="328">
        <f>BT67-BS67</f>
        <v>0</v>
      </c>
      <c r="FS67" s="409">
        <v>0</v>
      </c>
      <c r="FT67" s="328">
        <f>BU67-BT67</f>
        <v>1.6000000000000001E-3</v>
      </c>
      <c r="FU67" s="409">
        <v>1</v>
      </c>
      <c r="FV67" s="328">
        <f>BV67-BU67</f>
        <v>-1.6000000000000001E-3</v>
      </c>
      <c r="FW67" s="402">
        <f>FV67/BU67</f>
        <v>-1</v>
      </c>
      <c r="FX67" s="328">
        <f>BW67-BV67</f>
        <v>0</v>
      </c>
      <c r="FY67" s="409">
        <v>0</v>
      </c>
      <c r="FZ67" s="328">
        <f>BZ67-BW67</f>
        <v>0</v>
      </c>
      <c r="GA67" s="404">
        <v>0</v>
      </c>
      <c r="GB67" s="328">
        <f>CA67-BZ67</f>
        <v>0</v>
      </c>
      <c r="GC67" s="409">
        <v>0</v>
      </c>
      <c r="GD67" s="328">
        <f>CB67-CA67</f>
        <v>0</v>
      </c>
      <c r="GE67" s="409">
        <v>0</v>
      </c>
      <c r="GF67" s="328">
        <f>CC67-CB67</f>
        <v>0</v>
      </c>
      <c r="GG67" s="409">
        <v>0</v>
      </c>
      <c r="GH67" s="328">
        <f>CD67-CC67</f>
        <v>0</v>
      </c>
      <c r="GI67" s="409">
        <v>0</v>
      </c>
      <c r="GJ67" s="328">
        <f>CE67-CD67</f>
        <v>0</v>
      </c>
      <c r="GK67" s="409">
        <v>0</v>
      </c>
      <c r="GL67" s="328">
        <f>CF67-CE67</f>
        <v>0</v>
      </c>
      <c r="GM67" s="409">
        <v>0</v>
      </c>
      <c r="GN67" s="328">
        <f>CG67-CF67</f>
        <v>0</v>
      </c>
      <c r="GO67" s="409">
        <v>0</v>
      </c>
      <c r="GP67" s="328">
        <f>CH67-CG67</f>
        <v>0</v>
      </c>
      <c r="GQ67" s="409">
        <v>0</v>
      </c>
      <c r="GR67" s="328">
        <f>CI67-CH67</f>
        <v>0</v>
      </c>
      <c r="GS67" s="409">
        <v>0</v>
      </c>
      <c r="GT67" s="328">
        <f>CJ67-CI67</f>
        <v>0</v>
      </c>
      <c r="GU67" s="409">
        <v>0</v>
      </c>
      <c r="GV67" s="328">
        <f>CK67-CJ67</f>
        <v>0</v>
      </c>
      <c r="GW67" s="409">
        <v>0</v>
      </c>
      <c r="GX67" s="328">
        <f>CN67-CK67</f>
        <v>0</v>
      </c>
      <c r="GY67" s="409">
        <v>0</v>
      </c>
      <c r="GZ67" s="328">
        <f>CO67-CN67</f>
        <v>0</v>
      </c>
      <c r="HA67" s="409">
        <v>0</v>
      </c>
      <c r="HB67" s="328">
        <f>CP67-CO67</f>
        <v>0</v>
      </c>
      <c r="HC67" s="409">
        <v>0</v>
      </c>
      <c r="HD67" s="328">
        <f>CQ67-CP67</f>
        <v>0</v>
      </c>
      <c r="HE67" s="409">
        <v>0</v>
      </c>
      <c r="HF67" s="328">
        <f>CR67-CQ67</f>
        <v>0</v>
      </c>
      <c r="HG67" s="409">
        <v>0</v>
      </c>
      <c r="HH67" s="328">
        <f>CS67-CR67</f>
        <v>0</v>
      </c>
      <c r="HI67" s="409">
        <v>0</v>
      </c>
      <c r="HJ67" s="328">
        <f>CT67-CS67</f>
        <v>0</v>
      </c>
      <c r="HK67" s="409">
        <v>0</v>
      </c>
      <c r="HL67" s="328">
        <f>CU67-CT67</f>
        <v>0</v>
      </c>
      <c r="HM67" s="404">
        <v>0</v>
      </c>
      <c r="HN67" s="1090">
        <f>CV67-CU67</f>
        <v>0</v>
      </c>
      <c r="HO67" s="409">
        <v>0</v>
      </c>
      <c r="HP67" s="328">
        <f>CW67-CV67</f>
        <v>0</v>
      </c>
      <c r="HQ67" s="409">
        <v>0</v>
      </c>
      <c r="HR67" s="328">
        <f>CX67-CW67</f>
        <v>0</v>
      </c>
      <c r="HS67" s="409">
        <v>0</v>
      </c>
      <c r="HT67" s="328">
        <f>CY67-CX67</f>
        <v>0</v>
      </c>
      <c r="HU67" s="409">
        <v>0</v>
      </c>
      <c r="HV67" s="328">
        <f>DB67-CY67</f>
        <v>0</v>
      </c>
      <c r="HW67" s="409">
        <v>0</v>
      </c>
      <c r="HX67" s="328">
        <f>DC67-DB67</f>
        <v>2.8999999999999998E-3</v>
      </c>
      <c r="HY67" s="669">
        <v>1</v>
      </c>
      <c r="HZ67" s="328">
        <f>DD67-DC67</f>
        <v>-2.8999999999999998E-3</v>
      </c>
      <c r="IA67" s="409">
        <v>0</v>
      </c>
      <c r="IB67" s="328">
        <f>DE67-DD67</f>
        <v>1.2999999999999999E-3</v>
      </c>
      <c r="IC67" s="409">
        <v>0</v>
      </c>
      <c r="ID67" s="328">
        <f>DF67-DE67</f>
        <v>-1.2999999999999999E-3</v>
      </c>
      <c r="IE67" s="409">
        <f>ID67/DO67</f>
        <v>-1.6229712858926342</v>
      </c>
      <c r="IF67" s="328">
        <f>DG67-DF67</f>
        <v>0</v>
      </c>
      <c r="IG67" s="409">
        <v>0</v>
      </c>
      <c r="IH67" s="328">
        <f>DH67-DG67</f>
        <v>1.0000000000000001E-5</v>
      </c>
      <c r="II67" s="409">
        <v>0</v>
      </c>
      <c r="IJ67" s="328">
        <f>DI67-DH67</f>
        <v>-1.0000000000000001E-5</v>
      </c>
      <c r="IK67" s="404">
        <f>IJ67/DH67</f>
        <v>-1</v>
      </c>
      <c r="IL67" s="328">
        <f>DJ67-DI67</f>
        <v>3.8E-3</v>
      </c>
      <c r="IM67" s="409">
        <v>0</v>
      </c>
      <c r="IN67" s="328">
        <f>DK67-DJ67</f>
        <v>-3.8E-3</v>
      </c>
      <c r="IO67" s="409">
        <f>IN67/DJ67</f>
        <v>-1</v>
      </c>
      <c r="IP67" s="328">
        <f>DL67-DK67</f>
        <v>0</v>
      </c>
      <c r="IQ67" s="409">
        <f t="shared" si="1281"/>
        <v>0</v>
      </c>
      <c r="IR67" s="328">
        <f>EK67-EJ67</f>
        <v>0</v>
      </c>
      <c r="IS67" s="409" t="e">
        <f>IR67/EJ67</f>
        <v>#DIV/0!</v>
      </c>
      <c r="IT67" s="645">
        <f>CW67</f>
        <v>0</v>
      </c>
      <c r="IU67" s="1084">
        <f>DK67</f>
        <v>0</v>
      </c>
      <c r="IV67" s="682">
        <f>(IU67-IT67)*100</f>
        <v>0</v>
      </c>
      <c r="IW67" s="117">
        <f t="shared" si="1282"/>
        <v>0</v>
      </c>
      <c r="IX67" s="703"/>
      <c r="IY67" s="703"/>
      <c r="IZ67" s="703"/>
      <c r="JA67" s="177" t="str">
        <f>E67</f>
        <v>ERP Down Time</v>
      </c>
      <c r="JB67" s="292" t="e">
        <f>#REF!</f>
        <v>#REF!</v>
      </c>
      <c r="JC67" s="292" t="e">
        <f>#REF!</f>
        <v>#REF!</v>
      </c>
      <c r="JD67" s="292" t="e">
        <f>#REF!</f>
        <v>#REF!</v>
      </c>
      <c r="JE67" s="292" t="e">
        <f>#REF!</f>
        <v>#REF!</v>
      </c>
      <c r="JF67" s="292" t="e">
        <f>#REF!</f>
        <v>#REF!</v>
      </c>
      <c r="JG67" s="292" t="e">
        <f>#REF!</f>
        <v>#REF!</v>
      </c>
      <c r="JH67" s="292" t="e">
        <f>#REF!</f>
        <v>#REF!</v>
      </c>
      <c r="JI67" s="292" t="e">
        <f>#REF!</f>
        <v>#REF!</v>
      </c>
      <c r="JJ67" s="292" t="e">
        <f>#REF!</f>
        <v>#REF!</v>
      </c>
      <c r="JK67" s="292" t="e">
        <f>#REF!</f>
        <v>#REF!</v>
      </c>
      <c r="JL67" s="292" t="e">
        <f>#REF!</f>
        <v>#REF!</v>
      </c>
      <c r="JM67" s="293">
        <f t="shared" si="1283"/>
        <v>0</v>
      </c>
      <c r="JN67" s="293">
        <f t="shared" si="1283"/>
        <v>2E-3</v>
      </c>
      <c r="JO67" s="293">
        <f t="shared" si="1283"/>
        <v>0</v>
      </c>
      <c r="JP67" s="293">
        <f t="shared" si="1283"/>
        <v>0</v>
      </c>
      <c r="JQ67" s="293">
        <f t="shared" si="1283"/>
        <v>0</v>
      </c>
      <c r="JR67" s="293">
        <f t="shared" si="1283"/>
        <v>0</v>
      </c>
      <c r="JS67" s="293">
        <f t="shared" si="1283"/>
        <v>0</v>
      </c>
      <c r="JT67" s="293">
        <f t="shared" si="1283"/>
        <v>0</v>
      </c>
      <c r="JU67" s="293">
        <f t="shared" si="1283"/>
        <v>0</v>
      </c>
      <c r="JV67" s="293">
        <f t="shared" si="1283"/>
        <v>0</v>
      </c>
      <c r="JW67" s="293">
        <f t="shared" si="1283"/>
        <v>0</v>
      </c>
      <c r="JX67" s="293">
        <f t="shared" si="1283"/>
        <v>0</v>
      </c>
      <c r="JY67" s="293">
        <f t="shared" si="1284"/>
        <v>0</v>
      </c>
      <c r="JZ67" s="293">
        <f t="shared" si="1284"/>
        <v>2.5999999999999999E-3</v>
      </c>
      <c r="KA67" s="293">
        <f t="shared" si="1284"/>
        <v>0</v>
      </c>
      <c r="KB67" s="293">
        <f t="shared" si="1284"/>
        <v>0</v>
      </c>
      <c r="KC67" s="293">
        <f t="shared" si="1284"/>
        <v>0</v>
      </c>
      <c r="KD67" s="293">
        <f t="shared" si="1284"/>
        <v>0</v>
      </c>
      <c r="KE67" s="293">
        <f t="shared" si="1284"/>
        <v>0</v>
      </c>
      <c r="KF67" s="293">
        <f t="shared" si="1284"/>
        <v>0</v>
      </c>
      <c r="KG67" s="293">
        <f t="shared" si="1284"/>
        <v>0</v>
      </c>
      <c r="KH67" s="293">
        <f t="shared" si="1284"/>
        <v>0</v>
      </c>
      <c r="KI67" s="293">
        <f t="shared" si="1284"/>
        <v>0</v>
      </c>
      <c r="KJ67" s="293">
        <f t="shared" si="1284"/>
        <v>0</v>
      </c>
      <c r="KK67" s="803">
        <f t="shared" si="1285"/>
        <v>0</v>
      </c>
      <c r="KL67" s="803">
        <f t="shared" si="1285"/>
        <v>0</v>
      </c>
      <c r="KM67" s="803">
        <f t="shared" si="1285"/>
        <v>6.7000000000000002E-3</v>
      </c>
      <c r="KN67" s="803">
        <f t="shared" si="1285"/>
        <v>0</v>
      </c>
      <c r="KO67" s="803">
        <f t="shared" si="1285"/>
        <v>0</v>
      </c>
      <c r="KP67" s="803">
        <f t="shared" si="1285"/>
        <v>0</v>
      </c>
      <c r="KQ67" s="803">
        <f t="shared" si="1285"/>
        <v>0</v>
      </c>
      <c r="KR67" s="803">
        <f t="shared" si="1285"/>
        <v>0</v>
      </c>
      <c r="KS67" s="803">
        <f t="shared" si="1285"/>
        <v>0</v>
      </c>
      <c r="KT67" s="803">
        <f t="shared" si="1285"/>
        <v>1.6000000000000001E-3</v>
      </c>
      <c r="KU67" s="803">
        <f t="shared" si="1285"/>
        <v>0</v>
      </c>
      <c r="KV67" s="803">
        <f t="shared" si="1285"/>
        <v>0</v>
      </c>
      <c r="KW67" s="915">
        <f t="shared" si="1286"/>
        <v>0</v>
      </c>
      <c r="KX67" s="915">
        <f t="shared" si="1286"/>
        <v>0</v>
      </c>
      <c r="KY67" s="915">
        <f t="shared" si="1286"/>
        <v>0</v>
      </c>
      <c r="KZ67" s="915">
        <f t="shared" si="1286"/>
        <v>0</v>
      </c>
      <c r="LA67" s="915">
        <f t="shared" si="1286"/>
        <v>0</v>
      </c>
      <c r="LB67" s="915">
        <f t="shared" si="1286"/>
        <v>0</v>
      </c>
      <c r="LC67" s="915">
        <f t="shared" si="1286"/>
        <v>0</v>
      </c>
      <c r="LD67" s="915">
        <f t="shared" si="1286"/>
        <v>0</v>
      </c>
      <c r="LE67" s="915">
        <f t="shared" si="1286"/>
        <v>0</v>
      </c>
      <c r="LF67" s="915">
        <f t="shared" si="1286"/>
        <v>0</v>
      </c>
      <c r="LG67" s="915">
        <f t="shared" si="1286"/>
        <v>0</v>
      </c>
      <c r="LH67" s="915">
        <f t="shared" si="1286"/>
        <v>0</v>
      </c>
      <c r="LI67" s="974">
        <f t="shared" si="1287"/>
        <v>0</v>
      </c>
      <c r="LJ67" s="974">
        <f t="shared" si="1287"/>
        <v>0</v>
      </c>
      <c r="LK67" s="974">
        <f t="shared" si="1287"/>
        <v>0</v>
      </c>
      <c r="LL67" s="974">
        <f t="shared" si="1287"/>
        <v>0</v>
      </c>
      <c r="LM67" s="974">
        <f t="shared" si="1287"/>
        <v>0</v>
      </c>
      <c r="LN67" s="974">
        <f t="shared" si="1287"/>
        <v>0</v>
      </c>
      <c r="LO67" s="974">
        <f t="shared" si="1287"/>
        <v>0</v>
      </c>
      <c r="LP67" s="974">
        <f t="shared" si="1287"/>
        <v>0</v>
      </c>
      <c r="LQ67" s="974">
        <f t="shared" si="1287"/>
        <v>0</v>
      </c>
      <c r="LR67" s="974">
        <f t="shared" si="1287"/>
        <v>0</v>
      </c>
      <c r="LS67" s="974">
        <f t="shared" si="1287"/>
        <v>0</v>
      </c>
      <c r="LT67" s="974">
        <f t="shared" si="1287"/>
        <v>0</v>
      </c>
      <c r="LU67" s="1170">
        <f t="shared" si="1288"/>
        <v>0</v>
      </c>
      <c r="LV67" s="1170">
        <f t="shared" si="1288"/>
        <v>2.8999999999999998E-3</v>
      </c>
      <c r="LW67" s="1170">
        <f t="shared" si="1288"/>
        <v>0</v>
      </c>
      <c r="LX67" s="1170">
        <f t="shared" si="1288"/>
        <v>1.2999999999999999E-3</v>
      </c>
      <c r="LY67" s="1170">
        <f t="shared" si="1288"/>
        <v>0</v>
      </c>
      <c r="LZ67" s="1170">
        <f t="shared" si="1288"/>
        <v>0</v>
      </c>
      <c r="MA67" s="1170">
        <f t="shared" si="1288"/>
        <v>1.0000000000000001E-5</v>
      </c>
      <c r="MB67" s="1170">
        <f t="shared" si="1288"/>
        <v>0</v>
      </c>
      <c r="MC67" s="1170">
        <f t="shared" si="1288"/>
        <v>3.8E-3</v>
      </c>
      <c r="MD67" s="1170">
        <f t="shared" si="1288"/>
        <v>0</v>
      </c>
      <c r="ME67" s="1170">
        <f t="shared" si="1288"/>
        <v>0</v>
      </c>
      <c r="MF67" s="1170">
        <f t="shared" si="1288"/>
        <v>0</v>
      </c>
      <c r="MG67" s="1192">
        <f t="shared" si="1289"/>
        <v>0</v>
      </c>
      <c r="MH67" s="1192">
        <f t="shared" si="1289"/>
        <v>0</v>
      </c>
      <c r="MI67" s="1192">
        <f t="shared" si="1289"/>
        <v>0</v>
      </c>
      <c r="MJ67" s="1192">
        <f t="shared" si="1289"/>
        <v>0</v>
      </c>
      <c r="MK67" s="1192">
        <f t="shared" si="1289"/>
        <v>0</v>
      </c>
      <c r="ML67" s="1192">
        <f t="shared" si="1289"/>
        <v>0</v>
      </c>
      <c r="MM67" s="1192">
        <f t="shared" si="1289"/>
        <v>0</v>
      </c>
      <c r="MN67" s="1192">
        <f t="shared" si="1289"/>
        <v>0</v>
      </c>
      <c r="MO67" s="1192">
        <f t="shared" si="1289"/>
        <v>0</v>
      </c>
      <c r="MP67" s="1192">
        <f t="shared" si="1289"/>
        <v>0</v>
      </c>
      <c r="MQ67" s="1192">
        <f t="shared" si="1290"/>
        <v>0</v>
      </c>
      <c r="MR67" s="1192">
        <f t="shared" si="1290"/>
        <v>0</v>
      </c>
    </row>
    <row r="68" spans="1:356" s="36" customFormat="1" x14ac:dyDescent="0.25">
      <c r="A68" s="770"/>
      <c r="B68" s="56">
        <v>9.3000000000000007</v>
      </c>
      <c r="C68" s="35"/>
      <c r="D68" s="457"/>
      <c r="E68" s="1210" t="s">
        <v>70</v>
      </c>
      <c r="F68" s="1210"/>
      <c r="G68" s="1211"/>
      <c r="H68" s="391">
        <v>1</v>
      </c>
      <c r="I68" s="74">
        <v>1</v>
      </c>
      <c r="J68" s="19">
        <v>0.94320000000000004</v>
      </c>
      <c r="K68" s="74">
        <v>1</v>
      </c>
      <c r="L68" s="19">
        <v>1</v>
      </c>
      <c r="M68" s="74">
        <v>1</v>
      </c>
      <c r="N68" s="19">
        <v>1</v>
      </c>
      <c r="O68" s="74">
        <v>1</v>
      </c>
      <c r="P68" s="19">
        <v>1</v>
      </c>
      <c r="Q68" s="74">
        <v>1</v>
      </c>
      <c r="R68" s="19">
        <v>1</v>
      </c>
      <c r="S68" s="74">
        <v>1</v>
      </c>
      <c r="T68" s="132" t="s">
        <v>29</v>
      </c>
      <c r="U68" s="151">
        <v>0.99526666666666674</v>
      </c>
      <c r="V68" s="391">
        <v>1</v>
      </c>
      <c r="W68" s="74">
        <v>1</v>
      </c>
      <c r="X68" s="19">
        <v>1</v>
      </c>
      <c r="Y68" s="74">
        <v>0.99860000000000004</v>
      </c>
      <c r="Z68" s="19">
        <v>1</v>
      </c>
      <c r="AA68" s="74">
        <v>1</v>
      </c>
      <c r="AB68" s="19">
        <v>0.99429999999999996</v>
      </c>
      <c r="AC68" s="74">
        <v>1</v>
      </c>
      <c r="AD68" s="19">
        <v>1</v>
      </c>
      <c r="AE68" s="74">
        <v>1</v>
      </c>
      <c r="AF68" s="19">
        <v>1</v>
      </c>
      <c r="AG68" s="74">
        <v>1</v>
      </c>
      <c r="AH68" s="132" t="s">
        <v>29</v>
      </c>
      <c r="AI68" s="151">
        <v>0.99940833333333323</v>
      </c>
      <c r="AJ68" s="391">
        <v>1</v>
      </c>
      <c r="AK68" s="74">
        <v>0.99490000000000001</v>
      </c>
      <c r="AL68" s="19">
        <v>1</v>
      </c>
      <c r="AM68" s="74">
        <v>0.99819999999999998</v>
      </c>
      <c r="AN68" s="19">
        <v>1</v>
      </c>
      <c r="AO68" s="74">
        <v>1</v>
      </c>
      <c r="AP68" s="644">
        <v>1</v>
      </c>
      <c r="AQ68" s="74">
        <v>1</v>
      </c>
      <c r="AR68" s="644">
        <v>1</v>
      </c>
      <c r="AS68" s="74">
        <v>1</v>
      </c>
      <c r="AT68" s="644">
        <v>1</v>
      </c>
      <c r="AU68" s="74">
        <v>1</v>
      </c>
      <c r="AV68" s="132" t="s">
        <v>29</v>
      </c>
      <c r="AW68" s="151">
        <f>SUM(AJ68:AU68)/$AV$4</f>
        <v>0.99942500000000001</v>
      </c>
      <c r="AX68" s="391">
        <v>1</v>
      </c>
      <c r="AY68" s="74">
        <v>0.99739999999999995</v>
      </c>
      <c r="AZ68" s="19">
        <v>1</v>
      </c>
      <c r="BA68" s="74">
        <v>1</v>
      </c>
      <c r="BB68" s="19">
        <v>1</v>
      </c>
      <c r="BC68" s="74">
        <v>1</v>
      </c>
      <c r="BD68" s="644">
        <v>1</v>
      </c>
      <c r="BE68" s="74">
        <v>1</v>
      </c>
      <c r="BF68" s="644">
        <v>1</v>
      </c>
      <c r="BG68" s="74">
        <v>1</v>
      </c>
      <c r="BH68" s="644">
        <v>1</v>
      </c>
      <c r="BI68" s="74">
        <v>1</v>
      </c>
      <c r="BJ68" s="132" t="s">
        <v>29</v>
      </c>
      <c r="BK68" s="151">
        <f>SUM(AX68:BI68)/$BJ$4</f>
        <v>0.99978333333333325</v>
      </c>
      <c r="BL68" s="391">
        <v>1</v>
      </c>
      <c r="BM68" s="74">
        <v>1</v>
      </c>
      <c r="BN68" s="19">
        <v>0.99329999999999996</v>
      </c>
      <c r="BO68" s="74">
        <v>1</v>
      </c>
      <c r="BP68" s="19">
        <v>1</v>
      </c>
      <c r="BQ68" s="74">
        <v>1</v>
      </c>
      <c r="BR68" s="644">
        <v>1</v>
      </c>
      <c r="BS68" s="74">
        <v>1</v>
      </c>
      <c r="BT68" s="644">
        <v>1</v>
      </c>
      <c r="BU68" s="644">
        <v>0.99839999999999995</v>
      </c>
      <c r="BV68" s="644">
        <v>1</v>
      </c>
      <c r="BW68" s="644">
        <v>1</v>
      </c>
      <c r="BX68" s="132" t="s">
        <v>29</v>
      </c>
      <c r="BY68" s="151">
        <f>SUM(BL68:BW68)/$BX$4</f>
        <v>0.99930833333333335</v>
      </c>
      <c r="BZ68" s="644">
        <v>1</v>
      </c>
      <c r="CA68" s="74">
        <v>1</v>
      </c>
      <c r="CB68" s="19">
        <v>1</v>
      </c>
      <c r="CC68" s="74">
        <v>1</v>
      </c>
      <c r="CD68" s="19">
        <v>1</v>
      </c>
      <c r="CE68" s="74">
        <v>1</v>
      </c>
      <c r="CF68" s="644">
        <v>1</v>
      </c>
      <c r="CG68" s="74">
        <v>1</v>
      </c>
      <c r="CH68" s="644">
        <v>1</v>
      </c>
      <c r="CI68" s="644">
        <v>1</v>
      </c>
      <c r="CJ68" s="644">
        <v>1</v>
      </c>
      <c r="CK68" s="644">
        <v>1</v>
      </c>
      <c r="CL68" s="132" t="s">
        <v>29</v>
      </c>
      <c r="CM68" s="151">
        <f>SUM(BZ68:CK68)/$CL$4</f>
        <v>1</v>
      </c>
      <c r="CN68" s="644">
        <v>1</v>
      </c>
      <c r="CO68" s="74">
        <v>1</v>
      </c>
      <c r="CP68" s="19">
        <v>1</v>
      </c>
      <c r="CQ68" s="74">
        <v>1</v>
      </c>
      <c r="CR68" s="19">
        <v>1</v>
      </c>
      <c r="CS68" s="74">
        <v>1</v>
      </c>
      <c r="CT68" s="644">
        <v>1</v>
      </c>
      <c r="CU68" s="74">
        <v>1</v>
      </c>
      <c r="CV68" s="644">
        <v>1</v>
      </c>
      <c r="CW68" s="1083">
        <v>1</v>
      </c>
      <c r="CX68" s="644">
        <v>1</v>
      </c>
      <c r="CY68" s="74">
        <v>1</v>
      </c>
      <c r="CZ68" s="132" t="s">
        <v>29</v>
      </c>
      <c r="DA68" s="151">
        <f>SUM(CN68:CY68)/$CZ$4</f>
        <v>1</v>
      </c>
      <c r="DB68" s="644">
        <v>1</v>
      </c>
      <c r="DC68" s="74">
        <v>0.99709999999999999</v>
      </c>
      <c r="DD68" s="19">
        <v>1</v>
      </c>
      <c r="DE68" s="74">
        <v>0.9829</v>
      </c>
      <c r="DF68" s="19">
        <v>1</v>
      </c>
      <c r="DG68" s="74">
        <v>1</v>
      </c>
      <c r="DH68" s="644">
        <v>0.99999899999999997</v>
      </c>
      <c r="DI68" s="74">
        <v>1</v>
      </c>
      <c r="DJ68" s="644">
        <v>0.99619999999999997</v>
      </c>
      <c r="DK68" s="74">
        <v>1</v>
      </c>
      <c r="DL68" s="644"/>
      <c r="DM68" s="74"/>
      <c r="DN68" s="132" t="s">
        <v>29</v>
      </c>
      <c r="DO68" s="151">
        <f>SUM(DB68:DM68)/$DN$4</f>
        <v>0.99761990000000011</v>
      </c>
      <c r="DP68" s="644"/>
      <c r="DQ68" s="74"/>
      <c r="DR68" s="19"/>
      <c r="DS68" s="74"/>
      <c r="DT68" s="19"/>
      <c r="DU68" s="74"/>
      <c r="DV68" s="644"/>
      <c r="DW68" s="74"/>
      <c r="DX68" s="644"/>
      <c r="DY68" s="74"/>
      <c r="DZ68" s="644"/>
      <c r="EA68" s="74"/>
      <c r="EB68" s="132" t="s">
        <v>29</v>
      </c>
      <c r="EC68" s="151" t="e">
        <f>SUM(DP68:EA68)/$EB$4</f>
        <v>#DIV/0!</v>
      </c>
      <c r="ED68" s="690">
        <f>AX68-AU68</f>
        <v>0</v>
      </c>
      <c r="EE68" s="663">
        <f>ED68/AU68</f>
        <v>0</v>
      </c>
      <c r="EF68" s="690">
        <f>AY68-AX68</f>
        <v>-2.6000000000000467E-3</v>
      </c>
      <c r="EG68" s="663">
        <f>EF68/AX68</f>
        <v>-2.6000000000000467E-3</v>
      </c>
      <c r="EH68" s="690">
        <f>AZ68-AY68</f>
        <v>2.6000000000000467E-3</v>
      </c>
      <c r="EI68" s="663">
        <f>EH68/AY68</f>
        <v>2.6067776218167706E-3</v>
      </c>
      <c r="EJ68" s="690">
        <f>BA68-AZ68</f>
        <v>0</v>
      </c>
      <c r="EK68" s="663">
        <f>EJ68/AZ68</f>
        <v>0</v>
      </c>
      <c r="EL68" s="690">
        <f>BB68-BA68</f>
        <v>0</v>
      </c>
      <c r="EM68" s="663">
        <f>EL68/BA68</f>
        <v>0</v>
      </c>
      <c r="EN68" s="690">
        <f>BC68-BB68</f>
        <v>0</v>
      </c>
      <c r="EO68" s="663">
        <f>EN68/BB68</f>
        <v>0</v>
      </c>
      <c r="EP68" s="690">
        <f>BD68-BC68</f>
        <v>0</v>
      </c>
      <c r="EQ68" s="663">
        <f>EP68/BC68</f>
        <v>0</v>
      </c>
      <c r="ER68" s="690">
        <f>BE68-BD68</f>
        <v>0</v>
      </c>
      <c r="ES68" s="663">
        <f>ER68/BD68</f>
        <v>0</v>
      </c>
      <c r="ET68" s="690">
        <f>BF68-BE68</f>
        <v>0</v>
      </c>
      <c r="EU68" s="663">
        <f>ET68/BE68</f>
        <v>0</v>
      </c>
      <c r="EV68" s="690">
        <f>BG68-BF68</f>
        <v>0</v>
      </c>
      <c r="EW68" s="109">
        <f>EV68/BF68</f>
        <v>0</v>
      </c>
      <c r="EX68" s="690">
        <f>BH68-BG68</f>
        <v>0</v>
      </c>
      <c r="EY68" s="663">
        <f>EX68/BG68</f>
        <v>0</v>
      </c>
      <c r="EZ68" s="690">
        <f>BI68-BH68</f>
        <v>0</v>
      </c>
      <c r="FA68" s="663">
        <f>EZ68/BH68</f>
        <v>0</v>
      </c>
      <c r="FB68" s="690">
        <f>BL68-BI68</f>
        <v>0</v>
      </c>
      <c r="FC68" s="663">
        <f>FB68/BI68</f>
        <v>0</v>
      </c>
      <c r="FD68" s="317">
        <f>BM68-BL68</f>
        <v>0</v>
      </c>
      <c r="FE68" s="402">
        <f>FD68/BL68</f>
        <v>0</v>
      </c>
      <c r="FF68" s="317">
        <f>BN68-BM68</f>
        <v>-6.7000000000000393E-3</v>
      </c>
      <c r="FG68" s="402">
        <f>FF68/BM68</f>
        <v>-6.7000000000000393E-3</v>
      </c>
      <c r="FH68" s="317">
        <f>BO68-BN68</f>
        <v>6.7000000000000393E-3</v>
      </c>
      <c r="FI68" s="402">
        <f>FH68/BN68</f>
        <v>6.7451927917044595E-3</v>
      </c>
      <c r="FJ68" s="317">
        <f>BP68-BO68</f>
        <v>0</v>
      </c>
      <c r="FK68" s="663">
        <f>FJ68/BO68</f>
        <v>0</v>
      </c>
      <c r="FL68" s="317">
        <f>BQ68-BP68</f>
        <v>0</v>
      </c>
      <c r="FM68" s="402">
        <f>FL68/BP68</f>
        <v>0</v>
      </c>
      <c r="FN68" s="876">
        <f>BR68-BQ68</f>
        <v>0</v>
      </c>
      <c r="FO68" s="663">
        <f>FN68/BQ68</f>
        <v>0</v>
      </c>
      <c r="FP68" s="317">
        <f>BS68-BR68</f>
        <v>0</v>
      </c>
      <c r="FQ68" s="402">
        <f>FP68/BR68</f>
        <v>0</v>
      </c>
      <c r="FR68" s="317">
        <f>BT68-BS68</f>
        <v>0</v>
      </c>
      <c r="FS68" s="402">
        <f>FR68/BS68</f>
        <v>0</v>
      </c>
      <c r="FT68" s="317">
        <f>BU68-BT68</f>
        <v>-1.6000000000000458E-3</v>
      </c>
      <c r="FU68" s="402">
        <f>FT68/BT68</f>
        <v>-1.6000000000000458E-3</v>
      </c>
      <c r="FV68" s="317">
        <f>BV68-BU68</f>
        <v>1.6000000000000458E-3</v>
      </c>
      <c r="FW68" s="404">
        <f>FV68/BU68</f>
        <v>1.6025641025641485E-3</v>
      </c>
      <c r="FX68" s="317">
        <f>BW68-BV68</f>
        <v>0</v>
      </c>
      <c r="FY68" s="402">
        <f>FX68/BV68</f>
        <v>0</v>
      </c>
      <c r="FZ68" s="317">
        <f>BZ68-BW68</f>
        <v>0</v>
      </c>
      <c r="GA68" s="402">
        <f>FZ68/BW68</f>
        <v>0</v>
      </c>
      <c r="GB68" s="317">
        <f>CA68-BZ68</f>
        <v>0</v>
      </c>
      <c r="GC68" s="402">
        <f>GB68/BZ68</f>
        <v>0</v>
      </c>
      <c r="GD68" s="317">
        <f>CB68-CA68</f>
        <v>0</v>
      </c>
      <c r="GE68" s="402">
        <f>GD68/CA68</f>
        <v>0</v>
      </c>
      <c r="GF68" s="317">
        <f>CC68-CB68</f>
        <v>0</v>
      </c>
      <c r="GG68" s="402">
        <f>GF68/CB68</f>
        <v>0</v>
      </c>
      <c r="GH68" s="317">
        <f>CD68-CC68</f>
        <v>0</v>
      </c>
      <c r="GI68" s="402">
        <f>GH68/CC68</f>
        <v>0</v>
      </c>
      <c r="GJ68" s="317">
        <f>CE68-CD68</f>
        <v>0</v>
      </c>
      <c r="GK68" s="402">
        <f>GJ68/CD68</f>
        <v>0</v>
      </c>
      <c r="GL68" s="317">
        <f>CF68-CE68</f>
        <v>0</v>
      </c>
      <c r="GM68" s="402">
        <f>GL68/CE68</f>
        <v>0</v>
      </c>
      <c r="GN68" s="317">
        <f>CG68-CF68</f>
        <v>0</v>
      </c>
      <c r="GO68" s="402">
        <f>GN68/CF68</f>
        <v>0</v>
      </c>
      <c r="GP68" s="317">
        <f>CH68-CG68</f>
        <v>0</v>
      </c>
      <c r="GQ68" s="402">
        <f>GP68/CG68</f>
        <v>0</v>
      </c>
      <c r="GR68" s="317">
        <f>CI68-CH68</f>
        <v>0</v>
      </c>
      <c r="GS68" s="402">
        <f>GR68/CH68</f>
        <v>0</v>
      </c>
      <c r="GT68" s="317">
        <f>CJ68-CI68</f>
        <v>0</v>
      </c>
      <c r="GU68" s="402">
        <f>GT68/CI68</f>
        <v>0</v>
      </c>
      <c r="GV68" s="317">
        <f>CK68-CJ68</f>
        <v>0</v>
      </c>
      <c r="GW68" s="402">
        <f>GV68/CJ68</f>
        <v>0</v>
      </c>
      <c r="GX68" s="317">
        <f>CN68-CK68</f>
        <v>0</v>
      </c>
      <c r="GY68" s="402">
        <f>GX68/CK68</f>
        <v>0</v>
      </c>
      <c r="GZ68" s="317">
        <f>CO68-CN68</f>
        <v>0</v>
      </c>
      <c r="HA68" s="402">
        <f>GZ68/CN68</f>
        <v>0</v>
      </c>
      <c r="HB68" s="317">
        <f>CP68-CO68</f>
        <v>0</v>
      </c>
      <c r="HC68" s="402">
        <f>HB68/CO68</f>
        <v>0</v>
      </c>
      <c r="HD68" s="317">
        <f>CQ68-CP68</f>
        <v>0</v>
      </c>
      <c r="HE68" s="402">
        <f>HD68/CP68</f>
        <v>0</v>
      </c>
      <c r="HF68" s="317">
        <f>CR68-CQ68</f>
        <v>0</v>
      </c>
      <c r="HG68" s="402">
        <f>HF68/CQ68</f>
        <v>0</v>
      </c>
      <c r="HH68" s="317">
        <f>CS68-CR68</f>
        <v>0</v>
      </c>
      <c r="HI68" s="402">
        <f>HH68/CR68</f>
        <v>0</v>
      </c>
      <c r="HJ68" s="317">
        <f>CT68-CS68</f>
        <v>0</v>
      </c>
      <c r="HK68" s="402">
        <f>HJ68/CS68</f>
        <v>0</v>
      </c>
      <c r="HL68" s="317">
        <f>CU68-CT68</f>
        <v>0</v>
      </c>
      <c r="HM68" s="402">
        <f>HL68/CT68</f>
        <v>0</v>
      </c>
      <c r="HN68" s="1089">
        <f>CV68-CU68</f>
        <v>0</v>
      </c>
      <c r="HO68" s="402">
        <f>HN68/CU68</f>
        <v>0</v>
      </c>
      <c r="HP68" s="317">
        <f>CW68-CV68</f>
        <v>0</v>
      </c>
      <c r="HQ68" s="402">
        <f>HP68/CV68</f>
        <v>0</v>
      </c>
      <c r="HR68" s="317">
        <f>CX68-CW68</f>
        <v>0</v>
      </c>
      <c r="HS68" s="402">
        <f>HR68/CW68</f>
        <v>0</v>
      </c>
      <c r="HT68" s="317">
        <f>CY68-CX68</f>
        <v>0</v>
      </c>
      <c r="HU68" s="402">
        <f>HT68/CX68</f>
        <v>0</v>
      </c>
      <c r="HV68" s="317">
        <f>DB68-CY68</f>
        <v>0</v>
      </c>
      <c r="HW68" s="402">
        <f>HV68/CY68</f>
        <v>0</v>
      </c>
      <c r="HX68" s="317">
        <f>DC68-DB68</f>
        <v>-2.9000000000000137E-3</v>
      </c>
      <c r="HY68" s="402">
        <f>HX68/DB68</f>
        <v>-2.9000000000000137E-3</v>
      </c>
      <c r="HZ68" s="317">
        <f>DD68-DC68</f>
        <v>2.9000000000000137E-3</v>
      </c>
      <c r="IA68" s="402">
        <f>HZ68/DD68</f>
        <v>2.9000000000000137E-3</v>
      </c>
      <c r="IB68" s="317">
        <f>DE68-DD68</f>
        <v>-1.7100000000000004E-2</v>
      </c>
      <c r="IC68" s="402">
        <f>IB68/DD68</f>
        <v>-1.7100000000000004E-2</v>
      </c>
      <c r="ID68" s="317">
        <f>DF68-DE68</f>
        <v>1.7100000000000004E-2</v>
      </c>
      <c r="IE68" s="402">
        <f>ID68/DO68</f>
        <v>1.7140796810488645E-2</v>
      </c>
      <c r="IF68" s="317">
        <f>DG68-DF68</f>
        <v>0</v>
      </c>
      <c r="IG68" s="402">
        <f>IF68/DF68</f>
        <v>0</v>
      </c>
      <c r="IH68" s="317">
        <f>DH68-DG68</f>
        <v>-1.0000000000287557E-6</v>
      </c>
      <c r="II68" s="402">
        <f>IH68/DG68</f>
        <v>-1.0000000000287557E-6</v>
      </c>
      <c r="IJ68" s="317">
        <f>DI68-DH68</f>
        <v>1.0000000000287557E-6</v>
      </c>
      <c r="IK68" s="402">
        <f>IJ68/DH68</f>
        <v>1.0000010000297558E-6</v>
      </c>
      <c r="IL68" s="317">
        <f>DJ68-DI68</f>
        <v>-3.8000000000000256E-3</v>
      </c>
      <c r="IM68" s="402">
        <f>IL68/DI68</f>
        <v>-3.8000000000000256E-3</v>
      </c>
      <c r="IN68" s="317">
        <f>DK68-DJ68</f>
        <v>3.8000000000000256E-3</v>
      </c>
      <c r="IO68" s="402">
        <f>IN68/DJ68</f>
        <v>3.8144950813089997E-3</v>
      </c>
      <c r="IP68" s="317">
        <f>DL68-DK68</f>
        <v>-1</v>
      </c>
      <c r="IQ68" s="402">
        <f t="shared" si="1281"/>
        <v>-383.61538461537771</v>
      </c>
      <c r="IR68" s="317">
        <f>EK68-EJ68</f>
        <v>0</v>
      </c>
      <c r="IS68" s="402" t="e">
        <f>IR68/EJ68</f>
        <v>#DIV/0!</v>
      </c>
      <c r="IT68" s="644">
        <f>CW68</f>
        <v>1</v>
      </c>
      <c r="IU68" s="1083">
        <f>DK68</f>
        <v>1</v>
      </c>
      <c r="IV68" s="665">
        <f>(IU68-IT68)*100</f>
        <v>0</v>
      </c>
      <c r="IW68" s="109">
        <f t="shared" si="1282"/>
        <v>0</v>
      </c>
      <c r="IX68" s="698"/>
      <c r="IY68" s="698"/>
      <c r="IZ68" s="698"/>
      <c r="JA68" s="36" t="str">
        <f>E68</f>
        <v>BI Up Time</v>
      </c>
      <c r="JB68" s="266" t="e">
        <f>#REF!</f>
        <v>#REF!</v>
      </c>
      <c r="JC68" s="266" t="e">
        <f>#REF!</f>
        <v>#REF!</v>
      </c>
      <c r="JD68" s="266" t="e">
        <f>#REF!</f>
        <v>#REF!</v>
      </c>
      <c r="JE68" s="266" t="e">
        <f>#REF!</f>
        <v>#REF!</v>
      </c>
      <c r="JF68" s="266" t="e">
        <f>#REF!</f>
        <v>#REF!</v>
      </c>
      <c r="JG68" s="266" t="e">
        <f>#REF!</f>
        <v>#REF!</v>
      </c>
      <c r="JH68" s="266" t="e">
        <f>#REF!</f>
        <v>#REF!</v>
      </c>
      <c r="JI68" s="266" t="e">
        <f>#REF!</f>
        <v>#REF!</v>
      </c>
      <c r="JJ68" s="266" t="e">
        <f>#REF!</f>
        <v>#REF!</v>
      </c>
      <c r="JK68" s="266" t="e">
        <f>#REF!</f>
        <v>#REF!</v>
      </c>
      <c r="JL68" s="266" t="e">
        <f>#REF!</f>
        <v>#REF!</v>
      </c>
      <c r="JM68" s="267">
        <f t="shared" si="1283"/>
        <v>1</v>
      </c>
      <c r="JN68" s="267">
        <f t="shared" si="1283"/>
        <v>0.99490000000000001</v>
      </c>
      <c r="JO68" s="267">
        <f t="shared" si="1283"/>
        <v>1</v>
      </c>
      <c r="JP68" s="267">
        <f t="shared" si="1283"/>
        <v>0.99819999999999998</v>
      </c>
      <c r="JQ68" s="267">
        <f t="shared" si="1283"/>
        <v>1</v>
      </c>
      <c r="JR68" s="267">
        <f t="shared" si="1283"/>
        <v>1</v>
      </c>
      <c r="JS68" s="267">
        <f t="shared" si="1283"/>
        <v>1</v>
      </c>
      <c r="JT68" s="267">
        <f t="shared" si="1283"/>
        <v>1</v>
      </c>
      <c r="JU68" s="267">
        <f t="shared" si="1283"/>
        <v>1</v>
      </c>
      <c r="JV68" s="267">
        <f t="shared" si="1283"/>
        <v>1</v>
      </c>
      <c r="JW68" s="267">
        <f t="shared" si="1283"/>
        <v>1</v>
      </c>
      <c r="JX68" s="267">
        <f t="shared" si="1283"/>
        <v>1</v>
      </c>
      <c r="JY68" s="267">
        <f t="shared" si="1284"/>
        <v>1</v>
      </c>
      <c r="JZ68" s="267">
        <f t="shared" si="1284"/>
        <v>0.99739999999999995</v>
      </c>
      <c r="KA68" s="267">
        <f t="shared" si="1284"/>
        <v>1</v>
      </c>
      <c r="KB68" s="267">
        <f t="shared" si="1284"/>
        <v>1</v>
      </c>
      <c r="KC68" s="267">
        <f t="shared" si="1284"/>
        <v>1</v>
      </c>
      <c r="KD68" s="267">
        <f t="shared" si="1284"/>
        <v>1</v>
      </c>
      <c r="KE68" s="267">
        <f t="shared" si="1284"/>
        <v>1</v>
      </c>
      <c r="KF68" s="267">
        <f t="shared" si="1284"/>
        <v>1</v>
      </c>
      <c r="KG68" s="267">
        <f t="shared" si="1284"/>
        <v>1</v>
      </c>
      <c r="KH68" s="267">
        <f t="shared" si="1284"/>
        <v>1</v>
      </c>
      <c r="KI68" s="267">
        <f t="shared" si="1284"/>
        <v>1</v>
      </c>
      <c r="KJ68" s="267">
        <f t="shared" si="1284"/>
        <v>1</v>
      </c>
      <c r="KK68" s="790">
        <f t="shared" si="1285"/>
        <v>1</v>
      </c>
      <c r="KL68" s="790">
        <f t="shared" si="1285"/>
        <v>1</v>
      </c>
      <c r="KM68" s="790">
        <f t="shared" si="1285"/>
        <v>0.99329999999999996</v>
      </c>
      <c r="KN68" s="790">
        <f t="shared" si="1285"/>
        <v>1</v>
      </c>
      <c r="KO68" s="790">
        <f t="shared" si="1285"/>
        <v>1</v>
      </c>
      <c r="KP68" s="790">
        <f t="shared" si="1285"/>
        <v>1</v>
      </c>
      <c r="KQ68" s="790">
        <f t="shared" si="1285"/>
        <v>1</v>
      </c>
      <c r="KR68" s="790">
        <f t="shared" si="1285"/>
        <v>1</v>
      </c>
      <c r="KS68" s="790">
        <f t="shared" si="1285"/>
        <v>1</v>
      </c>
      <c r="KT68" s="790">
        <f t="shared" si="1285"/>
        <v>0.99839999999999995</v>
      </c>
      <c r="KU68" s="790">
        <f t="shared" si="1285"/>
        <v>1</v>
      </c>
      <c r="KV68" s="790">
        <f t="shared" si="1285"/>
        <v>1</v>
      </c>
      <c r="KW68" s="902">
        <f t="shared" si="1286"/>
        <v>1</v>
      </c>
      <c r="KX68" s="902">
        <f t="shared" si="1286"/>
        <v>1</v>
      </c>
      <c r="KY68" s="902">
        <f t="shared" si="1286"/>
        <v>1</v>
      </c>
      <c r="KZ68" s="902">
        <f t="shared" si="1286"/>
        <v>1</v>
      </c>
      <c r="LA68" s="902">
        <f t="shared" si="1286"/>
        <v>1</v>
      </c>
      <c r="LB68" s="902">
        <f t="shared" si="1286"/>
        <v>1</v>
      </c>
      <c r="LC68" s="902">
        <f t="shared" si="1286"/>
        <v>1</v>
      </c>
      <c r="LD68" s="902">
        <f t="shared" si="1286"/>
        <v>1</v>
      </c>
      <c r="LE68" s="902">
        <f t="shared" si="1286"/>
        <v>1</v>
      </c>
      <c r="LF68" s="902">
        <f t="shared" si="1286"/>
        <v>1</v>
      </c>
      <c r="LG68" s="902">
        <f t="shared" si="1286"/>
        <v>1</v>
      </c>
      <c r="LH68" s="902">
        <f t="shared" si="1286"/>
        <v>1</v>
      </c>
      <c r="LI68" s="961">
        <f t="shared" si="1287"/>
        <v>1</v>
      </c>
      <c r="LJ68" s="961">
        <f t="shared" si="1287"/>
        <v>1</v>
      </c>
      <c r="LK68" s="961">
        <f t="shared" si="1287"/>
        <v>1</v>
      </c>
      <c r="LL68" s="961">
        <f t="shared" si="1287"/>
        <v>1</v>
      </c>
      <c r="LM68" s="961">
        <f t="shared" si="1287"/>
        <v>1</v>
      </c>
      <c r="LN68" s="961">
        <f t="shared" si="1287"/>
        <v>1</v>
      </c>
      <c r="LO68" s="961">
        <f t="shared" si="1287"/>
        <v>1</v>
      </c>
      <c r="LP68" s="961">
        <f t="shared" si="1287"/>
        <v>1</v>
      </c>
      <c r="LQ68" s="961">
        <f t="shared" si="1287"/>
        <v>1</v>
      </c>
      <c r="LR68" s="961">
        <f t="shared" si="1287"/>
        <v>1</v>
      </c>
      <c r="LS68" s="961">
        <f t="shared" si="1287"/>
        <v>1</v>
      </c>
      <c r="LT68" s="961">
        <f t="shared" si="1287"/>
        <v>1</v>
      </c>
      <c r="LU68" s="1157">
        <f t="shared" si="1288"/>
        <v>1</v>
      </c>
      <c r="LV68" s="1157">
        <f t="shared" si="1288"/>
        <v>0.99709999999999999</v>
      </c>
      <c r="LW68" s="1157">
        <f t="shared" si="1288"/>
        <v>1</v>
      </c>
      <c r="LX68" s="1157">
        <f t="shared" si="1288"/>
        <v>0.9829</v>
      </c>
      <c r="LY68" s="1157">
        <f t="shared" si="1288"/>
        <v>1</v>
      </c>
      <c r="LZ68" s="1157">
        <f t="shared" si="1288"/>
        <v>1</v>
      </c>
      <c r="MA68" s="1157">
        <f t="shared" si="1288"/>
        <v>0.99999899999999997</v>
      </c>
      <c r="MB68" s="1157">
        <f t="shared" si="1288"/>
        <v>1</v>
      </c>
      <c r="MC68" s="1157">
        <f t="shared" si="1288"/>
        <v>0.99619999999999997</v>
      </c>
      <c r="MD68" s="1157">
        <f t="shared" si="1288"/>
        <v>1</v>
      </c>
      <c r="ME68" s="1157">
        <f t="shared" si="1288"/>
        <v>0</v>
      </c>
      <c r="MF68" s="1157">
        <f t="shared" si="1288"/>
        <v>0</v>
      </c>
      <c r="MG68" s="1179">
        <f t="shared" si="1289"/>
        <v>0</v>
      </c>
      <c r="MH68" s="1179">
        <f t="shared" si="1289"/>
        <v>0</v>
      </c>
      <c r="MI68" s="1179">
        <f t="shared" si="1289"/>
        <v>0</v>
      </c>
      <c r="MJ68" s="1179">
        <f t="shared" si="1289"/>
        <v>0</v>
      </c>
      <c r="MK68" s="1179">
        <f t="shared" si="1289"/>
        <v>0</v>
      </c>
      <c r="ML68" s="1179">
        <f t="shared" si="1289"/>
        <v>0</v>
      </c>
      <c r="MM68" s="1179">
        <f t="shared" si="1289"/>
        <v>0</v>
      </c>
      <c r="MN68" s="1179">
        <f t="shared" si="1289"/>
        <v>0</v>
      </c>
      <c r="MO68" s="1179">
        <f t="shared" si="1289"/>
        <v>0</v>
      </c>
      <c r="MP68" s="1179">
        <f t="shared" si="1289"/>
        <v>0</v>
      </c>
      <c r="MQ68" s="1179">
        <f t="shared" si="1290"/>
        <v>0</v>
      </c>
      <c r="MR68" s="1179">
        <f t="shared" si="1290"/>
        <v>0</v>
      </c>
    </row>
    <row r="69" spans="1:356" s="177" customFormat="1" x14ac:dyDescent="0.25">
      <c r="A69" s="770"/>
      <c r="B69" s="76">
        <v>9.4</v>
      </c>
      <c r="C69" s="173"/>
      <c r="D69" s="458"/>
      <c r="E69" s="1212" t="s">
        <v>71</v>
      </c>
      <c r="F69" s="1212"/>
      <c r="G69" s="1213"/>
      <c r="H69" s="392">
        <v>0</v>
      </c>
      <c r="I69" s="175">
        <v>0</v>
      </c>
      <c r="J69" s="174">
        <v>5.6800000000000003E-2</v>
      </c>
      <c r="K69" s="175">
        <v>0</v>
      </c>
      <c r="L69" s="174">
        <v>0</v>
      </c>
      <c r="M69" s="175">
        <v>0</v>
      </c>
      <c r="N69" s="174">
        <v>0</v>
      </c>
      <c r="O69" s="175">
        <v>0</v>
      </c>
      <c r="P69" s="174">
        <v>0</v>
      </c>
      <c r="Q69" s="175">
        <v>0</v>
      </c>
      <c r="R69" s="174">
        <v>0</v>
      </c>
      <c r="S69" s="175">
        <v>0</v>
      </c>
      <c r="T69" s="176" t="s">
        <v>29</v>
      </c>
      <c r="U69" s="161">
        <v>4.7333333333333333E-3</v>
      </c>
      <c r="V69" s="392">
        <v>0</v>
      </c>
      <c r="W69" s="175">
        <v>0</v>
      </c>
      <c r="X69" s="174">
        <v>0</v>
      </c>
      <c r="Y69" s="175">
        <v>1.4E-3</v>
      </c>
      <c r="Z69" s="174">
        <v>0</v>
      </c>
      <c r="AA69" s="175">
        <v>0</v>
      </c>
      <c r="AB69" s="174">
        <v>5.7000000000000002E-3</v>
      </c>
      <c r="AC69" s="175">
        <v>0</v>
      </c>
      <c r="AD69" s="174">
        <v>0</v>
      </c>
      <c r="AE69" s="175">
        <v>0</v>
      </c>
      <c r="AF69" s="174">
        <v>0</v>
      </c>
      <c r="AG69" s="175">
        <v>0</v>
      </c>
      <c r="AH69" s="176" t="s">
        <v>29</v>
      </c>
      <c r="AI69" s="161">
        <v>5.9166666666666666E-4</v>
      </c>
      <c r="AJ69" s="392">
        <v>0</v>
      </c>
      <c r="AK69" s="175">
        <v>5.1000000000000004E-3</v>
      </c>
      <c r="AL69" s="174">
        <v>0</v>
      </c>
      <c r="AM69" s="175">
        <v>1.8E-3</v>
      </c>
      <c r="AN69" s="174">
        <v>0</v>
      </c>
      <c r="AO69" s="175">
        <v>0</v>
      </c>
      <c r="AP69" s="645">
        <v>0</v>
      </c>
      <c r="AQ69" s="175">
        <v>0</v>
      </c>
      <c r="AR69" s="645">
        <v>0</v>
      </c>
      <c r="AS69" s="175">
        <v>0</v>
      </c>
      <c r="AT69" s="645">
        <v>0</v>
      </c>
      <c r="AU69" s="175">
        <v>0</v>
      </c>
      <c r="AV69" s="176" t="s">
        <v>29</v>
      </c>
      <c r="AW69" s="161">
        <f>SUM(AJ69:AU69)/$AV$4</f>
        <v>5.7499999999999999E-4</v>
      </c>
      <c r="AX69" s="392">
        <v>0</v>
      </c>
      <c r="AY69" s="175">
        <v>2.5999999999999999E-3</v>
      </c>
      <c r="AZ69" s="174">
        <v>0</v>
      </c>
      <c r="BA69" s="175">
        <v>0</v>
      </c>
      <c r="BB69" s="174">
        <v>0</v>
      </c>
      <c r="BC69" s="175">
        <v>0</v>
      </c>
      <c r="BD69" s="645">
        <v>0</v>
      </c>
      <c r="BE69" s="175">
        <v>0</v>
      </c>
      <c r="BF69" s="645">
        <v>0</v>
      </c>
      <c r="BG69" s="175">
        <v>0</v>
      </c>
      <c r="BH69" s="645">
        <v>0</v>
      </c>
      <c r="BI69" s="175">
        <v>0</v>
      </c>
      <c r="BJ69" s="176" t="s">
        <v>29</v>
      </c>
      <c r="BK69" s="161">
        <f>SUM(AX69:BI69)/$BJ$4</f>
        <v>2.1666666666666666E-4</v>
      </c>
      <c r="BL69" s="392">
        <v>0</v>
      </c>
      <c r="BM69" s="175">
        <v>0</v>
      </c>
      <c r="BN69" s="174">
        <v>6.7000000000000002E-3</v>
      </c>
      <c r="BO69" s="175">
        <v>0</v>
      </c>
      <c r="BP69" s="174">
        <v>0</v>
      </c>
      <c r="BQ69" s="175">
        <v>0</v>
      </c>
      <c r="BR69" s="645">
        <v>0</v>
      </c>
      <c r="BS69" s="175">
        <v>0</v>
      </c>
      <c r="BT69" s="645">
        <v>0</v>
      </c>
      <c r="BU69" s="645">
        <v>1.6000000000000001E-3</v>
      </c>
      <c r="BV69" s="645">
        <v>0</v>
      </c>
      <c r="BW69" s="645">
        <v>0</v>
      </c>
      <c r="BX69" s="176" t="s">
        <v>29</v>
      </c>
      <c r="BY69" s="161">
        <f>SUM(BL69:BW69)/$BX$4</f>
        <v>6.9166666666666671E-4</v>
      </c>
      <c r="BZ69" s="645">
        <v>0</v>
      </c>
      <c r="CA69" s="175">
        <v>0</v>
      </c>
      <c r="CB69" s="174">
        <v>0</v>
      </c>
      <c r="CC69" s="175">
        <v>0</v>
      </c>
      <c r="CD69" s="174">
        <v>0</v>
      </c>
      <c r="CE69" s="175">
        <v>0</v>
      </c>
      <c r="CF69" s="645">
        <v>0</v>
      </c>
      <c r="CG69" s="175">
        <v>0</v>
      </c>
      <c r="CH69" s="645">
        <v>0</v>
      </c>
      <c r="CI69" s="645">
        <v>0</v>
      </c>
      <c r="CJ69" s="645">
        <v>0</v>
      </c>
      <c r="CK69" s="645">
        <v>0</v>
      </c>
      <c r="CL69" s="176" t="s">
        <v>29</v>
      </c>
      <c r="CM69" s="161">
        <f>SUM(BZ69:CK69)/$CL$4</f>
        <v>0</v>
      </c>
      <c r="CN69" s="645">
        <v>0</v>
      </c>
      <c r="CO69" s="175">
        <v>0</v>
      </c>
      <c r="CP69" s="174">
        <v>0</v>
      </c>
      <c r="CQ69" s="175">
        <v>0</v>
      </c>
      <c r="CR69" s="174">
        <v>0</v>
      </c>
      <c r="CS69" s="175">
        <v>0</v>
      </c>
      <c r="CT69" s="645">
        <v>0</v>
      </c>
      <c r="CU69" s="175">
        <v>0</v>
      </c>
      <c r="CV69" s="645">
        <v>0</v>
      </c>
      <c r="CW69" s="1084">
        <v>0</v>
      </c>
      <c r="CX69" s="645">
        <v>0</v>
      </c>
      <c r="CY69" s="175">
        <v>0</v>
      </c>
      <c r="CZ69" s="176" t="s">
        <v>29</v>
      </c>
      <c r="DA69" s="161">
        <f>SUM(CN69:CY69)/$CZ$4</f>
        <v>0</v>
      </c>
      <c r="DB69" s="645">
        <v>0</v>
      </c>
      <c r="DC69" s="175">
        <v>2.8999999999999998E-3</v>
      </c>
      <c r="DD69" s="174">
        <v>0</v>
      </c>
      <c r="DE69" s="175">
        <v>1.7100000000000001E-2</v>
      </c>
      <c r="DF69" s="174">
        <v>0</v>
      </c>
      <c r="DG69" s="175">
        <v>0</v>
      </c>
      <c r="DH69" s="645">
        <v>1E-4</v>
      </c>
      <c r="DI69" s="175">
        <v>0</v>
      </c>
      <c r="DJ69" s="645">
        <v>4.3E-3</v>
      </c>
      <c r="DK69" s="175">
        <v>0</v>
      </c>
      <c r="DL69" s="645"/>
      <c r="DM69" s="175"/>
      <c r="DN69" s="176" t="s">
        <v>29</v>
      </c>
      <c r="DO69" s="161">
        <f>SUM(DB69:DM69)/$DN$4</f>
        <v>2.4399999999999999E-3</v>
      </c>
      <c r="DP69" s="645"/>
      <c r="DQ69" s="175"/>
      <c r="DR69" s="174"/>
      <c r="DS69" s="175"/>
      <c r="DT69" s="174"/>
      <c r="DU69" s="175"/>
      <c r="DV69" s="645"/>
      <c r="DW69" s="175"/>
      <c r="DX69" s="645"/>
      <c r="DY69" s="175"/>
      <c r="DZ69" s="645"/>
      <c r="EA69" s="175"/>
      <c r="EB69" s="176" t="s">
        <v>29</v>
      </c>
      <c r="EC69" s="161" t="e">
        <f>SUM(DP69:EA69)/$EB$4</f>
        <v>#DIV/0!</v>
      </c>
      <c r="ED69" s="689">
        <f>AX69-AU69</f>
        <v>0</v>
      </c>
      <c r="EE69" s="751">
        <v>0</v>
      </c>
      <c r="EF69" s="689">
        <f>AY69-AX69</f>
        <v>2.5999999999999999E-3</v>
      </c>
      <c r="EG69" s="409">
        <v>0</v>
      </c>
      <c r="EH69" s="689">
        <f>AZ69-AY69</f>
        <v>-2.5999999999999999E-3</v>
      </c>
      <c r="EI69" s="669">
        <f>EH69/AY69</f>
        <v>-1</v>
      </c>
      <c r="EJ69" s="689">
        <f>BA69-AZ69</f>
        <v>0</v>
      </c>
      <c r="EK69" s="409">
        <v>0</v>
      </c>
      <c r="EL69" s="689">
        <f>BB69-BA69</f>
        <v>0</v>
      </c>
      <c r="EM69" s="751">
        <v>0</v>
      </c>
      <c r="EN69" s="689">
        <f>BC69-BB69</f>
        <v>0</v>
      </c>
      <c r="EO69" s="751">
        <v>0</v>
      </c>
      <c r="EP69" s="689">
        <f>BD69-BC69</f>
        <v>0</v>
      </c>
      <c r="EQ69" s="751">
        <v>0</v>
      </c>
      <c r="ER69" s="689">
        <f>BE69-BD69</f>
        <v>0</v>
      </c>
      <c r="ES69" s="751">
        <v>0</v>
      </c>
      <c r="ET69" s="689">
        <f>BF69-BE69</f>
        <v>0</v>
      </c>
      <c r="EU69" s="751">
        <v>0</v>
      </c>
      <c r="EV69" s="689">
        <f>BG69-BF69</f>
        <v>0</v>
      </c>
      <c r="EW69" s="117">
        <v>0</v>
      </c>
      <c r="EX69" s="689">
        <f>BH69-BG69</f>
        <v>0</v>
      </c>
      <c r="EY69" s="669">
        <v>0</v>
      </c>
      <c r="EZ69" s="689">
        <f>BI69-BH69</f>
        <v>0</v>
      </c>
      <c r="FA69" s="669">
        <v>0</v>
      </c>
      <c r="FB69" s="689">
        <f>BL69-BI69</f>
        <v>0</v>
      </c>
      <c r="FC69" s="669">
        <v>0</v>
      </c>
      <c r="FD69" s="328">
        <f>BM69-BL69</f>
        <v>0</v>
      </c>
      <c r="FE69" s="751">
        <v>0</v>
      </c>
      <c r="FF69" s="328">
        <f>BN69-BM69</f>
        <v>6.7000000000000002E-3</v>
      </c>
      <c r="FG69" s="751">
        <v>0</v>
      </c>
      <c r="FH69" s="328">
        <f>BO69-BN69</f>
        <v>-6.7000000000000002E-3</v>
      </c>
      <c r="FI69" s="409">
        <f>FH69/BN69</f>
        <v>-1</v>
      </c>
      <c r="FJ69" s="328">
        <f>BP69-BO69</f>
        <v>0</v>
      </c>
      <c r="FK69" s="669">
        <v>0</v>
      </c>
      <c r="FL69" s="328">
        <f>BQ69-BP69</f>
        <v>0</v>
      </c>
      <c r="FM69" s="409">
        <v>0</v>
      </c>
      <c r="FN69" s="877">
        <f>BR69-BQ69</f>
        <v>0</v>
      </c>
      <c r="FO69" s="669">
        <v>0</v>
      </c>
      <c r="FP69" s="328">
        <f>BS69-BR69</f>
        <v>0</v>
      </c>
      <c r="FQ69" s="409">
        <v>0</v>
      </c>
      <c r="FR69" s="328">
        <f>BT69-BS69</f>
        <v>0</v>
      </c>
      <c r="FS69" s="409">
        <v>0</v>
      </c>
      <c r="FT69" s="328">
        <f>BU69-BT69</f>
        <v>1.6000000000000001E-3</v>
      </c>
      <c r="FU69" s="409">
        <v>1</v>
      </c>
      <c r="FV69" s="328">
        <f>BV69-BU69</f>
        <v>-1.6000000000000001E-3</v>
      </c>
      <c r="FW69" s="404">
        <f>FV69/BU69</f>
        <v>-1</v>
      </c>
      <c r="FX69" s="328">
        <f>BW69-BV69</f>
        <v>0</v>
      </c>
      <c r="FY69" s="409">
        <v>0</v>
      </c>
      <c r="FZ69" s="328">
        <f>BZ69-BW69</f>
        <v>0</v>
      </c>
      <c r="GA69" s="404">
        <v>0</v>
      </c>
      <c r="GB69" s="328">
        <f>CA69-BZ69</f>
        <v>0</v>
      </c>
      <c r="GC69" s="409">
        <v>0</v>
      </c>
      <c r="GD69" s="328">
        <f>CB69-CA69</f>
        <v>0</v>
      </c>
      <c r="GE69" s="409">
        <v>0</v>
      </c>
      <c r="GF69" s="328">
        <f>CC69-CB69</f>
        <v>0</v>
      </c>
      <c r="GG69" s="409">
        <v>0</v>
      </c>
      <c r="GH69" s="328">
        <f>CD69-CC69</f>
        <v>0</v>
      </c>
      <c r="GI69" s="409">
        <v>0</v>
      </c>
      <c r="GJ69" s="328">
        <f>CE69-CD69</f>
        <v>0</v>
      </c>
      <c r="GK69" s="409">
        <v>0</v>
      </c>
      <c r="GL69" s="328">
        <f>CF69-CE69</f>
        <v>0</v>
      </c>
      <c r="GM69" s="409">
        <v>0</v>
      </c>
      <c r="GN69" s="328">
        <f>CG69-CF69</f>
        <v>0</v>
      </c>
      <c r="GO69" s="409">
        <v>0</v>
      </c>
      <c r="GP69" s="328">
        <f>CH69-CG69</f>
        <v>0</v>
      </c>
      <c r="GQ69" s="409">
        <v>0</v>
      </c>
      <c r="GR69" s="328">
        <f>CI69-CH69</f>
        <v>0</v>
      </c>
      <c r="GS69" s="409">
        <v>0</v>
      </c>
      <c r="GT69" s="328">
        <f>CJ69-CI69</f>
        <v>0</v>
      </c>
      <c r="GU69" s="409">
        <v>0</v>
      </c>
      <c r="GV69" s="328">
        <f>CK69-CJ69</f>
        <v>0</v>
      </c>
      <c r="GW69" s="409">
        <v>0</v>
      </c>
      <c r="GX69" s="328">
        <f>CN69-CK69</f>
        <v>0</v>
      </c>
      <c r="GY69" s="409">
        <v>0</v>
      </c>
      <c r="GZ69" s="328">
        <f>CO69-CN69</f>
        <v>0</v>
      </c>
      <c r="HA69" s="409">
        <v>0</v>
      </c>
      <c r="HB69" s="328">
        <f>CP69-CO69</f>
        <v>0</v>
      </c>
      <c r="HC69" s="409">
        <v>0</v>
      </c>
      <c r="HD69" s="328">
        <f>CQ69-CP69</f>
        <v>0</v>
      </c>
      <c r="HE69" s="409">
        <v>0</v>
      </c>
      <c r="HF69" s="328">
        <f>CR69-CQ69</f>
        <v>0</v>
      </c>
      <c r="HG69" s="409">
        <v>0</v>
      </c>
      <c r="HH69" s="328">
        <f>CS69-CR69</f>
        <v>0</v>
      </c>
      <c r="HI69" s="409">
        <v>0</v>
      </c>
      <c r="HJ69" s="328">
        <f>CT69-CS69</f>
        <v>0</v>
      </c>
      <c r="HK69" s="409">
        <v>0</v>
      </c>
      <c r="HL69" s="328">
        <f>CU69-CT69</f>
        <v>0</v>
      </c>
      <c r="HM69" s="404">
        <v>0</v>
      </c>
      <c r="HN69" s="1090">
        <f>CV69-CU69</f>
        <v>0</v>
      </c>
      <c r="HO69" s="409">
        <v>0</v>
      </c>
      <c r="HP69" s="328">
        <f>CW69-CV69</f>
        <v>0</v>
      </c>
      <c r="HQ69" s="409">
        <v>0</v>
      </c>
      <c r="HR69" s="328">
        <f>CX69-CW69</f>
        <v>0</v>
      </c>
      <c r="HS69" s="409">
        <v>0</v>
      </c>
      <c r="HT69" s="328">
        <f>CY69-CX69</f>
        <v>0</v>
      </c>
      <c r="HU69" s="409">
        <v>0</v>
      </c>
      <c r="HV69" s="328">
        <f>DB69-CY69</f>
        <v>0</v>
      </c>
      <c r="HW69" s="409">
        <v>0</v>
      </c>
      <c r="HX69" s="328">
        <f>DC69-DB69</f>
        <v>2.8999999999999998E-3</v>
      </c>
      <c r="HY69" s="669">
        <v>1</v>
      </c>
      <c r="HZ69" s="328">
        <f>DD69-DC69</f>
        <v>-2.8999999999999998E-3</v>
      </c>
      <c r="IA69" s="409">
        <v>0</v>
      </c>
      <c r="IB69" s="328">
        <f>DE69-DD69</f>
        <v>1.7100000000000001E-2</v>
      </c>
      <c r="IC69" s="409">
        <v>0</v>
      </c>
      <c r="ID69" s="328">
        <f>DF69-DE69</f>
        <v>-1.7100000000000001E-2</v>
      </c>
      <c r="IE69" s="409">
        <f>ID69/DO69</f>
        <v>-7.0081967213114762</v>
      </c>
      <c r="IF69" s="328">
        <f>DG69-DF69</f>
        <v>0</v>
      </c>
      <c r="IG69" s="409">
        <v>0</v>
      </c>
      <c r="IH69" s="328">
        <f>DH69-DG69</f>
        <v>1E-4</v>
      </c>
      <c r="II69" s="409">
        <v>0</v>
      </c>
      <c r="IJ69" s="328">
        <f>DI69-DH69</f>
        <v>-1E-4</v>
      </c>
      <c r="IK69" s="404">
        <f>IJ69/DH69</f>
        <v>-1</v>
      </c>
      <c r="IL69" s="328">
        <f>DJ69-DI69</f>
        <v>4.3E-3</v>
      </c>
      <c r="IM69" s="409">
        <v>0</v>
      </c>
      <c r="IN69" s="328">
        <f>DK69-DJ69</f>
        <v>-4.3E-3</v>
      </c>
      <c r="IO69" s="409">
        <f>IN69/DJ69</f>
        <v>-1</v>
      </c>
      <c r="IP69" s="328">
        <f>DL69-DK69</f>
        <v>0</v>
      </c>
      <c r="IQ69" s="409">
        <f t="shared" si="1281"/>
        <v>0</v>
      </c>
      <c r="IR69" s="328">
        <f>EK69-EJ69</f>
        <v>0</v>
      </c>
      <c r="IS69" s="409" t="e">
        <f>IR69/EJ69</f>
        <v>#DIV/0!</v>
      </c>
      <c r="IT69" s="645">
        <f>CW69</f>
        <v>0</v>
      </c>
      <c r="IU69" s="1084">
        <f>DK69</f>
        <v>0</v>
      </c>
      <c r="IV69" s="682">
        <f>(IU69-IT69)*100</f>
        <v>0</v>
      </c>
      <c r="IW69" s="117">
        <f t="shared" si="1282"/>
        <v>0</v>
      </c>
      <c r="IX69" s="703"/>
      <c r="IY69" s="703"/>
      <c r="IZ69" s="703"/>
      <c r="JA69" s="177" t="str">
        <f>E69</f>
        <v>BI Down Time</v>
      </c>
      <c r="JB69" s="292" t="e">
        <f>#REF!</f>
        <v>#REF!</v>
      </c>
      <c r="JC69" s="292" t="e">
        <f>#REF!</f>
        <v>#REF!</v>
      </c>
      <c r="JD69" s="292" t="e">
        <f>#REF!</f>
        <v>#REF!</v>
      </c>
      <c r="JE69" s="292" t="e">
        <f>#REF!</f>
        <v>#REF!</v>
      </c>
      <c r="JF69" s="292" t="e">
        <f>#REF!</f>
        <v>#REF!</v>
      </c>
      <c r="JG69" s="292" t="e">
        <f>#REF!</f>
        <v>#REF!</v>
      </c>
      <c r="JH69" s="292" t="e">
        <f>#REF!</f>
        <v>#REF!</v>
      </c>
      <c r="JI69" s="292" t="e">
        <f>#REF!</f>
        <v>#REF!</v>
      </c>
      <c r="JJ69" s="292" t="e">
        <f>#REF!</f>
        <v>#REF!</v>
      </c>
      <c r="JK69" s="292" t="e">
        <f>#REF!</f>
        <v>#REF!</v>
      </c>
      <c r="JL69" s="292" t="e">
        <f>#REF!</f>
        <v>#REF!</v>
      </c>
      <c r="JM69" s="293">
        <f t="shared" si="1283"/>
        <v>0</v>
      </c>
      <c r="JN69" s="293">
        <f t="shared" si="1283"/>
        <v>5.1000000000000004E-3</v>
      </c>
      <c r="JO69" s="293">
        <f t="shared" si="1283"/>
        <v>0</v>
      </c>
      <c r="JP69" s="293">
        <f t="shared" si="1283"/>
        <v>1.8E-3</v>
      </c>
      <c r="JQ69" s="293">
        <f t="shared" si="1283"/>
        <v>0</v>
      </c>
      <c r="JR69" s="293">
        <f t="shared" si="1283"/>
        <v>0</v>
      </c>
      <c r="JS69" s="293">
        <f t="shared" si="1283"/>
        <v>0</v>
      </c>
      <c r="JT69" s="293">
        <f t="shared" si="1283"/>
        <v>0</v>
      </c>
      <c r="JU69" s="293">
        <f t="shared" si="1283"/>
        <v>0</v>
      </c>
      <c r="JV69" s="293">
        <f t="shared" si="1283"/>
        <v>0</v>
      </c>
      <c r="JW69" s="293">
        <f t="shared" si="1283"/>
        <v>0</v>
      </c>
      <c r="JX69" s="293">
        <f t="shared" si="1283"/>
        <v>0</v>
      </c>
      <c r="JY69" s="293">
        <f t="shared" si="1284"/>
        <v>0</v>
      </c>
      <c r="JZ69" s="293">
        <f t="shared" si="1284"/>
        <v>2.5999999999999999E-3</v>
      </c>
      <c r="KA69" s="293">
        <f t="shared" si="1284"/>
        <v>0</v>
      </c>
      <c r="KB69" s="293">
        <f t="shared" si="1284"/>
        <v>0</v>
      </c>
      <c r="KC69" s="293">
        <f t="shared" si="1284"/>
        <v>0</v>
      </c>
      <c r="KD69" s="293">
        <f t="shared" si="1284"/>
        <v>0</v>
      </c>
      <c r="KE69" s="293">
        <f t="shared" si="1284"/>
        <v>0</v>
      </c>
      <c r="KF69" s="293">
        <f t="shared" si="1284"/>
        <v>0</v>
      </c>
      <c r="KG69" s="293">
        <f t="shared" si="1284"/>
        <v>0</v>
      </c>
      <c r="KH69" s="293">
        <f t="shared" si="1284"/>
        <v>0</v>
      </c>
      <c r="KI69" s="293">
        <f t="shared" si="1284"/>
        <v>0</v>
      </c>
      <c r="KJ69" s="293">
        <f t="shared" si="1284"/>
        <v>0</v>
      </c>
      <c r="KK69" s="803">
        <f t="shared" si="1285"/>
        <v>0</v>
      </c>
      <c r="KL69" s="803">
        <f t="shared" si="1285"/>
        <v>0</v>
      </c>
      <c r="KM69" s="803">
        <f t="shared" si="1285"/>
        <v>6.7000000000000002E-3</v>
      </c>
      <c r="KN69" s="803">
        <f t="shared" si="1285"/>
        <v>0</v>
      </c>
      <c r="KO69" s="803">
        <f t="shared" si="1285"/>
        <v>0</v>
      </c>
      <c r="KP69" s="803">
        <f t="shared" si="1285"/>
        <v>0</v>
      </c>
      <c r="KQ69" s="803">
        <f t="shared" si="1285"/>
        <v>0</v>
      </c>
      <c r="KR69" s="803">
        <f t="shared" si="1285"/>
        <v>0</v>
      </c>
      <c r="KS69" s="803">
        <f t="shared" si="1285"/>
        <v>0</v>
      </c>
      <c r="KT69" s="803">
        <f t="shared" si="1285"/>
        <v>1.6000000000000001E-3</v>
      </c>
      <c r="KU69" s="803">
        <f t="shared" si="1285"/>
        <v>0</v>
      </c>
      <c r="KV69" s="803">
        <f t="shared" si="1285"/>
        <v>0</v>
      </c>
      <c r="KW69" s="915">
        <f t="shared" si="1286"/>
        <v>0</v>
      </c>
      <c r="KX69" s="915">
        <f t="shared" si="1286"/>
        <v>0</v>
      </c>
      <c r="KY69" s="915">
        <f t="shared" si="1286"/>
        <v>0</v>
      </c>
      <c r="KZ69" s="915">
        <f t="shared" si="1286"/>
        <v>0</v>
      </c>
      <c r="LA69" s="915">
        <f t="shared" si="1286"/>
        <v>0</v>
      </c>
      <c r="LB69" s="915">
        <f t="shared" si="1286"/>
        <v>0</v>
      </c>
      <c r="LC69" s="915">
        <f t="shared" si="1286"/>
        <v>0</v>
      </c>
      <c r="LD69" s="915">
        <f t="shared" si="1286"/>
        <v>0</v>
      </c>
      <c r="LE69" s="915">
        <f t="shared" si="1286"/>
        <v>0</v>
      </c>
      <c r="LF69" s="915">
        <f t="shared" si="1286"/>
        <v>0</v>
      </c>
      <c r="LG69" s="915">
        <f t="shared" si="1286"/>
        <v>0</v>
      </c>
      <c r="LH69" s="915">
        <f t="shared" si="1286"/>
        <v>0</v>
      </c>
      <c r="LI69" s="974">
        <f t="shared" si="1287"/>
        <v>0</v>
      </c>
      <c r="LJ69" s="974">
        <f t="shared" si="1287"/>
        <v>0</v>
      </c>
      <c r="LK69" s="974">
        <f t="shared" si="1287"/>
        <v>0</v>
      </c>
      <c r="LL69" s="974">
        <f t="shared" si="1287"/>
        <v>0</v>
      </c>
      <c r="LM69" s="974">
        <f t="shared" si="1287"/>
        <v>0</v>
      </c>
      <c r="LN69" s="974">
        <f t="shared" si="1287"/>
        <v>0</v>
      </c>
      <c r="LO69" s="974">
        <f t="shared" si="1287"/>
        <v>0</v>
      </c>
      <c r="LP69" s="974">
        <f t="shared" si="1287"/>
        <v>0</v>
      </c>
      <c r="LQ69" s="974">
        <f t="shared" si="1287"/>
        <v>0</v>
      </c>
      <c r="LR69" s="974">
        <f t="shared" si="1287"/>
        <v>0</v>
      </c>
      <c r="LS69" s="974">
        <f t="shared" si="1287"/>
        <v>0</v>
      </c>
      <c r="LT69" s="974">
        <f t="shared" si="1287"/>
        <v>0</v>
      </c>
      <c r="LU69" s="1170">
        <f t="shared" si="1288"/>
        <v>0</v>
      </c>
      <c r="LV69" s="1170">
        <f t="shared" si="1288"/>
        <v>2.8999999999999998E-3</v>
      </c>
      <c r="LW69" s="1170">
        <f t="shared" si="1288"/>
        <v>0</v>
      </c>
      <c r="LX69" s="1170">
        <f t="shared" si="1288"/>
        <v>1.7100000000000001E-2</v>
      </c>
      <c r="LY69" s="1170">
        <f t="shared" si="1288"/>
        <v>0</v>
      </c>
      <c r="LZ69" s="1170">
        <f t="shared" si="1288"/>
        <v>0</v>
      </c>
      <c r="MA69" s="1170">
        <f t="shared" si="1288"/>
        <v>1E-4</v>
      </c>
      <c r="MB69" s="1170">
        <f t="shared" si="1288"/>
        <v>0</v>
      </c>
      <c r="MC69" s="1170">
        <f t="shared" si="1288"/>
        <v>4.3E-3</v>
      </c>
      <c r="MD69" s="1170">
        <f t="shared" si="1288"/>
        <v>0</v>
      </c>
      <c r="ME69" s="1170">
        <f t="shared" si="1288"/>
        <v>0</v>
      </c>
      <c r="MF69" s="1170">
        <f t="shared" si="1288"/>
        <v>0</v>
      </c>
      <c r="MG69" s="1192">
        <f t="shared" si="1289"/>
        <v>0</v>
      </c>
      <c r="MH69" s="1192">
        <f t="shared" si="1289"/>
        <v>0</v>
      </c>
      <c r="MI69" s="1192">
        <f t="shared" si="1289"/>
        <v>0</v>
      </c>
      <c r="MJ69" s="1192">
        <f t="shared" si="1289"/>
        <v>0</v>
      </c>
      <c r="MK69" s="1192">
        <f t="shared" si="1289"/>
        <v>0</v>
      </c>
      <c r="ML69" s="1192">
        <f t="shared" si="1289"/>
        <v>0</v>
      </c>
      <c r="MM69" s="1192">
        <f t="shared" si="1289"/>
        <v>0</v>
      </c>
      <c r="MN69" s="1192">
        <f t="shared" si="1289"/>
        <v>0</v>
      </c>
      <c r="MO69" s="1192">
        <f t="shared" si="1289"/>
        <v>0</v>
      </c>
      <c r="MP69" s="1192">
        <f t="shared" si="1289"/>
        <v>0</v>
      </c>
      <c r="MQ69" s="1192">
        <f t="shared" si="1290"/>
        <v>0</v>
      </c>
      <c r="MR69" s="1192">
        <f t="shared" si="1290"/>
        <v>0</v>
      </c>
    </row>
    <row r="70" spans="1:356" s="304" customFormat="1" ht="15.75" thickBot="1" x14ac:dyDescent="0.3">
      <c r="A70" s="771"/>
      <c r="B70" s="302">
        <v>9.5</v>
      </c>
      <c r="C70" s="303"/>
      <c r="D70" s="459"/>
      <c r="E70" s="1233" t="s">
        <v>180</v>
      </c>
      <c r="F70" s="1234"/>
      <c r="G70" s="1235"/>
      <c r="H70" s="301">
        <v>0.62519999999999998</v>
      </c>
      <c r="I70" s="298">
        <v>0.62719999999999998</v>
      </c>
      <c r="J70" s="301">
        <v>0.4929</v>
      </c>
      <c r="K70" s="298">
        <v>0.504</v>
      </c>
      <c r="L70" s="301">
        <v>0.53680000000000005</v>
      </c>
      <c r="M70" s="298">
        <v>0.53900000000000003</v>
      </c>
      <c r="N70" s="301">
        <v>0.57079999999999997</v>
      </c>
      <c r="O70" s="298">
        <v>0.52510000000000001</v>
      </c>
      <c r="P70" s="301">
        <v>0.52480000000000004</v>
      </c>
      <c r="Q70" s="298">
        <v>0.47520000000000001</v>
      </c>
      <c r="R70" s="301">
        <v>0.4914</v>
      </c>
      <c r="S70" s="298">
        <v>0.52580000000000005</v>
      </c>
      <c r="T70" s="299" t="s">
        <v>29</v>
      </c>
      <c r="U70" s="300">
        <v>0.53651666666666664</v>
      </c>
      <c r="V70" s="301">
        <v>0.52429999999999999</v>
      </c>
      <c r="W70" s="298">
        <v>0.52159999999999995</v>
      </c>
      <c r="X70" s="301">
        <v>0.52310000000000001</v>
      </c>
      <c r="Y70" s="298">
        <v>0.56579999999999997</v>
      </c>
      <c r="Z70" s="301">
        <v>0.55479999999999996</v>
      </c>
      <c r="AA70" s="298">
        <v>0.56999999999999995</v>
      </c>
      <c r="AB70" s="301">
        <v>0.5887</v>
      </c>
      <c r="AC70" s="298">
        <v>0.58020000000000005</v>
      </c>
      <c r="AD70" s="301">
        <v>0.58540000000000003</v>
      </c>
      <c r="AE70" s="298">
        <v>0.55369999999999997</v>
      </c>
      <c r="AF70" s="301">
        <v>0.52749999999999997</v>
      </c>
      <c r="AG70" s="298">
        <v>0.51239999999999997</v>
      </c>
      <c r="AH70" s="299" t="s">
        <v>29</v>
      </c>
      <c r="AI70" s="300">
        <v>0.55062500000000003</v>
      </c>
      <c r="AJ70" s="301">
        <v>0.51559999999999995</v>
      </c>
      <c r="AK70" s="298">
        <v>0.53559999999999997</v>
      </c>
      <c r="AL70" s="301">
        <v>0.53210000000000002</v>
      </c>
      <c r="AM70" s="298">
        <v>0.52669999999999995</v>
      </c>
      <c r="AN70" s="301">
        <v>0.52480000000000004</v>
      </c>
      <c r="AO70" s="298">
        <v>0.53029999999999999</v>
      </c>
      <c r="AP70" s="646">
        <v>0.56989999999999996</v>
      </c>
      <c r="AQ70" s="298">
        <v>0.56769999999999998</v>
      </c>
      <c r="AR70" s="646">
        <v>0.5706</v>
      </c>
      <c r="AS70" s="298">
        <v>0.58550000000000002</v>
      </c>
      <c r="AT70" s="646">
        <v>0.59940000000000004</v>
      </c>
      <c r="AU70" s="298">
        <v>0.67269999999999996</v>
      </c>
      <c r="AV70" s="299" t="s">
        <v>29</v>
      </c>
      <c r="AW70" s="300">
        <f>SUM(AJ70:AU70)/$AV$4</f>
        <v>0.56090833333333323</v>
      </c>
      <c r="AX70" s="301">
        <v>0.69579999999999997</v>
      </c>
      <c r="AY70" s="298">
        <v>0.69310000000000005</v>
      </c>
      <c r="AZ70" s="301">
        <v>0.73350000000000004</v>
      </c>
      <c r="BA70" s="298">
        <v>0.76249999999999996</v>
      </c>
      <c r="BB70" s="301">
        <v>0.76980000000000004</v>
      </c>
      <c r="BC70" s="298">
        <v>0.69889999999999997</v>
      </c>
      <c r="BD70" s="646">
        <v>0.70609999999999995</v>
      </c>
      <c r="BE70" s="298">
        <v>0.70520000000000005</v>
      </c>
      <c r="BF70" s="646">
        <v>0.71860000000000002</v>
      </c>
      <c r="BG70" s="298">
        <v>0.75239999999999996</v>
      </c>
      <c r="BH70" s="646">
        <v>0.7228</v>
      </c>
      <c r="BI70" s="298">
        <v>0.6925</v>
      </c>
      <c r="BJ70" s="299" t="s">
        <v>29</v>
      </c>
      <c r="BK70" s="300">
        <f>SUM(AX70:BI70)/$BJ$4</f>
        <v>0.72093333333333343</v>
      </c>
      <c r="BL70" s="301">
        <v>0.76370000000000005</v>
      </c>
      <c r="BM70" s="298">
        <v>0.77390000000000003</v>
      </c>
      <c r="BN70" s="301">
        <v>0.7944</v>
      </c>
      <c r="BO70" s="298">
        <v>0.76839999999999997</v>
      </c>
      <c r="BP70" s="301">
        <v>0.78749999999999998</v>
      </c>
      <c r="BQ70" s="298">
        <v>0.87990000000000002</v>
      </c>
      <c r="BR70" s="646">
        <v>0.89339999999999997</v>
      </c>
      <c r="BS70" s="298">
        <v>0.9103</v>
      </c>
      <c r="BT70" s="646">
        <v>0.87490000000000001</v>
      </c>
      <c r="BU70" s="646">
        <v>0.90239999999999998</v>
      </c>
      <c r="BV70" s="646">
        <v>0.89529999999999998</v>
      </c>
      <c r="BW70" s="646">
        <v>0.95760000000000001</v>
      </c>
      <c r="BX70" s="299" t="s">
        <v>29</v>
      </c>
      <c r="BY70" s="300">
        <f>SUM(BL70:BW70)/$BX$4</f>
        <v>0.85014166666666657</v>
      </c>
      <c r="BZ70" s="646">
        <v>0.84530000000000005</v>
      </c>
      <c r="CA70" s="298">
        <v>0.67</v>
      </c>
      <c r="CB70" s="301">
        <v>0.69359999999999999</v>
      </c>
      <c r="CC70" s="298">
        <v>0.67130000000000001</v>
      </c>
      <c r="CD70" s="301">
        <v>0.65149999999999997</v>
      </c>
      <c r="CE70" s="298">
        <v>0.67779999999999996</v>
      </c>
      <c r="CF70" s="646">
        <v>0.68069999999999997</v>
      </c>
      <c r="CG70" s="298">
        <v>0.65849999999999997</v>
      </c>
      <c r="CH70" s="646">
        <v>0.6825</v>
      </c>
      <c r="CI70" s="646">
        <v>0.62779999999999991</v>
      </c>
      <c r="CJ70" s="646">
        <v>0.66269999999999996</v>
      </c>
      <c r="CK70" s="646">
        <v>0.6381</v>
      </c>
      <c r="CL70" s="299" t="s">
        <v>29</v>
      </c>
      <c r="CM70" s="300">
        <f>SUM(BZ70:CK70)/$CL$4</f>
        <v>0.67998333333333338</v>
      </c>
      <c r="CN70" s="646">
        <v>0.71179999999999999</v>
      </c>
      <c r="CO70" s="298">
        <v>0.63439999999999996</v>
      </c>
      <c r="CP70" s="301">
        <v>0.42920000000000003</v>
      </c>
      <c r="CQ70" s="298">
        <v>0.38069999999999998</v>
      </c>
      <c r="CR70" s="301">
        <v>0.378</v>
      </c>
      <c r="CS70" s="298">
        <v>0.40160000000000001</v>
      </c>
      <c r="CT70" s="646">
        <v>0.74929999999999997</v>
      </c>
      <c r="CU70" s="298">
        <v>0.44059999999999999</v>
      </c>
      <c r="CV70" s="646">
        <v>0.47849999999999998</v>
      </c>
      <c r="CW70" s="1085">
        <v>0.43780000000000002</v>
      </c>
      <c r="CX70" s="646">
        <v>0.46910000000000002</v>
      </c>
      <c r="CY70" s="298">
        <v>0.42949999999999999</v>
      </c>
      <c r="CZ70" s="299" t="s">
        <v>29</v>
      </c>
      <c r="DA70" s="300">
        <f>SUM(CN70:CY70)/$CZ$4</f>
        <v>0.49504166666666677</v>
      </c>
      <c r="DB70" s="646">
        <v>0.44190000000000002</v>
      </c>
      <c r="DC70" s="298">
        <v>0.45679999999999998</v>
      </c>
      <c r="DD70" s="301">
        <v>0.47539999999999999</v>
      </c>
      <c r="DE70" s="298">
        <v>0.47760000000000002</v>
      </c>
      <c r="DF70" s="301">
        <v>0.47789999999999999</v>
      </c>
      <c r="DG70" s="298">
        <v>0.51570000000000005</v>
      </c>
      <c r="DH70" s="646">
        <v>0.49370000000000003</v>
      </c>
      <c r="DI70" s="298">
        <v>0.4819</v>
      </c>
      <c r="DJ70" s="646">
        <v>0.50619999999999998</v>
      </c>
      <c r="DK70" s="298">
        <v>0.49009999999999998</v>
      </c>
      <c r="DL70" s="646"/>
      <c r="DM70" s="298"/>
      <c r="DN70" s="299" t="s">
        <v>29</v>
      </c>
      <c r="DO70" s="300">
        <f>SUM(DB70:DM70)/$DN$4</f>
        <v>0.48171999999999998</v>
      </c>
      <c r="DP70" s="646"/>
      <c r="DQ70" s="298"/>
      <c r="DR70" s="301"/>
      <c r="DS70" s="298"/>
      <c r="DT70" s="301"/>
      <c r="DU70" s="298"/>
      <c r="DV70" s="646"/>
      <c r="DW70" s="298"/>
      <c r="DX70" s="646"/>
      <c r="DY70" s="298"/>
      <c r="DZ70" s="646"/>
      <c r="EA70" s="298"/>
      <c r="EB70" s="299" t="s">
        <v>29</v>
      </c>
      <c r="EC70" s="300" t="e">
        <f>SUM(DP70:EA70)/$EB$4</f>
        <v>#DIV/0!</v>
      </c>
      <c r="ED70" s="691">
        <f>AX70-AU70</f>
        <v>2.3100000000000009E-2</v>
      </c>
      <c r="EE70" s="672">
        <f>ED70/AU70</f>
        <v>3.4339229968782532E-2</v>
      </c>
      <c r="EF70" s="691">
        <f>AY70-AX70</f>
        <v>-2.6999999999999247E-3</v>
      </c>
      <c r="EG70" s="672">
        <f>EF70/AX70</f>
        <v>-3.8804254096003517E-3</v>
      </c>
      <c r="EH70" s="691">
        <f>AZ70-AY70</f>
        <v>4.0399999999999991E-2</v>
      </c>
      <c r="EI70" s="672">
        <f>EH70/AY70</f>
        <v>5.8288847208195049E-2</v>
      </c>
      <c r="EJ70" s="691">
        <f>BA70-AZ70</f>
        <v>2.8999999999999915E-2</v>
      </c>
      <c r="EK70" s="672">
        <f>EJ70/AZ70</f>
        <v>3.9536468984321629E-2</v>
      </c>
      <c r="EL70" s="691">
        <f>BB70-BA70</f>
        <v>7.3000000000000842E-3</v>
      </c>
      <c r="EM70" s="672">
        <f>EL70/BA70</f>
        <v>9.5737704918033902E-3</v>
      </c>
      <c r="EN70" s="691">
        <f>BC70-BB70</f>
        <v>-7.0900000000000074E-2</v>
      </c>
      <c r="EO70" s="672">
        <f>EN70/BB70</f>
        <v>-9.2101844634970217E-2</v>
      </c>
      <c r="EP70" s="691">
        <f>BD70-BC70</f>
        <v>7.1999999999999842E-3</v>
      </c>
      <c r="EQ70" s="672">
        <f>EP70/BC70</f>
        <v>1.0301902990413486E-2</v>
      </c>
      <c r="ER70" s="691">
        <f>BE70-BD70</f>
        <v>-8.9999999999990088E-4</v>
      </c>
      <c r="ES70" s="672">
        <f>ER70/BD70</f>
        <v>-1.2746069961760388E-3</v>
      </c>
      <c r="ET70" s="691">
        <f>BF70-BE70</f>
        <v>1.3399999999999967E-2</v>
      </c>
      <c r="EU70" s="672">
        <f>ET70/BE70</f>
        <v>1.9001701644923378E-2</v>
      </c>
      <c r="EV70" s="691">
        <f>BG70-BF70</f>
        <v>3.3799999999999941E-2</v>
      </c>
      <c r="EW70" s="192">
        <f>EV70/BF70</f>
        <v>4.7035903145004089E-2</v>
      </c>
      <c r="EX70" s="673">
        <f>BH70-BG70</f>
        <v>-2.959999999999996E-2</v>
      </c>
      <c r="EY70" s="672">
        <f>EX70/BG70</f>
        <v>-3.9340776182881391E-2</v>
      </c>
      <c r="EZ70" s="691">
        <f>BI70-BH70</f>
        <v>-3.0299999999999994E-2</v>
      </c>
      <c r="FA70" s="672">
        <f>EZ70/BH70</f>
        <v>-4.192030990592141E-2</v>
      </c>
      <c r="FB70" s="691">
        <f>BL70-BI70</f>
        <v>7.1200000000000041E-2</v>
      </c>
      <c r="FC70" s="672">
        <f>FB70/BI70</f>
        <v>0.10281588447653435</v>
      </c>
      <c r="FD70" s="331">
        <f>BM70-BL70</f>
        <v>1.0199999999999987E-2</v>
      </c>
      <c r="FE70" s="405">
        <f>FD70/BL70</f>
        <v>1.3356029854654951E-2</v>
      </c>
      <c r="FF70" s="331">
        <f>BN70-BM70</f>
        <v>2.0499999999999963E-2</v>
      </c>
      <c r="FG70" s="405">
        <f>FF70/BM70</f>
        <v>2.6489210492311618E-2</v>
      </c>
      <c r="FH70" s="331">
        <f>BO70-BN70</f>
        <v>-2.6000000000000023E-2</v>
      </c>
      <c r="FI70" s="405">
        <f>FH70/BN70</f>
        <v>-3.2729103726082606E-2</v>
      </c>
      <c r="FJ70" s="331">
        <f>BP70-BO70</f>
        <v>1.9100000000000006E-2</v>
      </c>
      <c r="FK70" s="405">
        <f>FJ70/BO70</f>
        <v>2.4856845393024476E-2</v>
      </c>
      <c r="FL70" s="331">
        <f>BQ70-BP70</f>
        <v>9.2400000000000038E-2</v>
      </c>
      <c r="FM70" s="405">
        <f>FL70/BP70</f>
        <v>0.11733333333333339</v>
      </c>
      <c r="FN70" s="331">
        <f>BR70-BQ70</f>
        <v>1.3499999999999956E-2</v>
      </c>
      <c r="FO70" s="405">
        <f>FN70/BQ70</f>
        <v>1.5342652574156105E-2</v>
      </c>
      <c r="FP70" s="331">
        <f>BS70-BR70</f>
        <v>1.6900000000000026E-2</v>
      </c>
      <c r="FQ70" s="405">
        <f>FP70/BR70</f>
        <v>1.8916498768748631E-2</v>
      </c>
      <c r="FR70" s="331">
        <f>BT70-BS70</f>
        <v>-3.5399999999999987E-2</v>
      </c>
      <c r="FS70" s="405">
        <f>FR70/BS70</f>
        <v>-3.888827858947598E-2</v>
      </c>
      <c r="FT70" s="331">
        <f>BU70-BT70</f>
        <v>2.7499999999999969E-2</v>
      </c>
      <c r="FU70" s="405">
        <f>FT70/BT70</f>
        <v>3.1432163675848633E-2</v>
      </c>
      <c r="FV70" s="331">
        <f>BV70-BU70</f>
        <v>-7.0999999999999952E-3</v>
      </c>
      <c r="FW70" s="405">
        <f>FV70/BU70</f>
        <v>-7.8679078014184337E-3</v>
      </c>
      <c r="FX70" s="331">
        <f>BW70-BV70</f>
        <v>6.2300000000000022E-2</v>
      </c>
      <c r="FY70" s="405">
        <f>FX70/BV70</f>
        <v>6.9585613760750606E-2</v>
      </c>
      <c r="FZ70" s="331">
        <f>BZ70-BW70</f>
        <v>-0.11229999999999996</v>
      </c>
      <c r="GA70" s="405">
        <f>FZ70/BW70</f>
        <v>-0.11727234753550539</v>
      </c>
      <c r="GB70" s="331">
        <f>CA70-BZ70</f>
        <v>-0.17530000000000001</v>
      </c>
      <c r="GC70" s="405">
        <f>GB70/BZ70</f>
        <v>-0.20738199455814504</v>
      </c>
      <c r="GD70" s="331">
        <f>CB70-CA70</f>
        <v>2.3599999999999954E-2</v>
      </c>
      <c r="GE70" s="405">
        <f>GD70/CA70</f>
        <v>3.5223880597014853E-2</v>
      </c>
      <c r="GF70" s="331">
        <f>CC70-CB70</f>
        <v>-2.2299999999999986E-2</v>
      </c>
      <c r="GG70" s="405">
        <f>GF70/CB70</f>
        <v>-3.2151095732410595E-2</v>
      </c>
      <c r="GH70" s="331">
        <f>CD70-CC70</f>
        <v>-1.980000000000004E-2</v>
      </c>
      <c r="GI70" s="405">
        <f>GH70/CC70</f>
        <v>-2.9495009682705259E-2</v>
      </c>
      <c r="GJ70" s="331">
        <f>CE70-CD70</f>
        <v>2.629999999999999E-2</v>
      </c>
      <c r="GK70" s="405">
        <f>GJ70/CD70</f>
        <v>4.0368380660015336E-2</v>
      </c>
      <c r="GL70" s="331">
        <f>CF70-CE70</f>
        <v>2.9000000000000137E-3</v>
      </c>
      <c r="GM70" s="405">
        <f>GL70/CE70</f>
        <v>4.2785482443198786E-3</v>
      </c>
      <c r="GN70" s="331">
        <f>CG70-CF70</f>
        <v>-2.2199999999999998E-2</v>
      </c>
      <c r="GO70" s="405">
        <f>GN70/CF70</f>
        <v>-3.2613486117232256E-2</v>
      </c>
      <c r="GP70" s="331">
        <f>CH70-CG70</f>
        <v>2.4000000000000021E-2</v>
      </c>
      <c r="GQ70" s="405">
        <f>GP70/CG70</f>
        <v>3.6446469248291605E-2</v>
      </c>
      <c r="GR70" s="331">
        <f>CI70-CH70</f>
        <v>-5.4700000000000082E-2</v>
      </c>
      <c r="GS70" s="405">
        <f>GR70/CH70</f>
        <v>-8.0146520146520267E-2</v>
      </c>
      <c r="GT70" s="331">
        <f>CJ70-CI70</f>
        <v>3.4900000000000042E-2</v>
      </c>
      <c r="GU70" s="405">
        <f>GT70/CI70</f>
        <v>5.5590952532653788E-2</v>
      </c>
      <c r="GV70" s="331">
        <f>CK70-CJ70</f>
        <v>-2.4599999999999955E-2</v>
      </c>
      <c r="GW70" s="405">
        <f>GV70/CJ70</f>
        <v>-3.7120869171570779E-2</v>
      </c>
      <c r="GX70" s="331">
        <f>CN70-CK70</f>
        <v>7.3699999999999988E-2</v>
      </c>
      <c r="GY70" s="405">
        <f>GX70/CK70</f>
        <v>0.11549913806613382</v>
      </c>
      <c r="GZ70" s="331">
        <f>CO70-CN70</f>
        <v>-7.7400000000000024E-2</v>
      </c>
      <c r="HA70" s="405">
        <f>GZ70/CN70</f>
        <v>-0.10873840966563646</v>
      </c>
      <c r="HB70" s="331">
        <f>CP70-CO70</f>
        <v>-0.20519999999999994</v>
      </c>
      <c r="HC70" s="405">
        <f>HB70/CO70</f>
        <v>-0.32345523329129877</v>
      </c>
      <c r="HD70" s="331">
        <f>CQ70-CP70</f>
        <v>-4.8500000000000043E-2</v>
      </c>
      <c r="HE70" s="405">
        <f>HD70/CP70</f>
        <v>-0.11300093196644929</v>
      </c>
      <c r="HF70" s="331">
        <f>CR70-CQ70</f>
        <v>-2.6999999999999802E-3</v>
      </c>
      <c r="HG70" s="405">
        <f>HF70/CQ70</f>
        <v>-7.0921985815602323E-3</v>
      </c>
      <c r="HH70" s="331">
        <f>CS70-CR70</f>
        <v>2.360000000000001E-2</v>
      </c>
      <c r="HI70" s="405">
        <f>HH70/CR70</f>
        <v>6.243386243386246E-2</v>
      </c>
      <c r="HJ70" s="331">
        <f>CT70-CS70</f>
        <v>0.34769999999999995</v>
      </c>
      <c r="HK70" s="405">
        <f>HJ70/CS70</f>
        <v>0.86578685258964128</v>
      </c>
      <c r="HL70" s="331">
        <f>CU70-CT70</f>
        <v>-0.30869999999999997</v>
      </c>
      <c r="HM70" s="405">
        <f>HL70/CT70</f>
        <v>-0.41198451888429199</v>
      </c>
      <c r="HN70" s="331">
        <f>CV70-CU70</f>
        <v>3.7899999999999989E-2</v>
      </c>
      <c r="HO70" s="405">
        <f>HN70/CU70</f>
        <v>8.6019064911484311E-2</v>
      </c>
      <c r="HP70" s="331">
        <f>CW70-CV70</f>
        <v>-4.0699999999999958E-2</v>
      </c>
      <c r="HQ70" s="405">
        <f>HP70/CV70</f>
        <v>-8.5057471264367732E-2</v>
      </c>
      <c r="HR70" s="331">
        <f>CX70-CW70</f>
        <v>3.1299999999999994E-2</v>
      </c>
      <c r="HS70" s="405">
        <f>HR70/CW70</f>
        <v>7.1493832800365448E-2</v>
      </c>
      <c r="HT70" s="331">
        <f>CY70-CX70</f>
        <v>-3.9600000000000024E-2</v>
      </c>
      <c r="HU70" s="405">
        <f>HT70/CX70</f>
        <v>-8.441696866339804E-2</v>
      </c>
      <c r="HV70" s="331">
        <f>DB70-CY70</f>
        <v>1.2400000000000022E-2</v>
      </c>
      <c r="HW70" s="405">
        <f>HV70/CY70</f>
        <v>2.8870779976717165E-2</v>
      </c>
      <c r="HX70" s="331">
        <f>DC70-DB70</f>
        <v>1.4899999999999969E-2</v>
      </c>
      <c r="HY70" s="405">
        <f>HX70/DB70</f>
        <v>3.3718035754695563E-2</v>
      </c>
      <c r="HZ70" s="331">
        <f>DD70-DC70</f>
        <v>1.8600000000000005E-2</v>
      </c>
      <c r="IA70" s="405">
        <f>HZ70/DD70</f>
        <v>3.9124947412705099E-2</v>
      </c>
      <c r="IB70" s="331">
        <f>DE70-DD70</f>
        <v>2.2000000000000353E-3</v>
      </c>
      <c r="IC70" s="405">
        <f>IB70/DD70</f>
        <v>4.627681952040461E-3</v>
      </c>
      <c r="ID70" s="331">
        <f>DF70-DE70</f>
        <v>2.9999999999996696E-4</v>
      </c>
      <c r="IE70" s="405">
        <f>ID70/DO70</f>
        <v>6.2276841318601459E-4</v>
      </c>
      <c r="IF70" s="331">
        <f>DG70-DF70</f>
        <v>3.7800000000000056E-2</v>
      </c>
      <c r="IG70" s="405">
        <f>IF70/DF70</f>
        <v>7.9096045197740231E-2</v>
      </c>
      <c r="IH70" s="331">
        <f>DH70-DG70</f>
        <v>-2.200000000000002E-2</v>
      </c>
      <c r="II70" s="405">
        <f>IH70/DG70</f>
        <v>-4.266046150862908E-2</v>
      </c>
      <c r="IJ70" s="331">
        <f>DI70-DH70</f>
        <v>-1.1800000000000033E-2</v>
      </c>
      <c r="IK70" s="405">
        <f>IJ70/DH70</f>
        <v>-2.3901154547295994E-2</v>
      </c>
      <c r="IL70" s="331">
        <f>DJ70-DI70</f>
        <v>2.4299999999999988E-2</v>
      </c>
      <c r="IM70" s="405">
        <f>IL70/DI70</f>
        <v>5.042539946046895E-2</v>
      </c>
      <c r="IN70" s="331">
        <f>DK70-DJ70</f>
        <v>-1.6100000000000003E-2</v>
      </c>
      <c r="IO70" s="405">
        <f>IN70/DJ70</f>
        <v>-3.1805610430659825E-2</v>
      </c>
      <c r="IP70" s="331">
        <f>DL70-DK70</f>
        <v>-0.49009999999999998</v>
      </c>
      <c r="IQ70" s="405">
        <f t="shared" si="1281"/>
        <v>-8.4081264851485162</v>
      </c>
      <c r="IR70" s="331">
        <f>EK70-EJ70</f>
        <v>1.0536468984321715E-2</v>
      </c>
      <c r="IS70" s="405">
        <f>IR70/EJ70</f>
        <v>0.36332651670074984</v>
      </c>
      <c r="IT70" s="646">
        <f>CW70</f>
        <v>0.43780000000000002</v>
      </c>
      <c r="IU70" s="1085">
        <f>DK70</f>
        <v>0.49009999999999998</v>
      </c>
      <c r="IV70" s="691">
        <f>IU70-IT70</f>
        <v>5.2299999999999958E-2</v>
      </c>
      <c r="IW70" s="192">
        <f>IF(ISERROR(IV70/IT70),0,IV70/IT70)</f>
        <v>0.11946094106898117</v>
      </c>
      <c r="IX70" s="696"/>
      <c r="IY70" s="696"/>
      <c r="IZ70" s="696"/>
      <c r="JA70" s="304" t="str">
        <f>E70</f>
        <v>ERP Respone Time (Seconds)</v>
      </c>
      <c r="JB70" s="305" t="e">
        <f>#REF!</f>
        <v>#REF!</v>
      </c>
      <c r="JC70" s="305" t="e">
        <f>#REF!</f>
        <v>#REF!</v>
      </c>
      <c r="JD70" s="305" t="e">
        <f>#REF!</f>
        <v>#REF!</v>
      </c>
      <c r="JE70" s="305" t="e">
        <f>#REF!</f>
        <v>#REF!</v>
      </c>
      <c r="JF70" s="305" t="e">
        <f>#REF!</f>
        <v>#REF!</v>
      </c>
      <c r="JG70" s="305" t="e">
        <f>#REF!</f>
        <v>#REF!</v>
      </c>
      <c r="JH70" s="305" t="e">
        <f>#REF!</f>
        <v>#REF!</v>
      </c>
      <c r="JI70" s="305" t="e">
        <f>#REF!</f>
        <v>#REF!</v>
      </c>
      <c r="JJ70" s="305" t="e">
        <f>#REF!</f>
        <v>#REF!</v>
      </c>
      <c r="JK70" s="305" t="e">
        <f>#REF!</f>
        <v>#REF!</v>
      </c>
      <c r="JL70" s="305" t="e">
        <f>#REF!</f>
        <v>#REF!</v>
      </c>
      <c r="JM70" s="306">
        <f t="shared" si="1283"/>
        <v>0.51559999999999995</v>
      </c>
      <c r="JN70" s="306">
        <f t="shared" si="1283"/>
        <v>0.53559999999999997</v>
      </c>
      <c r="JO70" s="306">
        <f t="shared" si="1283"/>
        <v>0.53210000000000002</v>
      </c>
      <c r="JP70" s="306">
        <f t="shared" si="1283"/>
        <v>0.52669999999999995</v>
      </c>
      <c r="JQ70" s="306">
        <f t="shared" si="1283"/>
        <v>0.52480000000000004</v>
      </c>
      <c r="JR70" s="306">
        <f t="shared" si="1283"/>
        <v>0.53029999999999999</v>
      </c>
      <c r="JS70" s="306">
        <f t="shared" si="1283"/>
        <v>0.56989999999999996</v>
      </c>
      <c r="JT70" s="306">
        <f t="shared" si="1283"/>
        <v>0.56769999999999998</v>
      </c>
      <c r="JU70" s="306">
        <f t="shared" si="1283"/>
        <v>0.5706</v>
      </c>
      <c r="JV70" s="306">
        <f t="shared" si="1283"/>
        <v>0.58550000000000002</v>
      </c>
      <c r="JW70" s="306">
        <f t="shared" si="1283"/>
        <v>0.59940000000000004</v>
      </c>
      <c r="JX70" s="306">
        <f t="shared" si="1283"/>
        <v>0.67269999999999996</v>
      </c>
      <c r="JY70" s="306">
        <f t="shared" si="1284"/>
        <v>0.69579999999999997</v>
      </c>
      <c r="JZ70" s="306">
        <f t="shared" si="1284"/>
        <v>0.69310000000000005</v>
      </c>
      <c r="KA70" s="306">
        <f t="shared" si="1284"/>
        <v>0.73350000000000004</v>
      </c>
      <c r="KB70" s="306">
        <f t="shared" si="1284"/>
        <v>0.76249999999999996</v>
      </c>
      <c r="KC70" s="306">
        <f t="shared" si="1284"/>
        <v>0.76980000000000004</v>
      </c>
      <c r="KD70" s="306">
        <f t="shared" si="1284"/>
        <v>0.69889999999999997</v>
      </c>
      <c r="KE70" s="306">
        <f t="shared" si="1284"/>
        <v>0.70609999999999995</v>
      </c>
      <c r="KF70" s="306">
        <f t="shared" si="1284"/>
        <v>0.70520000000000005</v>
      </c>
      <c r="KG70" s="306">
        <f t="shared" si="1284"/>
        <v>0.71860000000000002</v>
      </c>
      <c r="KH70" s="306">
        <f t="shared" si="1284"/>
        <v>0.75239999999999996</v>
      </c>
      <c r="KI70" s="306">
        <f t="shared" si="1284"/>
        <v>0.7228</v>
      </c>
      <c r="KJ70" s="306">
        <f t="shared" si="1284"/>
        <v>0.6925</v>
      </c>
      <c r="KK70" s="805">
        <f t="shared" si="1285"/>
        <v>0.76370000000000005</v>
      </c>
      <c r="KL70" s="805">
        <f t="shared" si="1285"/>
        <v>0.77390000000000003</v>
      </c>
      <c r="KM70" s="805">
        <f t="shared" si="1285"/>
        <v>0.7944</v>
      </c>
      <c r="KN70" s="805">
        <f t="shared" si="1285"/>
        <v>0.76839999999999997</v>
      </c>
      <c r="KO70" s="805">
        <f t="shared" si="1285"/>
        <v>0.78749999999999998</v>
      </c>
      <c r="KP70" s="805">
        <f t="shared" si="1285"/>
        <v>0.87990000000000002</v>
      </c>
      <c r="KQ70" s="805">
        <f t="shared" si="1285"/>
        <v>0.89339999999999997</v>
      </c>
      <c r="KR70" s="805">
        <f t="shared" si="1285"/>
        <v>0.9103</v>
      </c>
      <c r="KS70" s="805">
        <f t="shared" si="1285"/>
        <v>0.87490000000000001</v>
      </c>
      <c r="KT70" s="805">
        <f t="shared" si="1285"/>
        <v>0.90239999999999998</v>
      </c>
      <c r="KU70" s="805">
        <f t="shared" si="1285"/>
        <v>0.89529999999999998</v>
      </c>
      <c r="KV70" s="805">
        <f t="shared" si="1285"/>
        <v>0.95760000000000001</v>
      </c>
      <c r="KW70" s="917">
        <f t="shared" si="1286"/>
        <v>0.84530000000000005</v>
      </c>
      <c r="KX70" s="917">
        <f t="shared" si="1286"/>
        <v>0.67</v>
      </c>
      <c r="KY70" s="917">
        <f t="shared" si="1286"/>
        <v>0.69359999999999999</v>
      </c>
      <c r="KZ70" s="917">
        <f t="shared" si="1286"/>
        <v>0.67130000000000001</v>
      </c>
      <c r="LA70" s="917">
        <f t="shared" si="1286"/>
        <v>0.65149999999999997</v>
      </c>
      <c r="LB70" s="917">
        <f t="shared" si="1286"/>
        <v>0.67779999999999996</v>
      </c>
      <c r="LC70" s="917">
        <f t="shared" si="1286"/>
        <v>0.68069999999999997</v>
      </c>
      <c r="LD70" s="917">
        <f t="shared" si="1286"/>
        <v>0.65849999999999997</v>
      </c>
      <c r="LE70" s="917">
        <f t="shared" si="1286"/>
        <v>0.6825</v>
      </c>
      <c r="LF70" s="917">
        <f t="shared" si="1286"/>
        <v>0.62779999999999991</v>
      </c>
      <c r="LG70" s="917">
        <f t="shared" si="1286"/>
        <v>0.66269999999999996</v>
      </c>
      <c r="LH70" s="917">
        <f t="shared" si="1286"/>
        <v>0.6381</v>
      </c>
      <c r="LI70" s="976">
        <f t="shared" si="1287"/>
        <v>0.71179999999999999</v>
      </c>
      <c r="LJ70" s="976">
        <f t="shared" si="1287"/>
        <v>0.63439999999999996</v>
      </c>
      <c r="LK70" s="976">
        <f t="shared" si="1287"/>
        <v>0.42920000000000003</v>
      </c>
      <c r="LL70" s="976">
        <f t="shared" si="1287"/>
        <v>0.38069999999999998</v>
      </c>
      <c r="LM70" s="976">
        <f t="shared" si="1287"/>
        <v>0.378</v>
      </c>
      <c r="LN70" s="976">
        <f t="shared" si="1287"/>
        <v>0.40160000000000001</v>
      </c>
      <c r="LO70" s="976">
        <f t="shared" si="1287"/>
        <v>0.74929999999999997</v>
      </c>
      <c r="LP70" s="976">
        <f t="shared" si="1287"/>
        <v>0.44059999999999999</v>
      </c>
      <c r="LQ70" s="976">
        <f t="shared" si="1287"/>
        <v>0.47849999999999998</v>
      </c>
      <c r="LR70" s="976">
        <f t="shared" si="1287"/>
        <v>0.43780000000000002</v>
      </c>
      <c r="LS70" s="976">
        <f t="shared" si="1287"/>
        <v>0.46910000000000002</v>
      </c>
      <c r="LT70" s="976">
        <f t="shared" si="1287"/>
        <v>0.42949999999999999</v>
      </c>
      <c r="LU70" s="1172">
        <f t="shared" si="1288"/>
        <v>0.44190000000000002</v>
      </c>
      <c r="LV70" s="1172">
        <f t="shared" si="1288"/>
        <v>0.45679999999999998</v>
      </c>
      <c r="LW70" s="1172">
        <f t="shared" si="1288"/>
        <v>0.47539999999999999</v>
      </c>
      <c r="LX70" s="1172">
        <f t="shared" si="1288"/>
        <v>0.47760000000000002</v>
      </c>
      <c r="LY70" s="1172">
        <f t="shared" si="1288"/>
        <v>0.47789999999999999</v>
      </c>
      <c r="LZ70" s="1172">
        <f t="shared" si="1288"/>
        <v>0.51570000000000005</v>
      </c>
      <c r="MA70" s="1172">
        <f t="shared" si="1288"/>
        <v>0.49370000000000003</v>
      </c>
      <c r="MB70" s="1172">
        <f t="shared" si="1288"/>
        <v>0.4819</v>
      </c>
      <c r="MC70" s="1172">
        <f t="shared" si="1288"/>
        <v>0.50619999999999998</v>
      </c>
      <c r="MD70" s="1172">
        <f t="shared" si="1288"/>
        <v>0.49009999999999998</v>
      </c>
      <c r="ME70" s="1172">
        <f t="shared" si="1288"/>
        <v>0</v>
      </c>
      <c r="MF70" s="1172">
        <f t="shared" si="1288"/>
        <v>0</v>
      </c>
      <c r="MG70" s="1194">
        <f t="shared" si="1289"/>
        <v>0</v>
      </c>
      <c r="MH70" s="1194">
        <f t="shared" si="1289"/>
        <v>0</v>
      </c>
      <c r="MI70" s="1194">
        <f t="shared" si="1289"/>
        <v>0</v>
      </c>
      <c r="MJ70" s="1194">
        <f t="shared" si="1289"/>
        <v>0</v>
      </c>
      <c r="MK70" s="1194">
        <f t="shared" si="1289"/>
        <v>0</v>
      </c>
      <c r="ML70" s="1194">
        <f t="shared" si="1289"/>
        <v>0</v>
      </c>
      <c r="MM70" s="1194">
        <f t="shared" si="1289"/>
        <v>0</v>
      </c>
      <c r="MN70" s="1194">
        <f t="shared" si="1289"/>
        <v>0</v>
      </c>
      <c r="MO70" s="1194">
        <f t="shared" si="1289"/>
        <v>0</v>
      </c>
      <c r="MP70" s="1194">
        <f t="shared" si="1289"/>
        <v>0</v>
      </c>
      <c r="MQ70" s="1194">
        <f t="shared" si="1290"/>
        <v>0</v>
      </c>
      <c r="MR70" s="1194">
        <f t="shared" si="1290"/>
        <v>0</v>
      </c>
    </row>
    <row r="71" spans="1:356" s="307" customFormat="1" ht="15.75" hidden="1" customHeight="1" outlineLevel="1" x14ac:dyDescent="0.25">
      <c r="A71" s="942" t="s">
        <v>2</v>
      </c>
      <c r="B71" s="943"/>
      <c r="C71" s="460"/>
      <c r="D71" s="460"/>
      <c r="H71" s="932"/>
      <c r="I71" s="37"/>
      <c r="J71" s="932"/>
      <c r="K71" s="37"/>
      <c r="L71" s="932"/>
      <c r="M71" s="37"/>
      <c r="N71" s="932"/>
      <c r="O71" s="37"/>
      <c r="P71" s="932"/>
      <c r="Q71" s="37"/>
      <c r="R71" s="932"/>
      <c r="S71" s="37"/>
      <c r="T71" s="37"/>
      <c r="U71" s="37"/>
      <c r="V71" s="932"/>
      <c r="W71" s="37"/>
      <c r="X71" s="932"/>
      <c r="Y71" s="37"/>
      <c r="Z71" s="932"/>
      <c r="AA71" s="37"/>
      <c r="AB71" s="932"/>
      <c r="AC71" s="37"/>
      <c r="AD71" s="932"/>
      <c r="AE71" s="37"/>
      <c r="AF71" s="932"/>
      <c r="AG71" s="37"/>
      <c r="AH71" s="37"/>
      <c r="AI71" s="37"/>
      <c r="AJ71" s="932"/>
      <c r="AK71" s="37"/>
      <c r="AL71" s="932"/>
      <c r="AM71" s="37"/>
      <c r="AN71" s="932"/>
      <c r="AO71" s="37"/>
      <c r="AP71" s="932"/>
      <c r="AQ71" s="37"/>
      <c r="AR71" s="37"/>
      <c r="AS71" s="37"/>
      <c r="AT71" s="37"/>
      <c r="AU71" s="37"/>
      <c r="AV71" s="37"/>
      <c r="AW71" s="37"/>
      <c r="AX71" s="932"/>
      <c r="AY71" s="37"/>
      <c r="AZ71" s="932"/>
      <c r="BA71" s="37"/>
      <c r="BB71" s="932"/>
      <c r="BC71" s="37"/>
      <c r="BD71" s="932"/>
      <c r="BE71" s="37"/>
      <c r="BF71" s="932"/>
      <c r="BG71" s="37"/>
      <c r="BH71" s="37"/>
      <c r="BI71" s="37"/>
      <c r="BJ71" s="37"/>
      <c r="BK71" s="37"/>
      <c r="BL71" s="932"/>
      <c r="BM71" s="37"/>
      <c r="BN71" s="932"/>
      <c r="BO71" s="37"/>
      <c r="BP71" s="932"/>
      <c r="BQ71" s="37"/>
      <c r="BR71" s="932"/>
      <c r="BS71" s="37"/>
      <c r="BT71" s="932"/>
      <c r="BU71" s="932"/>
      <c r="BV71" s="932"/>
      <c r="BW71" s="932"/>
      <c r="BX71" s="37"/>
      <c r="BY71" s="37"/>
      <c r="BZ71" s="932"/>
      <c r="CA71" s="37"/>
      <c r="CB71" s="932"/>
      <c r="CC71" s="37"/>
      <c r="CD71" s="932"/>
      <c r="CE71" s="37"/>
      <c r="CF71" s="932"/>
      <c r="CG71" s="37"/>
      <c r="CH71" s="932"/>
      <c r="CI71" s="932"/>
      <c r="CJ71" s="932"/>
      <c r="CK71" s="932"/>
      <c r="CL71" s="37"/>
      <c r="CM71" s="37"/>
      <c r="CN71" s="932"/>
      <c r="CO71" s="37"/>
      <c r="CP71" s="932"/>
      <c r="CQ71" s="37"/>
      <c r="CR71" s="932"/>
      <c r="CS71" s="37"/>
      <c r="CT71" s="932"/>
      <c r="CU71" s="37"/>
      <c r="CV71" s="932"/>
      <c r="CW71" s="932"/>
      <c r="CX71" s="932"/>
      <c r="CY71" s="932"/>
      <c r="CZ71" s="37"/>
      <c r="DA71" s="37"/>
      <c r="DB71" s="932"/>
      <c r="DC71" s="37"/>
      <c r="DD71" s="932"/>
      <c r="DE71" s="37"/>
      <c r="DF71" s="932"/>
      <c r="DG71" s="37"/>
      <c r="DH71" s="932"/>
      <c r="DI71" s="37"/>
      <c r="DJ71" s="932"/>
      <c r="DK71" s="932"/>
      <c r="DL71" s="932"/>
      <c r="DM71" s="932"/>
      <c r="DN71" s="37"/>
      <c r="DO71" s="37"/>
      <c r="DP71" s="932"/>
      <c r="DQ71" s="37"/>
      <c r="DR71" s="932"/>
      <c r="DS71" s="37"/>
      <c r="DT71" s="932"/>
      <c r="DU71" s="37"/>
      <c r="DV71" s="932"/>
      <c r="DW71" s="37"/>
      <c r="DX71" s="932"/>
      <c r="DY71" s="932"/>
      <c r="DZ71" s="932"/>
      <c r="EA71" s="932"/>
      <c r="EB71" s="37"/>
      <c r="EC71" s="37"/>
      <c r="EE71" s="933"/>
      <c r="EG71" s="934"/>
      <c r="EI71" s="934"/>
      <c r="EK71" s="934"/>
      <c r="EM71" s="934"/>
      <c r="EO71" s="934"/>
      <c r="EQ71" s="934"/>
      <c r="ES71" s="934"/>
      <c r="EU71" s="934"/>
      <c r="EW71" s="934"/>
      <c r="EY71" s="934"/>
      <c r="FA71" s="934"/>
      <c r="FC71" s="934"/>
      <c r="FE71" s="934"/>
      <c r="FG71" s="934"/>
      <c r="FI71" s="934"/>
      <c r="FK71" s="934"/>
      <c r="FM71" s="934"/>
      <c r="FO71" s="934"/>
      <c r="FQ71" s="934"/>
      <c r="FS71" s="934"/>
      <c r="FU71" s="934"/>
      <c r="FW71" s="934"/>
      <c r="FY71" s="934"/>
      <c r="GA71" s="934"/>
      <c r="GC71" s="934"/>
      <c r="GE71" s="934"/>
      <c r="GG71" s="934"/>
      <c r="GI71" s="934"/>
      <c r="GK71" s="934"/>
      <c r="GM71" s="934"/>
      <c r="GO71" s="934"/>
      <c r="GQ71" s="934"/>
      <c r="GS71" s="934"/>
      <c r="GU71" s="934"/>
      <c r="GW71" s="934"/>
      <c r="GY71" s="934"/>
      <c r="HA71" s="934"/>
      <c r="HC71" s="934"/>
      <c r="HE71" s="934"/>
      <c r="HG71" s="934"/>
      <c r="HI71" s="934"/>
      <c r="HK71" s="934"/>
      <c r="HM71" s="934"/>
      <c r="HO71" s="934"/>
      <c r="HQ71" s="934"/>
      <c r="HS71" s="934"/>
      <c r="HU71" s="934"/>
      <c r="HW71" s="934"/>
      <c r="HY71" s="934"/>
      <c r="IA71" s="934"/>
      <c r="IC71" s="934"/>
      <c r="IE71" s="934"/>
      <c r="IG71" s="934"/>
      <c r="II71" s="934"/>
      <c r="IK71" s="934"/>
      <c r="IM71" s="934"/>
      <c r="IO71" s="934"/>
      <c r="IQ71" s="934"/>
      <c r="IS71" s="934"/>
      <c r="IT71" s="932"/>
      <c r="IU71" s="934"/>
      <c r="IW71" s="935"/>
      <c r="IX71" s="934"/>
      <c r="IY71" s="934"/>
      <c r="IZ71" s="934"/>
      <c r="JB71" s="936"/>
      <c r="JC71" s="936"/>
      <c r="JD71" s="936"/>
      <c r="JE71" s="936"/>
      <c r="JF71" s="936"/>
      <c r="JG71" s="936"/>
      <c r="JH71" s="936"/>
      <c r="JI71" s="936"/>
      <c r="JJ71" s="936"/>
      <c r="JK71" s="936"/>
      <c r="JL71" s="936"/>
      <c r="JM71" s="936"/>
      <c r="JN71" s="936"/>
      <c r="JO71" s="936"/>
      <c r="JP71" s="936"/>
      <c r="JQ71" s="936"/>
      <c r="JR71" s="936"/>
      <c r="JS71" s="936"/>
      <c r="JT71" s="936"/>
      <c r="JU71" s="936"/>
      <c r="JV71" s="936"/>
      <c r="JW71" s="936"/>
      <c r="JX71" s="936"/>
      <c r="JY71" s="936"/>
      <c r="JZ71" s="936"/>
      <c r="KA71" s="936"/>
      <c r="KB71" s="936"/>
      <c r="KC71" s="936"/>
      <c r="KD71" s="936"/>
      <c r="KE71" s="936"/>
      <c r="KF71" s="936"/>
      <c r="KG71" s="936"/>
      <c r="KH71" s="936"/>
      <c r="KI71" s="936"/>
      <c r="KJ71" s="936"/>
      <c r="KK71" s="936"/>
      <c r="KL71" s="936"/>
      <c r="KM71" s="936"/>
      <c r="KN71" s="936"/>
      <c r="KO71" s="936"/>
      <c r="KP71" s="936"/>
      <c r="KQ71" s="936"/>
      <c r="KR71" s="936"/>
      <c r="KS71" s="936"/>
      <c r="KT71" s="936"/>
      <c r="KU71" s="936"/>
      <c r="KV71" s="936"/>
      <c r="KW71" s="936"/>
      <c r="KX71" s="936"/>
      <c r="KY71" s="936"/>
      <c r="KZ71" s="936"/>
      <c r="LA71" s="936"/>
      <c r="LB71" s="936"/>
      <c r="LC71" s="936"/>
      <c r="LD71" s="936"/>
      <c r="LE71" s="936"/>
      <c r="LF71" s="936"/>
      <c r="LG71" s="936"/>
      <c r="LH71" s="936"/>
    </row>
    <row r="72" spans="1:356" s="462" customFormat="1" ht="8.25" hidden="1" customHeight="1" outlineLevel="1" x14ac:dyDescent="0.25">
      <c r="A72" s="944"/>
      <c r="B72" s="945"/>
      <c r="C72" s="461"/>
      <c r="D72" s="461"/>
      <c r="H72" s="932"/>
      <c r="I72" s="37"/>
      <c r="J72" s="932"/>
      <c r="K72" s="37"/>
      <c r="L72" s="932"/>
      <c r="M72" s="37"/>
      <c r="N72" s="932"/>
      <c r="O72" s="37"/>
      <c r="P72" s="932"/>
      <c r="Q72" s="37"/>
      <c r="R72" s="932"/>
      <c r="S72" s="37"/>
      <c r="T72" s="37"/>
      <c r="U72" s="37"/>
      <c r="V72" s="932"/>
      <c r="W72" s="37"/>
      <c r="X72" s="932"/>
      <c r="Y72" s="37"/>
      <c r="Z72" s="932"/>
      <c r="AA72" s="37"/>
      <c r="AB72" s="932"/>
      <c r="AC72" s="37"/>
      <c r="AD72" s="932"/>
      <c r="AE72" s="37"/>
      <c r="AF72" s="932"/>
      <c r="AG72" s="37"/>
      <c r="AH72" s="37"/>
      <c r="AI72" s="37"/>
      <c r="AJ72" s="932"/>
      <c r="AK72" s="37"/>
      <c r="AL72" s="932"/>
      <c r="AM72" s="37"/>
      <c r="AN72" s="932"/>
      <c r="AO72" s="37"/>
      <c r="AP72" s="932"/>
      <c r="AQ72" s="37"/>
      <c r="AR72" s="37"/>
      <c r="AS72" s="37"/>
      <c r="AT72" s="37"/>
      <c r="AU72" s="37"/>
      <c r="AV72" s="37"/>
      <c r="AW72" s="37"/>
      <c r="AX72" s="932"/>
      <c r="AY72" s="37"/>
      <c r="AZ72" s="932"/>
      <c r="BA72" s="37"/>
      <c r="BB72" s="932"/>
      <c r="BC72" s="37"/>
      <c r="BD72" s="932"/>
      <c r="BE72" s="37"/>
      <c r="BF72" s="932"/>
      <c r="BG72" s="37"/>
      <c r="BH72" s="37"/>
      <c r="BI72" s="37"/>
      <c r="BJ72" s="37"/>
      <c r="BK72" s="37"/>
      <c r="BL72" s="932"/>
      <c r="BM72" s="37"/>
      <c r="BN72" s="932"/>
      <c r="BO72" s="37"/>
      <c r="BP72" s="932"/>
      <c r="BQ72" s="37"/>
      <c r="BR72" s="932"/>
      <c r="BS72" s="37"/>
      <c r="BT72" s="932"/>
      <c r="BU72" s="932"/>
      <c r="BV72" s="932"/>
      <c r="BW72" s="932"/>
      <c r="BX72" s="37"/>
      <c r="BY72" s="37"/>
      <c r="BZ72" s="932"/>
      <c r="CA72" s="37"/>
      <c r="CB72" s="932"/>
      <c r="CC72" s="37"/>
      <c r="CD72" s="932"/>
      <c r="CE72" s="37"/>
      <c r="CF72" s="932"/>
      <c r="CG72" s="37"/>
      <c r="CH72" s="932"/>
      <c r="CI72" s="932"/>
      <c r="CJ72" s="932"/>
      <c r="CK72" s="932"/>
      <c r="CL72" s="37"/>
      <c r="CM72" s="37"/>
      <c r="CN72" s="932"/>
      <c r="CO72" s="37"/>
      <c r="CP72" s="932"/>
      <c r="CQ72" s="37"/>
      <c r="CR72" s="932"/>
      <c r="CS72" s="37"/>
      <c r="CT72" s="932"/>
      <c r="CU72" s="37"/>
      <c r="CV72" s="932"/>
      <c r="CW72" s="932"/>
      <c r="CX72" s="932"/>
      <c r="CY72" s="932"/>
      <c r="CZ72" s="37"/>
      <c r="DA72" s="37"/>
      <c r="DB72" s="932"/>
      <c r="DC72" s="37"/>
      <c r="DD72" s="932"/>
      <c r="DE72" s="37"/>
      <c r="DF72" s="932"/>
      <c r="DG72" s="37"/>
      <c r="DH72" s="932"/>
      <c r="DI72" s="37"/>
      <c r="DJ72" s="932"/>
      <c r="DK72" s="932"/>
      <c r="DL72" s="932"/>
      <c r="DM72" s="932"/>
      <c r="DN72" s="37"/>
      <c r="DO72" s="37"/>
      <c r="DP72" s="932"/>
      <c r="DQ72" s="37"/>
      <c r="DR72" s="932"/>
      <c r="DS72" s="37"/>
      <c r="DT72" s="932"/>
      <c r="DU72" s="37"/>
      <c r="DV72" s="932"/>
      <c r="DW72" s="37"/>
      <c r="DX72" s="932"/>
      <c r="DY72" s="932"/>
      <c r="DZ72" s="932"/>
      <c r="EA72" s="932"/>
      <c r="EB72" s="37"/>
      <c r="EC72" s="37"/>
      <c r="EE72" s="937"/>
      <c r="EG72" s="938"/>
      <c r="EI72" s="938"/>
      <c r="EK72" s="938"/>
      <c r="EM72" s="938"/>
      <c r="EO72" s="938"/>
      <c r="EQ72" s="938"/>
      <c r="ES72" s="938"/>
      <c r="EU72" s="938"/>
      <c r="EW72" s="938"/>
      <c r="EY72" s="938"/>
      <c r="FA72" s="938"/>
      <c r="FC72" s="938"/>
      <c r="FE72" s="938"/>
      <c r="FG72" s="938"/>
      <c r="FI72" s="938"/>
      <c r="FK72" s="938"/>
      <c r="FM72" s="938"/>
      <c r="FO72" s="938"/>
      <c r="FQ72" s="938"/>
      <c r="FS72" s="938"/>
      <c r="FU72" s="938"/>
      <c r="FW72" s="938"/>
      <c r="FY72" s="938"/>
      <c r="GA72" s="938"/>
      <c r="GC72" s="938"/>
      <c r="GE72" s="938"/>
      <c r="GG72" s="938"/>
      <c r="GI72" s="938"/>
      <c r="GK72" s="938"/>
      <c r="GM72" s="938"/>
      <c r="GO72" s="938"/>
      <c r="GQ72" s="938"/>
      <c r="GS72" s="938"/>
      <c r="GU72" s="938"/>
      <c r="GW72" s="938"/>
      <c r="GY72" s="938"/>
      <c r="HA72" s="938"/>
      <c r="HC72" s="938"/>
      <c r="HE72" s="938"/>
      <c r="HG72" s="938"/>
      <c r="HI72" s="938"/>
      <c r="HK72" s="938"/>
      <c r="HM72" s="938"/>
      <c r="HO72" s="938"/>
      <c r="HQ72" s="938"/>
      <c r="HS72" s="938"/>
      <c r="HU72" s="938"/>
      <c r="HW72" s="938"/>
      <c r="HY72" s="938"/>
      <c r="IA72" s="938"/>
      <c r="IC72" s="938"/>
      <c r="IE72" s="938"/>
      <c r="IG72" s="938"/>
      <c r="II72" s="938"/>
      <c r="IK72" s="938"/>
      <c r="IM72" s="938"/>
      <c r="IO72" s="938"/>
      <c r="IQ72" s="938"/>
      <c r="IS72" s="938"/>
      <c r="IT72" s="932"/>
      <c r="IU72" s="938"/>
      <c r="IW72" s="939"/>
      <c r="IX72" s="938"/>
      <c r="IY72" s="938"/>
      <c r="IZ72" s="938"/>
      <c r="JB72" s="940"/>
      <c r="JC72" s="940"/>
      <c r="JD72" s="940"/>
      <c r="JE72" s="940"/>
      <c r="JF72" s="940"/>
      <c r="JG72" s="940"/>
      <c r="JH72" s="940"/>
      <c r="JI72" s="940"/>
      <c r="JJ72" s="940"/>
      <c r="JK72" s="940"/>
      <c r="JL72" s="940"/>
      <c r="JM72" s="940"/>
      <c r="JN72" s="940"/>
      <c r="JO72" s="940"/>
      <c r="JP72" s="940"/>
      <c r="JQ72" s="940"/>
      <c r="JR72" s="940"/>
      <c r="JS72" s="940"/>
      <c r="JT72" s="940"/>
      <c r="JU72" s="940"/>
      <c r="JV72" s="940"/>
      <c r="JW72" s="940"/>
      <c r="JX72" s="940"/>
      <c r="JY72" s="940"/>
      <c r="JZ72" s="940"/>
      <c r="KA72" s="940"/>
      <c r="KB72" s="940"/>
      <c r="KC72" s="940"/>
      <c r="KD72" s="940"/>
      <c r="KE72" s="940"/>
      <c r="KF72" s="940"/>
      <c r="KG72" s="940"/>
      <c r="KH72" s="940"/>
      <c r="KI72" s="940"/>
      <c r="KJ72" s="940"/>
      <c r="KK72" s="940"/>
      <c r="KL72" s="940"/>
      <c r="KM72" s="940"/>
      <c r="KN72" s="940"/>
      <c r="KO72" s="940"/>
      <c r="KP72" s="940"/>
      <c r="KQ72" s="940"/>
      <c r="KR72" s="940"/>
      <c r="KS72" s="940"/>
      <c r="KT72" s="940"/>
      <c r="KU72" s="940"/>
      <c r="KV72" s="940"/>
      <c r="KW72" s="940"/>
      <c r="KX72" s="940"/>
      <c r="KY72" s="940"/>
      <c r="KZ72" s="940"/>
      <c r="LA72" s="940"/>
      <c r="LB72" s="940"/>
      <c r="LC72" s="940"/>
      <c r="LD72" s="940"/>
      <c r="LE72" s="940"/>
      <c r="LF72" s="940"/>
      <c r="LG72" s="940"/>
      <c r="LH72" s="940"/>
    </row>
    <row r="73" spans="1:356" s="462" customFormat="1" ht="15" hidden="1" customHeight="1" outlineLevel="1" x14ac:dyDescent="0.25">
      <c r="A73" s="1205">
        <v>39814</v>
      </c>
      <c r="B73" s="1205"/>
      <c r="C73" s="463"/>
      <c r="D73" s="463"/>
      <c r="G73" s="464"/>
      <c r="H73" s="932"/>
      <c r="I73" s="37"/>
      <c r="J73" s="932"/>
      <c r="K73" s="37"/>
      <c r="L73" s="932"/>
      <c r="M73" s="37"/>
      <c r="N73" s="932"/>
      <c r="O73" s="37"/>
      <c r="P73" s="932"/>
      <c r="Q73" s="37"/>
      <c r="R73" s="932"/>
      <c r="S73" s="37"/>
      <c r="T73" s="37"/>
      <c r="U73" s="37"/>
      <c r="V73" s="932"/>
      <c r="W73" s="37"/>
      <c r="X73" s="932"/>
      <c r="Y73" s="37"/>
      <c r="Z73" s="932"/>
      <c r="AA73" s="37"/>
      <c r="AB73" s="932"/>
      <c r="AC73" s="37"/>
      <c r="AD73" s="932"/>
      <c r="AE73" s="37"/>
      <c r="AF73" s="932"/>
      <c r="AG73" s="37"/>
      <c r="AH73" s="37"/>
      <c r="AI73" s="37"/>
      <c r="AJ73" s="932"/>
      <c r="AK73" s="37"/>
      <c r="AL73" s="932"/>
      <c r="AM73" s="37"/>
      <c r="AN73" s="932"/>
      <c r="AO73" s="37"/>
      <c r="AP73" s="932"/>
      <c r="AQ73" s="37"/>
      <c r="AR73" s="37"/>
      <c r="AS73" s="37"/>
      <c r="AT73" s="37"/>
      <c r="AU73" s="37"/>
      <c r="AV73" s="37"/>
      <c r="AW73" s="37"/>
      <c r="AX73" s="932"/>
      <c r="AY73" s="37"/>
      <c r="AZ73" s="932"/>
      <c r="BA73" s="37"/>
      <c r="BB73" s="932"/>
      <c r="BC73" s="37"/>
      <c r="BD73" s="932"/>
      <c r="BE73" s="37"/>
      <c r="BF73" s="932"/>
      <c r="BG73" s="37"/>
      <c r="BH73" s="37"/>
      <c r="BI73" s="37"/>
      <c r="BJ73" s="37"/>
      <c r="BK73" s="37"/>
      <c r="BL73" s="932"/>
      <c r="BM73" s="37"/>
      <c r="BN73" s="932"/>
      <c r="BO73" s="37"/>
      <c r="BP73" s="932"/>
      <c r="BQ73" s="37"/>
      <c r="BR73" s="932"/>
      <c r="BS73" s="37"/>
      <c r="BT73" s="932"/>
      <c r="BU73" s="932"/>
      <c r="BV73" s="932"/>
      <c r="BW73" s="932"/>
      <c r="BX73" s="37"/>
      <c r="BY73" s="37"/>
      <c r="BZ73" s="932"/>
      <c r="CA73" s="37"/>
      <c r="CB73" s="932"/>
      <c r="CC73" s="37"/>
      <c r="CD73" s="932"/>
      <c r="CE73" s="37"/>
      <c r="CF73" s="932"/>
      <c r="CG73" s="37"/>
      <c r="CH73" s="932"/>
      <c r="CI73" s="932"/>
      <c r="CJ73" s="932"/>
      <c r="CK73" s="932"/>
      <c r="CL73" s="37"/>
      <c r="CM73" s="37"/>
      <c r="CN73" s="932"/>
      <c r="CO73" s="37"/>
      <c r="CP73" s="932"/>
      <c r="CQ73" s="37"/>
      <c r="CR73" s="932"/>
      <c r="CS73" s="37"/>
      <c r="CT73" s="932"/>
      <c r="CU73" s="37"/>
      <c r="CV73" s="932"/>
      <c r="CW73" s="932"/>
      <c r="CX73" s="932"/>
      <c r="CY73" s="932"/>
      <c r="CZ73" s="37"/>
      <c r="DA73" s="37"/>
      <c r="DB73" s="932"/>
      <c r="DC73" s="37"/>
      <c r="DD73" s="932"/>
      <c r="DE73" s="37"/>
      <c r="DF73" s="932"/>
      <c r="DG73" s="37"/>
      <c r="DH73" s="932"/>
      <c r="DI73" s="37"/>
      <c r="DJ73" s="932"/>
      <c r="DK73" s="932"/>
      <c r="DL73" s="932"/>
      <c r="DM73" s="932"/>
      <c r="DN73" s="37"/>
      <c r="DO73" s="37"/>
      <c r="DP73" s="932"/>
      <c r="DQ73" s="37"/>
      <c r="DR73" s="932"/>
      <c r="DS73" s="37"/>
      <c r="DT73" s="932"/>
      <c r="DU73" s="37"/>
      <c r="DV73" s="932"/>
      <c r="DW73" s="37"/>
      <c r="DX73" s="932"/>
      <c r="DY73" s="932"/>
      <c r="DZ73" s="932"/>
      <c r="EA73" s="932"/>
      <c r="EB73" s="37"/>
      <c r="EC73" s="37"/>
      <c r="EE73" s="937"/>
      <c r="EG73" s="938"/>
      <c r="EI73" s="938"/>
      <c r="EK73" s="938"/>
      <c r="EM73" s="938"/>
      <c r="EO73" s="938"/>
      <c r="EQ73" s="938"/>
      <c r="ES73" s="938"/>
      <c r="EU73" s="938"/>
      <c r="EW73" s="938"/>
      <c r="EY73" s="938"/>
      <c r="FA73" s="938"/>
      <c r="FC73" s="938"/>
      <c r="FE73" s="938"/>
      <c r="FG73" s="938"/>
      <c r="FI73" s="938"/>
      <c r="FK73" s="938"/>
      <c r="FM73" s="938"/>
      <c r="FO73" s="938"/>
      <c r="FQ73" s="938"/>
      <c r="FS73" s="938"/>
      <c r="FU73" s="938"/>
      <c r="FW73" s="938"/>
      <c r="FY73" s="938"/>
      <c r="GA73" s="938"/>
      <c r="GC73" s="938"/>
      <c r="GE73" s="938"/>
      <c r="GG73" s="938"/>
      <c r="GI73" s="938"/>
      <c r="GK73" s="938"/>
      <c r="GM73" s="938"/>
      <c r="GO73" s="938"/>
      <c r="GQ73" s="938"/>
      <c r="GS73" s="938"/>
      <c r="GU73" s="938"/>
      <c r="GW73" s="938"/>
      <c r="GY73" s="938"/>
      <c r="HA73" s="938"/>
      <c r="HC73" s="938"/>
      <c r="HE73" s="938"/>
      <c r="HG73" s="938"/>
      <c r="HI73" s="938"/>
      <c r="HK73" s="938"/>
      <c r="HM73" s="938"/>
      <c r="HO73" s="938"/>
      <c r="HQ73" s="938"/>
      <c r="HS73" s="938"/>
      <c r="HU73" s="938"/>
      <c r="HW73" s="938"/>
      <c r="HY73" s="938"/>
      <c r="IA73" s="938"/>
      <c r="IC73" s="938"/>
      <c r="IE73" s="938"/>
      <c r="IG73" s="938"/>
      <c r="II73" s="938"/>
      <c r="IK73" s="938"/>
      <c r="IM73" s="938"/>
      <c r="IO73" s="938"/>
      <c r="IQ73" s="938"/>
      <c r="IS73" s="938"/>
      <c r="IT73" s="932"/>
      <c r="IU73" s="938"/>
      <c r="IW73" s="939"/>
      <c r="IX73" s="938"/>
      <c r="IY73" s="938"/>
      <c r="IZ73" s="938"/>
      <c r="JB73" s="940"/>
      <c r="JC73" s="940"/>
      <c r="JD73" s="940"/>
      <c r="JE73" s="940"/>
      <c r="JF73" s="940"/>
      <c r="JG73" s="940"/>
      <c r="JH73" s="940"/>
      <c r="JI73" s="940"/>
      <c r="JJ73" s="940"/>
      <c r="JK73" s="940"/>
      <c r="JL73" s="940"/>
      <c r="JM73" s="940"/>
      <c r="JN73" s="940"/>
      <c r="JO73" s="940"/>
      <c r="JP73" s="940"/>
      <c r="JQ73" s="940"/>
      <c r="JR73" s="940"/>
      <c r="JS73" s="940"/>
      <c r="JT73" s="940"/>
      <c r="JU73" s="940"/>
      <c r="JV73" s="940"/>
      <c r="JW73" s="940"/>
      <c r="JX73" s="940"/>
      <c r="JY73" s="940"/>
      <c r="JZ73" s="940"/>
      <c r="KA73" s="940"/>
      <c r="KB73" s="940"/>
      <c r="KC73" s="940"/>
      <c r="KD73" s="940"/>
      <c r="KE73" s="940"/>
      <c r="KF73" s="940"/>
      <c r="KG73" s="940"/>
      <c r="KH73" s="940"/>
      <c r="KI73" s="940"/>
      <c r="KJ73" s="940"/>
      <c r="KK73" s="940"/>
      <c r="KL73" s="940"/>
      <c r="KM73" s="940"/>
      <c r="KN73" s="940"/>
      <c r="KO73" s="940"/>
      <c r="KP73" s="940"/>
      <c r="KQ73" s="940"/>
      <c r="KR73" s="940"/>
      <c r="KS73" s="940"/>
      <c r="KT73" s="940"/>
      <c r="KU73" s="940"/>
      <c r="KV73" s="940"/>
      <c r="KW73" s="940"/>
      <c r="KX73" s="940"/>
      <c r="KY73" s="940"/>
      <c r="KZ73" s="940"/>
      <c r="LA73" s="940"/>
      <c r="LB73" s="940"/>
      <c r="LC73" s="940"/>
      <c r="LD73" s="940"/>
      <c r="LE73" s="940"/>
      <c r="LF73" s="940"/>
      <c r="LG73" s="940"/>
      <c r="LH73" s="940"/>
    </row>
    <row r="74" spans="1:356" s="462" customFormat="1" ht="15" hidden="1" customHeight="1" outlineLevel="1" x14ac:dyDescent="0.25">
      <c r="A74" s="1205">
        <v>39832</v>
      </c>
      <c r="B74" s="1205"/>
      <c r="C74" s="463"/>
      <c r="D74" s="463"/>
      <c r="H74" s="932"/>
      <c r="I74" s="37"/>
      <c r="J74" s="932"/>
      <c r="K74" s="37"/>
      <c r="L74" s="932"/>
      <c r="M74" s="37"/>
      <c r="N74" s="932"/>
      <c r="O74" s="37"/>
      <c r="P74" s="932"/>
      <c r="Q74" s="37"/>
      <c r="R74" s="932"/>
      <c r="S74" s="37"/>
      <c r="T74" s="37"/>
      <c r="U74" s="37"/>
      <c r="V74" s="932"/>
      <c r="W74" s="37"/>
      <c r="X74" s="932"/>
      <c r="Y74" s="37"/>
      <c r="Z74" s="932"/>
      <c r="AA74" s="37"/>
      <c r="AB74" s="932"/>
      <c r="AC74" s="37"/>
      <c r="AD74" s="932"/>
      <c r="AE74" s="37"/>
      <c r="AF74" s="932"/>
      <c r="AG74" s="37"/>
      <c r="AH74" s="37"/>
      <c r="AI74" s="37"/>
      <c r="AJ74" s="932"/>
      <c r="AK74" s="37"/>
      <c r="AL74" s="932"/>
      <c r="AM74" s="37"/>
      <c r="AN74" s="932"/>
      <c r="AO74" s="37"/>
      <c r="AP74" s="932"/>
      <c r="AQ74" s="37"/>
      <c r="AR74" s="37"/>
      <c r="AS74" s="37"/>
      <c r="AT74" s="37"/>
      <c r="AU74" s="37"/>
      <c r="AV74" s="37"/>
      <c r="AW74" s="37"/>
      <c r="AX74" s="932"/>
      <c r="AY74" s="37"/>
      <c r="AZ74" s="932"/>
      <c r="BA74" s="37"/>
      <c r="BB74" s="932"/>
      <c r="BC74" s="37"/>
      <c r="BD74" s="932"/>
      <c r="BE74" s="37"/>
      <c r="BF74" s="932"/>
      <c r="BG74" s="37"/>
      <c r="BH74" s="37"/>
      <c r="BI74" s="37"/>
      <c r="BJ74" s="37"/>
      <c r="BK74" s="37"/>
      <c r="BL74" s="932"/>
      <c r="BM74" s="37"/>
      <c r="BN74" s="932"/>
      <c r="BO74" s="37"/>
      <c r="BP74" s="932"/>
      <c r="BQ74" s="37"/>
      <c r="BR74" s="932"/>
      <c r="BS74" s="37"/>
      <c r="BT74" s="932"/>
      <c r="BU74" s="932"/>
      <c r="BV74" s="932"/>
      <c r="BW74" s="932"/>
      <c r="BX74" s="37"/>
      <c r="BY74" s="37"/>
      <c r="BZ74" s="932"/>
      <c r="CA74" s="37"/>
      <c r="CB74" s="932"/>
      <c r="CC74" s="37"/>
      <c r="CD74" s="932"/>
      <c r="CE74" s="37"/>
      <c r="CF74" s="932"/>
      <c r="CG74" s="37"/>
      <c r="CH74" s="932"/>
      <c r="CI74" s="932"/>
      <c r="CJ74" s="932"/>
      <c r="CK74" s="932"/>
      <c r="CL74" s="37"/>
      <c r="CM74" s="37"/>
      <c r="CN74" s="932"/>
      <c r="CO74" s="37"/>
      <c r="CP74" s="932"/>
      <c r="CQ74" s="37"/>
      <c r="CR74" s="932"/>
      <c r="CS74" s="37"/>
      <c r="CT74" s="932"/>
      <c r="CU74" s="37"/>
      <c r="CV74" s="932"/>
      <c r="CW74" s="932"/>
      <c r="CX74" s="932"/>
      <c r="CY74" s="932"/>
      <c r="CZ74" s="37"/>
      <c r="DA74" s="37"/>
      <c r="DB74" s="932"/>
      <c r="DC74" s="37"/>
      <c r="DD74" s="932"/>
      <c r="DE74" s="37"/>
      <c r="DF74" s="932"/>
      <c r="DG74" s="37"/>
      <c r="DH74" s="932"/>
      <c r="DI74" s="37"/>
      <c r="DJ74" s="932"/>
      <c r="DK74" s="932"/>
      <c r="DL74" s="932"/>
      <c r="DM74" s="932"/>
      <c r="DN74" s="37"/>
      <c r="DO74" s="37"/>
      <c r="DP74" s="932"/>
      <c r="DQ74" s="37"/>
      <c r="DR74" s="932"/>
      <c r="DS74" s="37"/>
      <c r="DT74" s="932"/>
      <c r="DU74" s="37"/>
      <c r="DV74" s="932"/>
      <c r="DW74" s="37"/>
      <c r="DX74" s="932"/>
      <c r="DY74" s="932"/>
      <c r="DZ74" s="932"/>
      <c r="EA74" s="932"/>
      <c r="EB74" s="37"/>
      <c r="EC74" s="37"/>
      <c r="EE74" s="937"/>
      <c r="EG74" s="938"/>
      <c r="EI74" s="938"/>
      <c r="EK74" s="938"/>
      <c r="EM74" s="938"/>
      <c r="EO74" s="938"/>
      <c r="EQ74" s="938"/>
      <c r="ES74" s="938"/>
      <c r="EU74" s="938"/>
      <c r="EW74" s="938"/>
      <c r="EY74" s="938"/>
      <c r="FA74" s="938"/>
      <c r="FC74" s="938"/>
      <c r="FE74" s="938"/>
      <c r="FG74" s="938"/>
      <c r="FI74" s="938"/>
      <c r="FK74" s="938"/>
      <c r="FM74" s="938"/>
      <c r="FO74" s="938"/>
      <c r="FQ74" s="938"/>
      <c r="FS74" s="938"/>
      <c r="FU74" s="938"/>
      <c r="FW74" s="938"/>
      <c r="FY74" s="938"/>
      <c r="GA74" s="938"/>
      <c r="GC74" s="938"/>
      <c r="GE74" s="938"/>
      <c r="GG74" s="938"/>
      <c r="GI74" s="938"/>
      <c r="GK74" s="938"/>
      <c r="GM74" s="938"/>
      <c r="GO74" s="938"/>
      <c r="GQ74" s="938"/>
      <c r="GS74" s="938"/>
      <c r="GU74" s="938"/>
      <c r="GW74" s="938"/>
      <c r="GY74" s="938"/>
      <c r="HA74" s="938"/>
      <c r="HC74" s="938"/>
      <c r="HE74" s="938"/>
      <c r="HG74" s="938"/>
      <c r="HI74" s="938"/>
      <c r="HK74" s="938"/>
      <c r="HM74" s="938"/>
      <c r="HO74" s="938"/>
      <c r="HQ74" s="938"/>
      <c r="HS74" s="938"/>
      <c r="HU74" s="938"/>
      <c r="HW74" s="938"/>
      <c r="HY74" s="938"/>
      <c r="IA74" s="938"/>
      <c r="IC74" s="938"/>
      <c r="IE74" s="938"/>
      <c r="IG74" s="938"/>
      <c r="II74" s="938"/>
      <c r="IK74" s="938"/>
      <c r="IM74" s="938"/>
      <c r="IO74" s="938"/>
      <c r="IQ74" s="938"/>
      <c r="IS74" s="938"/>
      <c r="IT74" s="932"/>
      <c r="IU74" s="938"/>
      <c r="IW74" s="939"/>
      <c r="IX74" s="938"/>
      <c r="IY74" s="938"/>
      <c r="IZ74" s="938"/>
      <c r="JB74" s="940"/>
      <c r="JC74" s="940"/>
      <c r="JD74" s="940"/>
      <c r="JE74" s="940"/>
      <c r="JF74" s="940"/>
      <c r="JG74" s="940"/>
      <c r="JH74" s="940"/>
      <c r="JI74" s="940"/>
      <c r="JJ74" s="940"/>
      <c r="JK74" s="940"/>
      <c r="JL74" s="940"/>
      <c r="JM74" s="940"/>
      <c r="JN74" s="940"/>
      <c r="JO74" s="940"/>
      <c r="JP74" s="940"/>
      <c r="JQ74" s="940"/>
      <c r="JR74" s="940"/>
      <c r="JS74" s="940"/>
      <c r="JT74" s="940"/>
      <c r="JU74" s="940"/>
      <c r="JV74" s="940"/>
      <c r="JW74" s="940"/>
      <c r="JX74" s="940"/>
      <c r="JY74" s="940"/>
      <c r="JZ74" s="940"/>
      <c r="KA74" s="940"/>
      <c r="KB74" s="940"/>
      <c r="KC74" s="940"/>
      <c r="KD74" s="940"/>
      <c r="KE74" s="940"/>
      <c r="KF74" s="940"/>
      <c r="KG74" s="940"/>
      <c r="KH74" s="940"/>
      <c r="KI74" s="940"/>
      <c r="KJ74" s="940"/>
      <c r="KK74" s="940"/>
      <c r="KL74" s="940"/>
      <c r="KM74" s="940"/>
      <c r="KN74" s="940"/>
      <c r="KO74" s="940"/>
      <c r="KP74" s="940"/>
      <c r="KQ74" s="940"/>
      <c r="KR74" s="940"/>
      <c r="KS74" s="940"/>
      <c r="KT74" s="940"/>
      <c r="KU74" s="940"/>
      <c r="KV74" s="940"/>
      <c r="KW74" s="940"/>
      <c r="KX74" s="940"/>
      <c r="KY74" s="940"/>
      <c r="KZ74" s="940"/>
      <c r="LA74" s="940"/>
      <c r="LB74" s="940"/>
      <c r="LC74" s="940"/>
      <c r="LD74" s="940"/>
      <c r="LE74" s="940"/>
      <c r="LF74" s="940"/>
      <c r="LG74" s="940"/>
      <c r="LH74" s="940"/>
    </row>
    <row r="75" spans="1:356" s="462" customFormat="1" ht="15" hidden="1" customHeight="1" outlineLevel="1" x14ac:dyDescent="0.25">
      <c r="A75" s="1205">
        <v>39913</v>
      </c>
      <c r="B75" s="1205"/>
      <c r="C75" s="463"/>
      <c r="D75" s="463"/>
      <c r="H75" s="932"/>
      <c r="I75" s="37"/>
      <c r="J75" s="932"/>
      <c r="K75" s="37"/>
      <c r="L75" s="932"/>
      <c r="M75" s="37"/>
      <c r="N75" s="932"/>
      <c r="O75" s="37"/>
      <c r="P75" s="932"/>
      <c r="Q75" s="37"/>
      <c r="R75" s="932"/>
      <c r="S75" s="37"/>
      <c r="T75" s="37"/>
      <c r="U75" s="37"/>
      <c r="V75" s="932"/>
      <c r="W75" s="37"/>
      <c r="X75" s="932"/>
      <c r="Y75" s="37"/>
      <c r="Z75" s="932"/>
      <c r="AA75" s="37"/>
      <c r="AB75" s="932"/>
      <c r="AC75" s="37"/>
      <c r="AD75" s="932"/>
      <c r="AE75" s="37"/>
      <c r="AF75" s="932"/>
      <c r="AG75" s="37"/>
      <c r="AH75" s="37"/>
      <c r="AI75" s="37"/>
      <c r="AJ75" s="932"/>
      <c r="AK75" s="37"/>
      <c r="AL75" s="932"/>
      <c r="AM75" s="37"/>
      <c r="AN75" s="932"/>
      <c r="AO75" s="37"/>
      <c r="AP75" s="932"/>
      <c r="AQ75" s="37"/>
      <c r="AR75" s="37"/>
      <c r="AS75" s="37"/>
      <c r="AT75" s="37"/>
      <c r="AU75" s="37"/>
      <c r="AV75" s="37"/>
      <c r="AW75" s="37"/>
      <c r="AX75" s="932"/>
      <c r="AY75" s="37"/>
      <c r="AZ75" s="932"/>
      <c r="BA75" s="37"/>
      <c r="BB75" s="932"/>
      <c r="BC75" s="37"/>
      <c r="BD75" s="932"/>
      <c r="BE75" s="37"/>
      <c r="BF75" s="932"/>
      <c r="BG75" s="37"/>
      <c r="BH75" s="37"/>
      <c r="BI75" s="37"/>
      <c r="BJ75" s="37"/>
      <c r="BK75" s="37"/>
      <c r="BL75" s="932"/>
      <c r="BM75" s="37"/>
      <c r="BN75" s="932"/>
      <c r="BO75" s="37"/>
      <c r="BP75" s="932"/>
      <c r="BQ75" s="37"/>
      <c r="BR75" s="932"/>
      <c r="BS75" s="37"/>
      <c r="BT75" s="932"/>
      <c r="BU75" s="932"/>
      <c r="BV75" s="932"/>
      <c r="BW75" s="932"/>
      <c r="BX75" s="37"/>
      <c r="BY75" s="37"/>
      <c r="BZ75" s="932"/>
      <c r="CA75" s="37"/>
      <c r="CB75" s="932"/>
      <c r="CC75" s="37"/>
      <c r="CD75" s="932"/>
      <c r="CE75" s="37"/>
      <c r="CF75" s="932"/>
      <c r="CG75" s="37"/>
      <c r="CH75" s="932"/>
      <c r="CI75" s="932"/>
      <c r="CJ75" s="932"/>
      <c r="CK75" s="932"/>
      <c r="CL75" s="37"/>
      <c r="CM75" s="37"/>
      <c r="CN75" s="932"/>
      <c r="CO75" s="37"/>
      <c r="CP75" s="932"/>
      <c r="CQ75" s="37"/>
      <c r="CR75" s="932"/>
      <c r="CS75" s="37"/>
      <c r="CT75" s="932"/>
      <c r="CU75" s="37"/>
      <c r="CV75" s="932"/>
      <c r="CW75" s="932"/>
      <c r="CX75" s="932"/>
      <c r="CY75" s="932"/>
      <c r="CZ75" s="37"/>
      <c r="DA75" s="37"/>
      <c r="DB75" s="932"/>
      <c r="DC75" s="37"/>
      <c r="DD75" s="932"/>
      <c r="DE75" s="37"/>
      <c r="DF75" s="932"/>
      <c r="DG75" s="37"/>
      <c r="DH75" s="932"/>
      <c r="DI75" s="37"/>
      <c r="DJ75" s="932"/>
      <c r="DK75" s="932"/>
      <c r="DL75" s="932"/>
      <c r="DM75" s="932"/>
      <c r="DN75" s="37"/>
      <c r="DO75" s="37"/>
      <c r="DP75" s="932"/>
      <c r="DQ75" s="37"/>
      <c r="DR75" s="932"/>
      <c r="DS75" s="37"/>
      <c r="DT75" s="932"/>
      <c r="DU75" s="37"/>
      <c r="DV75" s="932"/>
      <c r="DW75" s="37"/>
      <c r="DX75" s="932"/>
      <c r="DY75" s="932"/>
      <c r="DZ75" s="932"/>
      <c r="EA75" s="932"/>
      <c r="EB75" s="37"/>
      <c r="EC75" s="37"/>
      <c r="EE75" s="937"/>
      <c r="EG75" s="938"/>
      <c r="EI75" s="938"/>
      <c r="EK75" s="938"/>
      <c r="EM75" s="938"/>
      <c r="EO75" s="938"/>
      <c r="EQ75" s="938"/>
      <c r="ES75" s="938"/>
      <c r="EU75" s="938"/>
      <c r="EW75" s="938"/>
      <c r="EY75" s="938"/>
      <c r="FA75" s="938"/>
      <c r="FC75" s="938"/>
      <c r="FE75" s="938"/>
      <c r="FG75" s="938"/>
      <c r="FI75" s="938"/>
      <c r="FK75" s="938"/>
      <c r="FM75" s="938"/>
      <c r="FO75" s="938"/>
      <c r="FQ75" s="938"/>
      <c r="FS75" s="938"/>
      <c r="FU75" s="938"/>
      <c r="FW75" s="938"/>
      <c r="FY75" s="938"/>
      <c r="GA75" s="938"/>
      <c r="GC75" s="938"/>
      <c r="GE75" s="938"/>
      <c r="GG75" s="938"/>
      <c r="GI75" s="938"/>
      <c r="GK75" s="938"/>
      <c r="GM75" s="938"/>
      <c r="GO75" s="938"/>
      <c r="GQ75" s="938"/>
      <c r="GS75" s="938"/>
      <c r="GU75" s="938"/>
      <c r="GW75" s="938"/>
      <c r="GY75" s="938"/>
      <c r="HA75" s="938"/>
      <c r="HC75" s="938"/>
      <c r="HE75" s="938"/>
      <c r="HG75" s="938"/>
      <c r="HI75" s="938"/>
      <c r="HK75" s="938"/>
      <c r="HM75" s="938"/>
      <c r="HO75" s="938"/>
      <c r="HQ75" s="938"/>
      <c r="HS75" s="938"/>
      <c r="HU75" s="938"/>
      <c r="HW75" s="938"/>
      <c r="HY75" s="938"/>
      <c r="IA75" s="938"/>
      <c r="IC75" s="938"/>
      <c r="IE75" s="938"/>
      <c r="IG75" s="938"/>
      <c r="II75" s="938"/>
      <c r="IK75" s="938"/>
      <c r="IM75" s="938"/>
      <c r="IO75" s="938"/>
      <c r="IQ75" s="938"/>
      <c r="IS75" s="938"/>
      <c r="IT75" s="932"/>
      <c r="IU75" s="938"/>
      <c r="IW75" s="939"/>
      <c r="IX75" s="938"/>
      <c r="IY75" s="938"/>
      <c r="IZ75" s="938"/>
      <c r="JB75" s="940"/>
      <c r="JC75" s="940"/>
      <c r="JD75" s="940"/>
      <c r="JE75" s="940"/>
      <c r="JF75" s="940"/>
      <c r="JG75" s="940"/>
      <c r="JH75" s="940"/>
      <c r="JI75" s="940"/>
      <c r="JJ75" s="940"/>
      <c r="JK75" s="940"/>
      <c r="JL75" s="940"/>
      <c r="JM75" s="940"/>
      <c r="JN75" s="940"/>
      <c r="JO75" s="940"/>
      <c r="JP75" s="940"/>
      <c r="JQ75" s="940"/>
      <c r="JR75" s="940"/>
      <c r="JS75" s="940"/>
      <c r="JT75" s="940"/>
      <c r="JU75" s="940"/>
      <c r="JV75" s="940"/>
      <c r="JW75" s="940"/>
      <c r="JX75" s="940"/>
      <c r="JY75" s="940"/>
      <c r="JZ75" s="940"/>
      <c r="KA75" s="940"/>
      <c r="KB75" s="940"/>
      <c r="KC75" s="940"/>
      <c r="KD75" s="940"/>
      <c r="KE75" s="940"/>
      <c r="KF75" s="940"/>
      <c r="KG75" s="940"/>
      <c r="KH75" s="940"/>
      <c r="KI75" s="940"/>
      <c r="KJ75" s="940"/>
      <c r="KK75" s="940"/>
      <c r="KL75" s="940"/>
      <c r="KM75" s="940"/>
      <c r="KN75" s="940"/>
      <c r="KO75" s="940"/>
      <c r="KP75" s="940"/>
      <c r="KQ75" s="940"/>
      <c r="KR75" s="940"/>
      <c r="KS75" s="940"/>
      <c r="KT75" s="940"/>
      <c r="KU75" s="940"/>
      <c r="KV75" s="940"/>
      <c r="KW75" s="940"/>
      <c r="KX75" s="940"/>
      <c r="KY75" s="940"/>
      <c r="KZ75" s="940"/>
      <c r="LA75" s="940"/>
      <c r="LB75" s="940"/>
      <c r="LC75" s="940"/>
      <c r="LD75" s="940"/>
      <c r="LE75" s="940"/>
      <c r="LF75" s="940"/>
      <c r="LG75" s="940"/>
      <c r="LH75" s="940"/>
    </row>
    <row r="76" spans="1:356" s="462" customFormat="1" ht="15" hidden="1" customHeight="1" outlineLevel="1" x14ac:dyDescent="0.25">
      <c r="A76" s="1205">
        <v>39958</v>
      </c>
      <c r="B76" s="1205"/>
      <c r="C76" s="463"/>
      <c r="D76" s="463"/>
      <c r="H76" s="932"/>
      <c r="I76" s="37"/>
      <c r="J76" s="932"/>
      <c r="K76" s="37"/>
      <c r="L76" s="932"/>
      <c r="M76" s="37"/>
      <c r="N76" s="932"/>
      <c r="O76" s="37"/>
      <c r="P76" s="932"/>
      <c r="Q76" s="37"/>
      <c r="R76" s="932"/>
      <c r="S76" s="37"/>
      <c r="T76" s="37"/>
      <c r="U76" s="37"/>
      <c r="V76" s="932"/>
      <c r="W76" s="37"/>
      <c r="X76" s="932"/>
      <c r="Y76" s="37"/>
      <c r="Z76" s="932"/>
      <c r="AA76" s="37"/>
      <c r="AB76" s="932"/>
      <c r="AC76" s="37"/>
      <c r="AD76" s="932"/>
      <c r="AE76" s="37"/>
      <c r="AF76" s="932"/>
      <c r="AG76" s="37"/>
      <c r="AH76" s="37"/>
      <c r="AI76" s="37"/>
      <c r="AJ76" s="932"/>
      <c r="AK76" s="37"/>
      <c r="AL76" s="932"/>
      <c r="AM76" s="37"/>
      <c r="AN76" s="932"/>
      <c r="AO76" s="37"/>
      <c r="AP76" s="932"/>
      <c r="AQ76" s="37"/>
      <c r="AR76" s="37"/>
      <c r="AS76" s="37"/>
      <c r="AT76" s="37"/>
      <c r="AU76" s="37"/>
      <c r="AV76" s="37"/>
      <c r="AW76" s="37"/>
      <c r="AX76" s="932"/>
      <c r="AY76" s="37"/>
      <c r="AZ76" s="932"/>
      <c r="BA76" s="37"/>
      <c r="BB76" s="932"/>
      <c r="BC76" s="37"/>
      <c r="BD76" s="932"/>
      <c r="BE76" s="37"/>
      <c r="BF76" s="932"/>
      <c r="BG76" s="37"/>
      <c r="BH76" s="37"/>
      <c r="BI76" s="37"/>
      <c r="BJ76" s="37"/>
      <c r="BK76" s="37"/>
      <c r="BL76" s="932"/>
      <c r="BM76" s="37"/>
      <c r="BN76" s="932"/>
      <c r="BO76" s="37"/>
      <c r="BP76" s="932"/>
      <c r="BQ76" s="37"/>
      <c r="BR76" s="932"/>
      <c r="BS76" s="37"/>
      <c r="BT76" s="932"/>
      <c r="BU76" s="932"/>
      <c r="BV76" s="932"/>
      <c r="BW76" s="932"/>
      <c r="BX76" s="37"/>
      <c r="BY76" s="37"/>
      <c r="BZ76" s="932"/>
      <c r="CA76" s="37"/>
      <c r="CB76" s="932"/>
      <c r="CC76" s="37"/>
      <c r="CD76" s="932"/>
      <c r="CE76" s="37"/>
      <c r="CF76" s="932"/>
      <c r="CG76" s="37"/>
      <c r="CH76" s="932"/>
      <c r="CI76" s="932"/>
      <c r="CJ76" s="932"/>
      <c r="CK76" s="932"/>
      <c r="CL76" s="37"/>
      <c r="CM76" s="37"/>
      <c r="CN76" s="932"/>
      <c r="CO76" s="37"/>
      <c r="CP76" s="932"/>
      <c r="CQ76" s="37"/>
      <c r="CR76" s="932"/>
      <c r="CS76" s="37"/>
      <c r="CT76" s="932"/>
      <c r="CU76" s="37"/>
      <c r="CV76" s="932"/>
      <c r="CW76" s="932"/>
      <c r="CX76" s="932"/>
      <c r="CY76" s="932"/>
      <c r="CZ76" s="37"/>
      <c r="DA76" s="37"/>
      <c r="DB76" s="932"/>
      <c r="DC76" s="37"/>
      <c r="DD76" s="932"/>
      <c r="DE76" s="37"/>
      <c r="DF76" s="932"/>
      <c r="DG76" s="37"/>
      <c r="DH76" s="932"/>
      <c r="DI76" s="37"/>
      <c r="DJ76" s="932"/>
      <c r="DK76" s="932"/>
      <c r="DL76" s="932"/>
      <c r="DM76" s="932"/>
      <c r="DN76" s="37"/>
      <c r="DO76" s="37"/>
      <c r="DP76" s="932"/>
      <c r="DQ76" s="37"/>
      <c r="DR76" s="932"/>
      <c r="DS76" s="37"/>
      <c r="DT76" s="932"/>
      <c r="DU76" s="37"/>
      <c r="DV76" s="932"/>
      <c r="DW76" s="37"/>
      <c r="DX76" s="932"/>
      <c r="DY76" s="932"/>
      <c r="DZ76" s="932"/>
      <c r="EA76" s="932"/>
      <c r="EB76" s="37"/>
      <c r="EC76" s="37"/>
      <c r="EE76" s="937"/>
      <c r="EG76" s="938"/>
      <c r="EI76" s="938"/>
      <c r="EK76" s="938"/>
      <c r="EM76" s="938"/>
      <c r="EO76" s="938"/>
      <c r="EQ76" s="938"/>
      <c r="ES76" s="938"/>
      <c r="EU76" s="938"/>
      <c r="EW76" s="938"/>
      <c r="EY76" s="938"/>
      <c r="FA76" s="938"/>
      <c r="FC76" s="938"/>
      <c r="FE76" s="938"/>
      <c r="FG76" s="938"/>
      <c r="FI76" s="938"/>
      <c r="FK76" s="938"/>
      <c r="FM76" s="938"/>
      <c r="FO76" s="938"/>
      <c r="FQ76" s="938"/>
      <c r="FS76" s="938"/>
      <c r="FU76" s="938"/>
      <c r="FW76" s="938"/>
      <c r="FY76" s="938"/>
      <c r="GA76" s="938"/>
      <c r="GC76" s="938"/>
      <c r="GE76" s="938"/>
      <c r="GG76" s="938"/>
      <c r="GI76" s="938"/>
      <c r="GK76" s="938"/>
      <c r="GM76" s="938"/>
      <c r="GO76" s="938"/>
      <c r="GQ76" s="938"/>
      <c r="GS76" s="938"/>
      <c r="GU76" s="938"/>
      <c r="GW76" s="938"/>
      <c r="GY76" s="938"/>
      <c r="HA76" s="938"/>
      <c r="HC76" s="938"/>
      <c r="HE76" s="938"/>
      <c r="HG76" s="938"/>
      <c r="HI76" s="938"/>
      <c r="HK76" s="938"/>
      <c r="HM76" s="938"/>
      <c r="HO76" s="938"/>
      <c r="HQ76" s="938"/>
      <c r="HS76" s="938"/>
      <c r="HU76" s="938"/>
      <c r="HW76" s="938"/>
      <c r="HY76" s="938"/>
      <c r="IA76" s="938"/>
      <c r="IC76" s="938"/>
      <c r="IE76" s="938"/>
      <c r="IG76" s="938"/>
      <c r="II76" s="938"/>
      <c r="IK76" s="938"/>
      <c r="IM76" s="938"/>
      <c r="IO76" s="938"/>
      <c r="IQ76" s="938"/>
      <c r="IS76" s="938"/>
      <c r="IT76" s="932"/>
      <c r="IU76" s="938"/>
      <c r="IW76" s="939"/>
      <c r="IX76" s="938"/>
      <c r="IY76" s="938"/>
      <c r="IZ76" s="938"/>
      <c r="JB76" s="940"/>
      <c r="JC76" s="940"/>
      <c r="JD76" s="940"/>
      <c r="JE76" s="940"/>
      <c r="JF76" s="940"/>
      <c r="JG76" s="940"/>
      <c r="JH76" s="940"/>
      <c r="JI76" s="940"/>
      <c r="JJ76" s="940"/>
      <c r="JK76" s="940"/>
      <c r="JL76" s="940"/>
      <c r="JM76" s="940"/>
      <c r="JN76" s="940"/>
      <c r="JO76" s="940"/>
      <c r="JP76" s="940"/>
      <c r="JQ76" s="940"/>
      <c r="JR76" s="940"/>
      <c r="JS76" s="940"/>
      <c r="JT76" s="940"/>
      <c r="JU76" s="940"/>
      <c r="JV76" s="940"/>
      <c r="JW76" s="940"/>
      <c r="JX76" s="940"/>
      <c r="JY76" s="940"/>
      <c r="JZ76" s="940"/>
      <c r="KA76" s="940"/>
      <c r="KB76" s="940"/>
      <c r="KC76" s="940"/>
      <c r="KD76" s="940"/>
      <c r="KE76" s="940"/>
      <c r="KF76" s="940"/>
      <c r="KG76" s="940"/>
      <c r="KH76" s="940"/>
      <c r="KI76" s="940"/>
      <c r="KJ76" s="940"/>
      <c r="KK76" s="940"/>
      <c r="KL76" s="940"/>
      <c r="KM76" s="940"/>
      <c r="KN76" s="940"/>
      <c r="KO76" s="940"/>
      <c r="KP76" s="940"/>
      <c r="KQ76" s="940"/>
      <c r="KR76" s="940"/>
      <c r="KS76" s="940"/>
      <c r="KT76" s="940"/>
      <c r="KU76" s="940"/>
      <c r="KV76" s="940"/>
      <c r="KW76" s="940"/>
      <c r="KX76" s="940"/>
      <c r="KY76" s="940"/>
      <c r="KZ76" s="940"/>
      <c r="LA76" s="940"/>
      <c r="LB76" s="940"/>
      <c r="LC76" s="940"/>
      <c r="LD76" s="940"/>
      <c r="LE76" s="940"/>
      <c r="LF76" s="940"/>
      <c r="LG76" s="940"/>
      <c r="LH76" s="940"/>
    </row>
    <row r="77" spans="1:356" s="462" customFormat="1" ht="15" hidden="1" customHeight="1" outlineLevel="1" x14ac:dyDescent="0.25">
      <c r="A77" s="1205">
        <v>39997</v>
      </c>
      <c r="B77" s="1205"/>
      <c r="C77" s="463"/>
      <c r="D77" s="463"/>
      <c r="H77" s="932"/>
      <c r="I77" s="37"/>
      <c r="J77" s="932"/>
      <c r="K77" s="37"/>
      <c r="L77" s="932"/>
      <c r="M77" s="37"/>
      <c r="N77" s="932"/>
      <c r="O77" s="37"/>
      <c r="P77" s="932"/>
      <c r="Q77" s="37"/>
      <c r="R77" s="932"/>
      <c r="S77" s="37"/>
      <c r="T77" s="37"/>
      <c r="U77" s="37"/>
      <c r="V77" s="932"/>
      <c r="W77" s="37"/>
      <c r="X77" s="932"/>
      <c r="Y77" s="37"/>
      <c r="Z77" s="932"/>
      <c r="AA77" s="37"/>
      <c r="AB77" s="932"/>
      <c r="AC77" s="37"/>
      <c r="AD77" s="932"/>
      <c r="AE77" s="37"/>
      <c r="AF77" s="932"/>
      <c r="AG77" s="37"/>
      <c r="AH77" s="37"/>
      <c r="AI77" s="37"/>
      <c r="AJ77" s="932"/>
      <c r="AK77" s="37"/>
      <c r="AL77" s="932"/>
      <c r="AM77" s="37"/>
      <c r="AN77" s="932"/>
      <c r="AO77" s="37"/>
      <c r="AP77" s="932"/>
      <c r="AQ77" s="37"/>
      <c r="AR77" s="37"/>
      <c r="AS77" s="37"/>
      <c r="AT77" s="37"/>
      <c r="AU77" s="37"/>
      <c r="AV77" s="37"/>
      <c r="AW77" s="37"/>
      <c r="AX77" s="932"/>
      <c r="AY77" s="37"/>
      <c r="AZ77" s="932"/>
      <c r="BA77" s="37"/>
      <c r="BB77" s="932"/>
      <c r="BC77" s="37"/>
      <c r="BD77" s="932"/>
      <c r="BE77" s="37"/>
      <c r="BF77" s="932"/>
      <c r="BG77" s="37"/>
      <c r="BH77" s="37"/>
      <c r="BI77" s="37"/>
      <c r="BJ77" s="37"/>
      <c r="BK77" s="37"/>
      <c r="BL77" s="932"/>
      <c r="BM77" s="37"/>
      <c r="BN77" s="932"/>
      <c r="BO77" s="37"/>
      <c r="BP77" s="932"/>
      <c r="BQ77" s="37"/>
      <c r="BR77" s="932"/>
      <c r="BS77" s="37"/>
      <c r="BT77" s="932"/>
      <c r="BU77" s="932"/>
      <c r="BV77" s="932"/>
      <c r="BW77" s="932"/>
      <c r="BX77" s="37"/>
      <c r="BY77" s="37"/>
      <c r="BZ77" s="932"/>
      <c r="CA77" s="37"/>
      <c r="CB77" s="932"/>
      <c r="CC77" s="37"/>
      <c r="CD77" s="932"/>
      <c r="CE77" s="37"/>
      <c r="CF77" s="932"/>
      <c r="CG77" s="37"/>
      <c r="CH77" s="932"/>
      <c r="CI77" s="932"/>
      <c r="CJ77" s="932"/>
      <c r="CK77" s="932"/>
      <c r="CL77" s="37"/>
      <c r="CM77" s="37"/>
      <c r="CN77" s="932"/>
      <c r="CO77" s="37"/>
      <c r="CP77" s="932"/>
      <c r="CQ77" s="37"/>
      <c r="CR77" s="932"/>
      <c r="CS77" s="37"/>
      <c r="CT77" s="932"/>
      <c r="CU77" s="37"/>
      <c r="CV77" s="932"/>
      <c r="CW77" s="932"/>
      <c r="CX77" s="932"/>
      <c r="CY77" s="932"/>
      <c r="CZ77" s="37"/>
      <c r="DA77" s="37"/>
      <c r="DB77" s="932"/>
      <c r="DC77" s="37"/>
      <c r="DD77" s="932"/>
      <c r="DE77" s="37"/>
      <c r="DF77" s="932"/>
      <c r="DG77" s="37"/>
      <c r="DH77" s="932"/>
      <c r="DI77" s="37"/>
      <c r="DJ77" s="932"/>
      <c r="DK77" s="932"/>
      <c r="DL77" s="932"/>
      <c r="DM77" s="932"/>
      <c r="DN77" s="37"/>
      <c r="DO77" s="37"/>
      <c r="DP77" s="932"/>
      <c r="DQ77" s="37"/>
      <c r="DR77" s="932"/>
      <c r="DS77" s="37"/>
      <c r="DT77" s="932"/>
      <c r="DU77" s="37"/>
      <c r="DV77" s="932"/>
      <c r="DW77" s="37"/>
      <c r="DX77" s="932"/>
      <c r="DY77" s="932"/>
      <c r="DZ77" s="932"/>
      <c r="EA77" s="932"/>
      <c r="EB77" s="37"/>
      <c r="EC77" s="37"/>
      <c r="EE77" s="937"/>
      <c r="EG77" s="938"/>
      <c r="EI77" s="938"/>
      <c r="EK77" s="938"/>
      <c r="EM77" s="938"/>
      <c r="EO77" s="938"/>
      <c r="EQ77" s="938"/>
      <c r="ES77" s="938"/>
      <c r="EU77" s="938"/>
      <c r="EW77" s="938"/>
      <c r="EY77" s="938"/>
      <c r="FA77" s="938"/>
      <c r="FC77" s="938"/>
      <c r="FE77" s="938"/>
      <c r="FG77" s="938"/>
      <c r="FI77" s="938"/>
      <c r="FK77" s="938"/>
      <c r="FM77" s="938"/>
      <c r="FO77" s="938"/>
      <c r="FQ77" s="938"/>
      <c r="FS77" s="938"/>
      <c r="FU77" s="938"/>
      <c r="FW77" s="938"/>
      <c r="FY77" s="938"/>
      <c r="GA77" s="938"/>
      <c r="GC77" s="938"/>
      <c r="GE77" s="938"/>
      <c r="GG77" s="938"/>
      <c r="GI77" s="938"/>
      <c r="GK77" s="938"/>
      <c r="GM77" s="938"/>
      <c r="GO77" s="938"/>
      <c r="GQ77" s="938"/>
      <c r="GS77" s="938"/>
      <c r="GU77" s="938"/>
      <c r="GW77" s="938"/>
      <c r="GY77" s="938"/>
      <c r="HA77" s="938"/>
      <c r="HC77" s="938"/>
      <c r="HE77" s="938"/>
      <c r="HG77" s="938"/>
      <c r="HI77" s="938"/>
      <c r="HK77" s="938"/>
      <c r="HM77" s="938"/>
      <c r="HO77" s="938"/>
      <c r="HQ77" s="938"/>
      <c r="HS77" s="938"/>
      <c r="HU77" s="938"/>
      <c r="HW77" s="938"/>
      <c r="HY77" s="938"/>
      <c r="IA77" s="938"/>
      <c r="IC77" s="938"/>
      <c r="IE77" s="938"/>
      <c r="IG77" s="938"/>
      <c r="II77" s="938"/>
      <c r="IK77" s="938"/>
      <c r="IM77" s="938"/>
      <c r="IO77" s="938"/>
      <c r="IQ77" s="938"/>
      <c r="IS77" s="938"/>
      <c r="IT77" s="932"/>
      <c r="IU77" s="938"/>
      <c r="IW77" s="939"/>
      <c r="IX77" s="938"/>
      <c r="IY77" s="938"/>
      <c r="IZ77" s="938"/>
      <c r="JB77" s="940"/>
      <c r="JC77" s="940"/>
      <c r="JD77" s="940"/>
      <c r="JE77" s="940"/>
      <c r="JF77" s="940"/>
      <c r="JG77" s="940"/>
      <c r="JH77" s="940"/>
      <c r="JI77" s="940"/>
      <c r="JJ77" s="940"/>
      <c r="JK77" s="940"/>
      <c r="JL77" s="940"/>
      <c r="JM77" s="940"/>
      <c r="JN77" s="940"/>
      <c r="JO77" s="940"/>
      <c r="JP77" s="940"/>
      <c r="JQ77" s="940"/>
      <c r="JR77" s="940"/>
      <c r="JS77" s="940"/>
      <c r="JT77" s="940"/>
      <c r="JU77" s="940"/>
      <c r="JV77" s="940"/>
      <c r="JW77" s="940"/>
      <c r="JX77" s="940"/>
      <c r="JY77" s="940"/>
      <c r="JZ77" s="940"/>
      <c r="KA77" s="940"/>
      <c r="KB77" s="940"/>
      <c r="KC77" s="940"/>
      <c r="KD77" s="940"/>
      <c r="KE77" s="940"/>
      <c r="KF77" s="940"/>
      <c r="KG77" s="940"/>
      <c r="KH77" s="940"/>
      <c r="KI77" s="940"/>
      <c r="KJ77" s="940"/>
      <c r="KK77" s="940"/>
      <c r="KL77" s="940"/>
      <c r="KM77" s="940"/>
      <c r="KN77" s="940"/>
      <c r="KO77" s="940"/>
      <c r="KP77" s="940"/>
      <c r="KQ77" s="940"/>
      <c r="KR77" s="940"/>
      <c r="KS77" s="940"/>
      <c r="KT77" s="940"/>
      <c r="KU77" s="940"/>
      <c r="KV77" s="940"/>
      <c r="KW77" s="940"/>
      <c r="KX77" s="940"/>
      <c r="KY77" s="940"/>
      <c r="KZ77" s="940"/>
      <c r="LA77" s="940"/>
      <c r="LB77" s="940"/>
      <c r="LC77" s="940"/>
      <c r="LD77" s="940"/>
      <c r="LE77" s="940"/>
      <c r="LF77" s="940"/>
      <c r="LG77" s="940"/>
      <c r="LH77" s="940"/>
    </row>
    <row r="78" spans="1:356" s="462" customFormat="1" ht="15" hidden="1" customHeight="1" outlineLevel="1" x14ac:dyDescent="0.25">
      <c r="A78" s="1205">
        <v>40063</v>
      </c>
      <c r="B78" s="1205"/>
      <c r="C78" s="463"/>
      <c r="D78" s="463"/>
      <c r="H78" s="932"/>
      <c r="I78" s="37"/>
      <c r="J78" s="932"/>
      <c r="K78" s="37"/>
      <c r="L78" s="932"/>
      <c r="M78" s="37"/>
      <c r="N78" s="932"/>
      <c r="O78" s="37"/>
      <c r="P78" s="932"/>
      <c r="Q78" s="37"/>
      <c r="R78" s="932"/>
      <c r="S78" s="37"/>
      <c r="T78" s="37"/>
      <c r="U78" s="37"/>
      <c r="V78" s="932"/>
      <c r="W78" s="37"/>
      <c r="X78" s="932"/>
      <c r="Y78" s="37"/>
      <c r="Z78" s="932"/>
      <c r="AA78" s="37"/>
      <c r="AB78" s="932"/>
      <c r="AC78" s="37"/>
      <c r="AD78" s="932"/>
      <c r="AE78" s="37"/>
      <c r="AF78" s="932"/>
      <c r="AG78" s="37"/>
      <c r="AH78" s="37"/>
      <c r="AI78" s="37"/>
      <c r="AJ78" s="932"/>
      <c r="AK78" s="37"/>
      <c r="AL78" s="932"/>
      <c r="AM78" s="37"/>
      <c r="AN78" s="932"/>
      <c r="AO78" s="37"/>
      <c r="AP78" s="932"/>
      <c r="AQ78" s="37"/>
      <c r="AR78" s="37"/>
      <c r="AS78" s="37"/>
      <c r="AT78" s="37"/>
      <c r="AU78" s="37"/>
      <c r="AV78" s="37"/>
      <c r="AW78" s="37"/>
      <c r="AX78" s="932"/>
      <c r="AY78" s="37"/>
      <c r="AZ78" s="932"/>
      <c r="BA78" s="37"/>
      <c r="BB78" s="932"/>
      <c r="BC78" s="37"/>
      <c r="BD78" s="932"/>
      <c r="BE78" s="37"/>
      <c r="BF78" s="932"/>
      <c r="BG78" s="37"/>
      <c r="BH78" s="37"/>
      <c r="BI78" s="37"/>
      <c r="BJ78" s="37"/>
      <c r="BK78" s="37"/>
      <c r="BL78" s="932"/>
      <c r="BM78" s="37"/>
      <c r="BN78" s="932"/>
      <c r="BO78" s="37"/>
      <c r="BP78" s="932"/>
      <c r="BQ78" s="37"/>
      <c r="BR78" s="932"/>
      <c r="BS78" s="37"/>
      <c r="BT78" s="932"/>
      <c r="BU78" s="932"/>
      <c r="BV78" s="932"/>
      <c r="BW78" s="932"/>
      <c r="BX78" s="37"/>
      <c r="BY78" s="37"/>
      <c r="BZ78" s="932"/>
      <c r="CA78" s="37"/>
      <c r="CB78" s="932"/>
      <c r="CC78" s="37"/>
      <c r="CD78" s="932"/>
      <c r="CE78" s="37"/>
      <c r="CF78" s="932"/>
      <c r="CG78" s="37"/>
      <c r="CH78" s="932"/>
      <c r="CI78" s="932"/>
      <c r="CJ78" s="932"/>
      <c r="CK78" s="932"/>
      <c r="CL78" s="37"/>
      <c r="CM78" s="37"/>
      <c r="CN78" s="932"/>
      <c r="CO78" s="37"/>
      <c r="CP78" s="932"/>
      <c r="CQ78" s="37"/>
      <c r="CR78" s="932"/>
      <c r="CS78" s="37"/>
      <c r="CT78" s="932"/>
      <c r="CU78" s="37"/>
      <c r="CV78" s="932"/>
      <c r="CW78" s="932"/>
      <c r="CX78" s="932"/>
      <c r="CY78" s="932"/>
      <c r="CZ78" s="37"/>
      <c r="DA78" s="37"/>
      <c r="DB78" s="932"/>
      <c r="DC78" s="37"/>
      <c r="DD78" s="932"/>
      <c r="DE78" s="37"/>
      <c r="DF78" s="932"/>
      <c r="DG78" s="37"/>
      <c r="DH78" s="932"/>
      <c r="DI78" s="37"/>
      <c r="DJ78" s="932"/>
      <c r="DK78" s="932"/>
      <c r="DL78" s="932"/>
      <c r="DM78" s="932"/>
      <c r="DN78" s="37"/>
      <c r="DO78" s="37"/>
      <c r="DP78" s="932"/>
      <c r="DQ78" s="37"/>
      <c r="DR78" s="932"/>
      <c r="DS78" s="37"/>
      <c r="DT78" s="932"/>
      <c r="DU78" s="37"/>
      <c r="DV78" s="932"/>
      <c r="DW78" s="37"/>
      <c r="DX78" s="932"/>
      <c r="DY78" s="932"/>
      <c r="DZ78" s="932"/>
      <c r="EA78" s="932"/>
      <c r="EB78" s="37"/>
      <c r="EC78" s="37"/>
      <c r="EE78" s="937"/>
      <c r="EG78" s="938"/>
      <c r="EI78" s="938"/>
      <c r="EK78" s="938"/>
      <c r="EM78" s="938"/>
      <c r="EO78" s="938"/>
      <c r="EQ78" s="938"/>
      <c r="ES78" s="938"/>
      <c r="EU78" s="938"/>
      <c r="EW78" s="938"/>
      <c r="EY78" s="938"/>
      <c r="FA78" s="938"/>
      <c r="FC78" s="938"/>
      <c r="FE78" s="938"/>
      <c r="FG78" s="938"/>
      <c r="FI78" s="938"/>
      <c r="FK78" s="938"/>
      <c r="FM78" s="938"/>
      <c r="FO78" s="938"/>
      <c r="FQ78" s="938"/>
      <c r="FS78" s="938"/>
      <c r="FU78" s="938"/>
      <c r="FW78" s="938"/>
      <c r="FY78" s="938"/>
      <c r="GA78" s="938"/>
      <c r="GC78" s="938"/>
      <c r="GE78" s="938"/>
      <c r="GG78" s="938"/>
      <c r="GI78" s="938"/>
      <c r="GK78" s="938"/>
      <c r="GM78" s="938"/>
      <c r="GO78" s="938"/>
      <c r="GQ78" s="938"/>
      <c r="GS78" s="938"/>
      <c r="GU78" s="938"/>
      <c r="GW78" s="938"/>
      <c r="GY78" s="938"/>
      <c r="HA78" s="938"/>
      <c r="HC78" s="938"/>
      <c r="HE78" s="938"/>
      <c r="HG78" s="938"/>
      <c r="HI78" s="938"/>
      <c r="HK78" s="938"/>
      <c r="HM78" s="938"/>
      <c r="HO78" s="938"/>
      <c r="HQ78" s="938"/>
      <c r="HS78" s="938"/>
      <c r="HU78" s="938"/>
      <c r="HW78" s="938"/>
      <c r="HY78" s="938"/>
      <c r="IA78" s="938"/>
      <c r="IC78" s="938"/>
      <c r="IE78" s="938"/>
      <c r="IG78" s="938"/>
      <c r="II78" s="938"/>
      <c r="IK78" s="938"/>
      <c r="IM78" s="938"/>
      <c r="IO78" s="938"/>
      <c r="IQ78" s="938"/>
      <c r="IS78" s="938"/>
      <c r="IT78" s="932"/>
      <c r="IU78" s="938"/>
      <c r="IW78" s="939"/>
      <c r="IX78" s="938"/>
      <c r="IY78" s="938"/>
      <c r="IZ78" s="938"/>
      <c r="JB78" s="940"/>
      <c r="JC78" s="940"/>
      <c r="JD78" s="940"/>
      <c r="JE78" s="940"/>
      <c r="JF78" s="940"/>
      <c r="JG78" s="940"/>
      <c r="JH78" s="940"/>
      <c r="JI78" s="940"/>
      <c r="JJ78" s="940"/>
      <c r="JK78" s="940"/>
      <c r="JL78" s="940"/>
      <c r="JM78" s="940"/>
      <c r="JN78" s="940"/>
      <c r="JO78" s="940"/>
      <c r="JP78" s="940"/>
      <c r="JQ78" s="940"/>
      <c r="JR78" s="940"/>
      <c r="JS78" s="940"/>
      <c r="JT78" s="940"/>
      <c r="JU78" s="940"/>
      <c r="JV78" s="940"/>
      <c r="JW78" s="940"/>
      <c r="JX78" s="940"/>
      <c r="JY78" s="940"/>
      <c r="JZ78" s="940"/>
      <c r="KA78" s="940"/>
      <c r="KB78" s="940"/>
      <c r="KC78" s="940"/>
      <c r="KD78" s="940"/>
      <c r="KE78" s="940"/>
      <c r="KF78" s="940"/>
      <c r="KG78" s="940"/>
      <c r="KH78" s="940"/>
      <c r="KI78" s="940"/>
      <c r="KJ78" s="940"/>
      <c r="KK78" s="940"/>
      <c r="KL78" s="940"/>
      <c r="KM78" s="940"/>
      <c r="KN78" s="940"/>
      <c r="KO78" s="940"/>
      <c r="KP78" s="940"/>
      <c r="KQ78" s="940"/>
      <c r="KR78" s="940"/>
      <c r="KS78" s="940"/>
      <c r="KT78" s="940"/>
      <c r="KU78" s="940"/>
      <c r="KV78" s="940"/>
      <c r="KW78" s="940"/>
      <c r="KX78" s="940"/>
      <c r="KY78" s="940"/>
      <c r="KZ78" s="940"/>
      <c r="LA78" s="940"/>
      <c r="LB78" s="940"/>
      <c r="LC78" s="940"/>
      <c r="LD78" s="940"/>
      <c r="LE78" s="940"/>
      <c r="LF78" s="940"/>
      <c r="LG78" s="940"/>
      <c r="LH78" s="940"/>
    </row>
    <row r="79" spans="1:356" s="462" customFormat="1" ht="15" hidden="1" customHeight="1" outlineLevel="1" x14ac:dyDescent="0.25">
      <c r="A79" s="1205">
        <v>40128</v>
      </c>
      <c r="B79" s="1205"/>
      <c r="C79" s="463"/>
      <c r="D79" s="463"/>
      <c r="H79" s="932"/>
      <c r="I79" s="37"/>
      <c r="J79" s="932"/>
      <c r="K79" s="37"/>
      <c r="L79" s="932"/>
      <c r="M79" s="37"/>
      <c r="N79" s="932"/>
      <c r="O79" s="37"/>
      <c r="P79" s="932"/>
      <c r="Q79" s="37"/>
      <c r="R79" s="932"/>
      <c r="S79" s="37"/>
      <c r="T79" s="37"/>
      <c r="U79" s="37"/>
      <c r="V79" s="932"/>
      <c r="W79" s="37"/>
      <c r="X79" s="932"/>
      <c r="Y79" s="37"/>
      <c r="Z79" s="932"/>
      <c r="AA79" s="37"/>
      <c r="AB79" s="932"/>
      <c r="AC79" s="37"/>
      <c r="AD79" s="932"/>
      <c r="AE79" s="37"/>
      <c r="AF79" s="932"/>
      <c r="AG79" s="37"/>
      <c r="AH79" s="37"/>
      <c r="AI79" s="37"/>
      <c r="AJ79" s="932"/>
      <c r="AK79" s="37"/>
      <c r="AL79" s="932"/>
      <c r="AM79" s="37"/>
      <c r="AN79" s="932"/>
      <c r="AO79" s="37"/>
      <c r="AP79" s="932"/>
      <c r="AQ79" s="37"/>
      <c r="AR79" s="37"/>
      <c r="AS79" s="37"/>
      <c r="AT79" s="37"/>
      <c r="AU79" s="37"/>
      <c r="AV79" s="37"/>
      <c r="AW79" s="37"/>
      <c r="AX79" s="932"/>
      <c r="AY79" s="37"/>
      <c r="AZ79" s="932"/>
      <c r="BA79" s="37"/>
      <c r="BB79" s="932"/>
      <c r="BC79" s="37"/>
      <c r="BD79" s="932"/>
      <c r="BE79" s="37"/>
      <c r="BF79" s="932"/>
      <c r="BG79" s="37"/>
      <c r="BH79" s="37"/>
      <c r="BI79" s="37"/>
      <c r="BJ79" s="37"/>
      <c r="BK79" s="37"/>
      <c r="BL79" s="932"/>
      <c r="BM79" s="37"/>
      <c r="BN79" s="932"/>
      <c r="BO79" s="37"/>
      <c r="BP79" s="932"/>
      <c r="BQ79" s="37"/>
      <c r="BR79" s="932"/>
      <c r="BS79" s="37"/>
      <c r="BT79" s="932"/>
      <c r="BU79" s="932"/>
      <c r="BV79" s="932"/>
      <c r="BW79" s="932"/>
      <c r="BX79" s="37"/>
      <c r="BY79" s="37"/>
      <c r="BZ79" s="932"/>
      <c r="CA79" s="37"/>
      <c r="CB79" s="932"/>
      <c r="CC79" s="37"/>
      <c r="CD79" s="932"/>
      <c r="CE79" s="37"/>
      <c r="CF79" s="932"/>
      <c r="CG79" s="37"/>
      <c r="CH79" s="932"/>
      <c r="CI79" s="932"/>
      <c r="CJ79" s="932"/>
      <c r="CK79" s="932"/>
      <c r="CL79" s="37"/>
      <c r="CM79" s="37"/>
      <c r="CN79" s="932"/>
      <c r="CO79" s="37"/>
      <c r="CP79" s="932"/>
      <c r="CQ79" s="37"/>
      <c r="CR79" s="932"/>
      <c r="CS79" s="37"/>
      <c r="CT79" s="932"/>
      <c r="CU79" s="37"/>
      <c r="CV79" s="932"/>
      <c r="CW79" s="932"/>
      <c r="CX79" s="932"/>
      <c r="CY79" s="932"/>
      <c r="CZ79" s="37"/>
      <c r="DA79" s="37"/>
      <c r="DB79" s="932"/>
      <c r="DC79" s="37"/>
      <c r="DD79" s="932"/>
      <c r="DE79" s="37"/>
      <c r="DF79" s="932"/>
      <c r="DG79" s="37"/>
      <c r="DH79" s="932"/>
      <c r="DI79" s="37"/>
      <c r="DJ79" s="932"/>
      <c r="DK79" s="932"/>
      <c r="DL79" s="932"/>
      <c r="DM79" s="932"/>
      <c r="DN79" s="37"/>
      <c r="DO79" s="37"/>
      <c r="DP79" s="932"/>
      <c r="DQ79" s="37"/>
      <c r="DR79" s="932"/>
      <c r="DS79" s="37"/>
      <c r="DT79" s="932"/>
      <c r="DU79" s="37"/>
      <c r="DV79" s="932"/>
      <c r="DW79" s="37"/>
      <c r="DX79" s="932"/>
      <c r="DY79" s="932"/>
      <c r="DZ79" s="932"/>
      <c r="EA79" s="932"/>
      <c r="EB79" s="37"/>
      <c r="EC79" s="37"/>
      <c r="EE79" s="937"/>
      <c r="EG79" s="938"/>
      <c r="EI79" s="938"/>
      <c r="EK79" s="938"/>
      <c r="EM79" s="938"/>
      <c r="EO79" s="938"/>
      <c r="EQ79" s="938"/>
      <c r="ES79" s="938"/>
      <c r="EU79" s="938"/>
      <c r="EW79" s="938"/>
      <c r="EY79" s="938"/>
      <c r="FA79" s="938"/>
      <c r="FC79" s="938"/>
      <c r="FE79" s="938"/>
      <c r="FG79" s="938"/>
      <c r="FI79" s="938"/>
      <c r="FK79" s="938"/>
      <c r="FM79" s="938"/>
      <c r="FO79" s="938"/>
      <c r="FQ79" s="938"/>
      <c r="FS79" s="938"/>
      <c r="FU79" s="938"/>
      <c r="FW79" s="938"/>
      <c r="FY79" s="938"/>
      <c r="GA79" s="938"/>
      <c r="GC79" s="938"/>
      <c r="GE79" s="938"/>
      <c r="GG79" s="938"/>
      <c r="GI79" s="938"/>
      <c r="GK79" s="938"/>
      <c r="GM79" s="938"/>
      <c r="GO79" s="938"/>
      <c r="GQ79" s="938"/>
      <c r="GS79" s="938"/>
      <c r="GU79" s="938"/>
      <c r="GW79" s="938"/>
      <c r="GY79" s="938"/>
      <c r="HA79" s="938"/>
      <c r="HC79" s="938"/>
      <c r="HE79" s="938"/>
      <c r="HG79" s="938"/>
      <c r="HI79" s="938"/>
      <c r="HK79" s="938"/>
      <c r="HM79" s="938"/>
      <c r="HO79" s="938"/>
      <c r="HQ79" s="938"/>
      <c r="HS79" s="938"/>
      <c r="HU79" s="938"/>
      <c r="HW79" s="938"/>
      <c r="HY79" s="938"/>
      <c r="IA79" s="938"/>
      <c r="IC79" s="938"/>
      <c r="IE79" s="938"/>
      <c r="IG79" s="938"/>
      <c r="II79" s="938"/>
      <c r="IK79" s="938"/>
      <c r="IM79" s="938"/>
      <c r="IO79" s="938"/>
      <c r="IQ79" s="938"/>
      <c r="IS79" s="938"/>
      <c r="IT79" s="932"/>
      <c r="IU79" s="938"/>
      <c r="IW79" s="939"/>
      <c r="IX79" s="938"/>
      <c r="IY79" s="938"/>
      <c r="IZ79" s="938"/>
      <c r="JB79" s="940"/>
      <c r="JC79" s="940"/>
      <c r="JD79" s="940"/>
      <c r="JE79" s="940"/>
      <c r="JF79" s="940"/>
      <c r="JG79" s="940"/>
      <c r="JH79" s="940"/>
      <c r="JI79" s="940"/>
      <c r="JJ79" s="940"/>
      <c r="JK79" s="940"/>
      <c r="JL79" s="940"/>
      <c r="JM79" s="940"/>
      <c r="JN79" s="940"/>
      <c r="JO79" s="940"/>
      <c r="JP79" s="940"/>
      <c r="JQ79" s="940"/>
      <c r="JR79" s="940"/>
      <c r="JS79" s="940"/>
      <c r="JT79" s="940"/>
      <c r="JU79" s="940"/>
      <c r="JV79" s="940"/>
      <c r="JW79" s="940"/>
      <c r="JX79" s="940"/>
      <c r="JY79" s="940"/>
      <c r="JZ79" s="940"/>
      <c r="KA79" s="940"/>
      <c r="KB79" s="940"/>
      <c r="KC79" s="940"/>
      <c r="KD79" s="940"/>
      <c r="KE79" s="940"/>
      <c r="KF79" s="940"/>
      <c r="KG79" s="940"/>
      <c r="KH79" s="940"/>
      <c r="KI79" s="940"/>
      <c r="KJ79" s="940"/>
      <c r="KK79" s="940"/>
      <c r="KL79" s="940"/>
      <c r="KM79" s="940"/>
      <c r="KN79" s="940"/>
      <c r="KO79" s="940"/>
      <c r="KP79" s="940"/>
      <c r="KQ79" s="940"/>
      <c r="KR79" s="940"/>
      <c r="KS79" s="940"/>
      <c r="KT79" s="940"/>
      <c r="KU79" s="940"/>
      <c r="KV79" s="940"/>
      <c r="KW79" s="940"/>
      <c r="KX79" s="940"/>
      <c r="KY79" s="940"/>
      <c r="KZ79" s="940"/>
      <c r="LA79" s="940"/>
      <c r="LB79" s="940"/>
      <c r="LC79" s="940"/>
      <c r="LD79" s="940"/>
      <c r="LE79" s="940"/>
      <c r="LF79" s="940"/>
      <c r="LG79" s="940"/>
      <c r="LH79" s="940"/>
    </row>
    <row r="80" spans="1:356" s="462" customFormat="1" ht="15" hidden="1" customHeight="1" outlineLevel="1" x14ac:dyDescent="0.25">
      <c r="A80" s="1205">
        <v>40143</v>
      </c>
      <c r="B80" s="1205"/>
      <c r="C80" s="463"/>
      <c r="D80" s="463"/>
      <c r="H80" s="932"/>
      <c r="I80" s="37"/>
      <c r="J80" s="932"/>
      <c r="K80" s="37"/>
      <c r="L80" s="932"/>
      <c r="M80" s="37"/>
      <c r="N80" s="932"/>
      <c r="O80" s="37"/>
      <c r="P80" s="932"/>
      <c r="Q80" s="37"/>
      <c r="R80" s="932"/>
      <c r="S80" s="37"/>
      <c r="T80" s="37"/>
      <c r="U80" s="37"/>
      <c r="V80" s="932"/>
      <c r="W80" s="37"/>
      <c r="X80" s="932"/>
      <c r="Y80" s="37"/>
      <c r="Z80" s="932"/>
      <c r="AA80" s="37"/>
      <c r="AB80" s="932"/>
      <c r="AC80" s="37"/>
      <c r="AD80" s="932"/>
      <c r="AE80" s="37"/>
      <c r="AF80" s="932"/>
      <c r="AG80" s="37"/>
      <c r="AH80" s="37"/>
      <c r="AI80" s="37"/>
      <c r="AJ80" s="932"/>
      <c r="AK80" s="37"/>
      <c r="AL80" s="932"/>
      <c r="AM80" s="37"/>
      <c r="AN80" s="932"/>
      <c r="AO80" s="37"/>
      <c r="AP80" s="932"/>
      <c r="AQ80" s="37"/>
      <c r="AR80" s="37"/>
      <c r="AS80" s="37"/>
      <c r="AT80" s="37"/>
      <c r="AU80" s="37"/>
      <c r="AV80" s="37"/>
      <c r="AW80" s="37"/>
      <c r="AX80" s="932"/>
      <c r="AY80" s="37"/>
      <c r="AZ80" s="932"/>
      <c r="BA80" s="37"/>
      <c r="BB80" s="932"/>
      <c r="BC80" s="37"/>
      <c r="BD80" s="932"/>
      <c r="BE80" s="37"/>
      <c r="BF80" s="932"/>
      <c r="BG80" s="37"/>
      <c r="BH80" s="37"/>
      <c r="BI80" s="37"/>
      <c r="BJ80" s="37"/>
      <c r="BK80" s="37"/>
      <c r="BL80" s="932"/>
      <c r="BM80" s="37"/>
      <c r="BN80" s="932"/>
      <c r="BO80" s="37"/>
      <c r="BP80" s="932"/>
      <c r="BQ80" s="37"/>
      <c r="BR80" s="932"/>
      <c r="BS80" s="37"/>
      <c r="BT80" s="932"/>
      <c r="BU80" s="932"/>
      <c r="BV80" s="932"/>
      <c r="BW80" s="932"/>
      <c r="BX80" s="37"/>
      <c r="BY80" s="37"/>
      <c r="BZ80" s="932"/>
      <c r="CA80" s="37"/>
      <c r="CB80" s="932"/>
      <c r="CC80" s="37"/>
      <c r="CD80" s="932"/>
      <c r="CE80" s="37"/>
      <c r="CF80" s="932"/>
      <c r="CG80" s="37"/>
      <c r="CH80" s="932"/>
      <c r="CI80" s="932"/>
      <c r="CJ80" s="932"/>
      <c r="CK80" s="932"/>
      <c r="CL80" s="37"/>
      <c r="CM80" s="37"/>
      <c r="CN80" s="932"/>
      <c r="CO80" s="37"/>
      <c r="CP80" s="932"/>
      <c r="CQ80" s="37"/>
      <c r="CR80" s="932"/>
      <c r="CS80" s="37"/>
      <c r="CT80" s="932"/>
      <c r="CU80" s="37"/>
      <c r="CV80" s="932"/>
      <c r="CW80" s="932"/>
      <c r="CX80" s="932"/>
      <c r="CY80" s="932"/>
      <c r="CZ80" s="37"/>
      <c r="DA80" s="37"/>
      <c r="DB80" s="932"/>
      <c r="DC80" s="37"/>
      <c r="DD80" s="932"/>
      <c r="DE80" s="37"/>
      <c r="DF80" s="932"/>
      <c r="DG80" s="37"/>
      <c r="DH80" s="932"/>
      <c r="DI80" s="37"/>
      <c r="DJ80" s="932"/>
      <c r="DK80" s="932"/>
      <c r="DL80" s="932"/>
      <c r="DM80" s="932"/>
      <c r="DN80" s="37"/>
      <c r="DO80" s="37"/>
      <c r="DP80" s="932"/>
      <c r="DQ80" s="37"/>
      <c r="DR80" s="932"/>
      <c r="DS80" s="37"/>
      <c r="DT80" s="932"/>
      <c r="DU80" s="37"/>
      <c r="DV80" s="932"/>
      <c r="DW80" s="37"/>
      <c r="DX80" s="932"/>
      <c r="DY80" s="932"/>
      <c r="DZ80" s="932"/>
      <c r="EA80" s="932"/>
      <c r="EB80" s="37"/>
      <c r="EC80" s="37"/>
      <c r="EE80" s="937"/>
      <c r="EG80" s="938"/>
      <c r="EI80" s="938"/>
      <c r="EK80" s="938"/>
      <c r="EM80" s="938"/>
      <c r="EO80" s="938"/>
      <c r="EQ80" s="938"/>
      <c r="ES80" s="938"/>
      <c r="EU80" s="938"/>
      <c r="EW80" s="938"/>
      <c r="EY80" s="938"/>
      <c r="FA80" s="938"/>
      <c r="FC80" s="938"/>
      <c r="FE80" s="938"/>
      <c r="FG80" s="938"/>
      <c r="FI80" s="938"/>
      <c r="FK80" s="938"/>
      <c r="FM80" s="938"/>
      <c r="FO80" s="938"/>
      <c r="FQ80" s="938"/>
      <c r="FS80" s="938"/>
      <c r="FU80" s="938"/>
      <c r="FW80" s="938"/>
      <c r="FY80" s="938"/>
      <c r="GA80" s="938"/>
      <c r="GC80" s="938"/>
      <c r="GE80" s="938"/>
      <c r="GG80" s="938"/>
      <c r="GI80" s="938"/>
      <c r="GK80" s="938"/>
      <c r="GM80" s="938"/>
      <c r="GO80" s="938"/>
      <c r="GQ80" s="938"/>
      <c r="GS80" s="938"/>
      <c r="GU80" s="938"/>
      <c r="GW80" s="938"/>
      <c r="GY80" s="938"/>
      <c r="HA80" s="938"/>
      <c r="HC80" s="938"/>
      <c r="HE80" s="938"/>
      <c r="HG80" s="938"/>
      <c r="HI80" s="938"/>
      <c r="HK80" s="938"/>
      <c r="HM80" s="938"/>
      <c r="HO80" s="938"/>
      <c r="HQ80" s="938"/>
      <c r="HS80" s="938"/>
      <c r="HU80" s="938"/>
      <c r="HW80" s="938"/>
      <c r="HY80" s="938"/>
      <c r="IA80" s="938"/>
      <c r="IC80" s="938"/>
      <c r="IE80" s="938"/>
      <c r="IG80" s="938"/>
      <c r="II80" s="938"/>
      <c r="IK80" s="938"/>
      <c r="IM80" s="938"/>
      <c r="IO80" s="938"/>
      <c r="IQ80" s="938"/>
      <c r="IS80" s="938"/>
      <c r="IT80" s="932"/>
      <c r="IU80" s="938"/>
      <c r="IW80" s="939"/>
      <c r="IX80" s="938"/>
      <c r="IY80" s="938"/>
      <c r="IZ80" s="938"/>
      <c r="JB80" s="940"/>
      <c r="JC80" s="940"/>
      <c r="JD80" s="940"/>
      <c r="JE80" s="940"/>
      <c r="JF80" s="940"/>
      <c r="JG80" s="940"/>
      <c r="JH80" s="940"/>
      <c r="JI80" s="940"/>
      <c r="JJ80" s="940"/>
      <c r="JK80" s="940"/>
      <c r="JL80" s="940"/>
      <c r="JM80" s="940"/>
      <c r="JN80" s="940"/>
      <c r="JO80" s="940"/>
      <c r="JP80" s="940"/>
      <c r="JQ80" s="940"/>
      <c r="JR80" s="940"/>
      <c r="JS80" s="940"/>
      <c r="JT80" s="940"/>
      <c r="JU80" s="940"/>
      <c r="JV80" s="940"/>
      <c r="JW80" s="940"/>
      <c r="JX80" s="940"/>
      <c r="JY80" s="940"/>
      <c r="JZ80" s="940"/>
      <c r="KA80" s="940"/>
      <c r="KB80" s="940"/>
      <c r="KC80" s="940"/>
      <c r="KD80" s="940"/>
      <c r="KE80" s="940"/>
      <c r="KF80" s="940"/>
      <c r="KG80" s="940"/>
      <c r="KH80" s="940"/>
      <c r="KI80" s="940"/>
      <c r="KJ80" s="940"/>
      <c r="KK80" s="940"/>
      <c r="KL80" s="940"/>
      <c r="KM80" s="940"/>
      <c r="KN80" s="940"/>
      <c r="KO80" s="940"/>
      <c r="KP80" s="940"/>
      <c r="KQ80" s="940"/>
      <c r="KR80" s="940"/>
      <c r="KS80" s="940"/>
      <c r="KT80" s="940"/>
      <c r="KU80" s="940"/>
      <c r="KV80" s="940"/>
      <c r="KW80" s="940"/>
      <c r="KX80" s="940"/>
      <c r="KY80" s="940"/>
      <c r="KZ80" s="940"/>
      <c r="LA80" s="940"/>
      <c r="LB80" s="940"/>
      <c r="LC80" s="940"/>
      <c r="LD80" s="940"/>
      <c r="LE80" s="940"/>
      <c r="LF80" s="940"/>
      <c r="LG80" s="940"/>
      <c r="LH80" s="940"/>
    </row>
    <row r="81" spans="1:320" s="462" customFormat="1" ht="15" hidden="1" customHeight="1" outlineLevel="1" x14ac:dyDescent="0.25">
      <c r="A81" s="1205">
        <v>40144</v>
      </c>
      <c r="B81" s="1205"/>
      <c r="C81" s="463"/>
      <c r="D81" s="463"/>
      <c r="H81" s="932"/>
      <c r="I81" s="37"/>
      <c r="J81" s="932"/>
      <c r="K81" s="37"/>
      <c r="L81" s="932"/>
      <c r="M81" s="37"/>
      <c r="N81" s="932"/>
      <c r="O81" s="37"/>
      <c r="P81" s="932"/>
      <c r="Q81" s="37"/>
      <c r="R81" s="932"/>
      <c r="S81" s="37"/>
      <c r="T81" s="37"/>
      <c r="U81" s="37"/>
      <c r="V81" s="932"/>
      <c r="W81" s="37"/>
      <c r="X81" s="932"/>
      <c r="Y81" s="37"/>
      <c r="Z81" s="932"/>
      <c r="AA81" s="37"/>
      <c r="AB81" s="932"/>
      <c r="AC81" s="37"/>
      <c r="AD81" s="932"/>
      <c r="AE81" s="37"/>
      <c r="AF81" s="932"/>
      <c r="AG81" s="37"/>
      <c r="AH81" s="37"/>
      <c r="AI81" s="37"/>
      <c r="AJ81" s="932"/>
      <c r="AK81" s="37"/>
      <c r="AL81" s="932"/>
      <c r="AM81" s="37"/>
      <c r="AN81" s="932"/>
      <c r="AO81" s="37"/>
      <c r="AP81" s="932"/>
      <c r="AQ81" s="37"/>
      <c r="AR81" s="37"/>
      <c r="AS81" s="37"/>
      <c r="AT81" s="37"/>
      <c r="AU81" s="37"/>
      <c r="AV81" s="37"/>
      <c r="AW81" s="37"/>
      <c r="AX81" s="932"/>
      <c r="AY81" s="37"/>
      <c r="AZ81" s="932"/>
      <c r="BA81" s="37"/>
      <c r="BB81" s="932"/>
      <c r="BC81" s="37"/>
      <c r="BD81" s="932"/>
      <c r="BE81" s="37"/>
      <c r="BF81" s="932"/>
      <c r="BG81" s="37"/>
      <c r="BH81" s="37"/>
      <c r="BI81" s="37"/>
      <c r="BJ81" s="37"/>
      <c r="BK81" s="37"/>
      <c r="BL81" s="932"/>
      <c r="BM81" s="37"/>
      <c r="BN81" s="932"/>
      <c r="BO81" s="37"/>
      <c r="BP81" s="932"/>
      <c r="BQ81" s="37"/>
      <c r="BR81" s="932"/>
      <c r="BS81" s="37"/>
      <c r="BT81" s="932"/>
      <c r="BU81" s="932"/>
      <c r="BV81" s="932"/>
      <c r="BW81" s="932"/>
      <c r="BX81" s="37"/>
      <c r="BY81" s="37"/>
      <c r="BZ81" s="932"/>
      <c r="CA81" s="37"/>
      <c r="CB81" s="932"/>
      <c r="CC81" s="37"/>
      <c r="CD81" s="932"/>
      <c r="CE81" s="37"/>
      <c r="CF81" s="932"/>
      <c r="CG81" s="37"/>
      <c r="CH81" s="932"/>
      <c r="CI81" s="932"/>
      <c r="CJ81" s="932"/>
      <c r="CK81" s="932"/>
      <c r="CL81" s="37"/>
      <c r="CM81" s="37"/>
      <c r="CN81" s="932"/>
      <c r="CO81" s="37"/>
      <c r="CP81" s="932"/>
      <c r="CQ81" s="37"/>
      <c r="CR81" s="932"/>
      <c r="CS81" s="37"/>
      <c r="CT81" s="932"/>
      <c r="CU81" s="37"/>
      <c r="CV81" s="932"/>
      <c r="CW81" s="932"/>
      <c r="CX81" s="932"/>
      <c r="CY81" s="932"/>
      <c r="CZ81" s="37"/>
      <c r="DA81" s="37"/>
      <c r="DB81" s="932"/>
      <c r="DC81" s="37"/>
      <c r="DD81" s="932"/>
      <c r="DE81" s="37"/>
      <c r="DF81" s="932"/>
      <c r="DG81" s="37"/>
      <c r="DH81" s="932"/>
      <c r="DI81" s="37"/>
      <c r="DJ81" s="932"/>
      <c r="DK81" s="932"/>
      <c r="DL81" s="932"/>
      <c r="DM81" s="932"/>
      <c r="DN81" s="37"/>
      <c r="DO81" s="37"/>
      <c r="DP81" s="932"/>
      <c r="DQ81" s="37"/>
      <c r="DR81" s="932"/>
      <c r="DS81" s="37"/>
      <c r="DT81" s="932"/>
      <c r="DU81" s="37"/>
      <c r="DV81" s="932"/>
      <c r="DW81" s="37"/>
      <c r="DX81" s="932"/>
      <c r="DY81" s="932"/>
      <c r="DZ81" s="932"/>
      <c r="EA81" s="932"/>
      <c r="EB81" s="37"/>
      <c r="EC81" s="37"/>
      <c r="EE81" s="937"/>
      <c r="EG81" s="938"/>
      <c r="EI81" s="938"/>
      <c r="EK81" s="938"/>
      <c r="EM81" s="938"/>
      <c r="EO81" s="938"/>
      <c r="EQ81" s="938"/>
      <c r="ES81" s="938"/>
      <c r="EU81" s="938"/>
      <c r="EW81" s="938"/>
      <c r="EY81" s="938"/>
      <c r="FA81" s="938"/>
      <c r="FC81" s="938"/>
      <c r="FE81" s="938"/>
      <c r="FG81" s="938"/>
      <c r="FI81" s="938"/>
      <c r="FK81" s="938"/>
      <c r="FM81" s="938"/>
      <c r="FO81" s="938"/>
      <c r="FQ81" s="938"/>
      <c r="FS81" s="938"/>
      <c r="FU81" s="938"/>
      <c r="FW81" s="938"/>
      <c r="FY81" s="938"/>
      <c r="GA81" s="938"/>
      <c r="GC81" s="938"/>
      <c r="GE81" s="938"/>
      <c r="GG81" s="938"/>
      <c r="GI81" s="938"/>
      <c r="GK81" s="938"/>
      <c r="GM81" s="938"/>
      <c r="GO81" s="938"/>
      <c r="GQ81" s="938"/>
      <c r="GS81" s="938"/>
      <c r="GU81" s="938"/>
      <c r="GW81" s="938"/>
      <c r="GY81" s="938"/>
      <c r="HA81" s="938"/>
      <c r="HC81" s="938"/>
      <c r="HE81" s="938"/>
      <c r="HG81" s="938"/>
      <c r="HI81" s="938"/>
      <c r="HK81" s="938"/>
      <c r="HM81" s="938"/>
      <c r="HO81" s="938"/>
      <c r="HQ81" s="938"/>
      <c r="HS81" s="938"/>
      <c r="HU81" s="938"/>
      <c r="HW81" s="938"/>
      <c r="HY81" s="938"/>
      <c r="IA81" s="938"/>
      <c r="IC81" s="938"/>
      <c r="IE81" s="938"/>
      <c r="IG81" s="938"/>
      <c r="II81" s="938"/>
      <c r="IK81" s="938"/>
      <c r="IM81" s="938"/>
      <c r="IO81" s="938"/>
      <c r="IQ81" s="938"/>
      <c r="IS81" s="938"/>
      <c r="IT81" s="932"/>
      <c r="IU81" s="938"/>
      <c r="IW81" s="939"/>
      <c r="IX81" s="938"/>
      <c r="IY81" s="938"/>
      <c r="IZ81" s="938"/>
      <c r="JB81" s="940"/>
      <c r="JC81" s="940"/>
      <c r="JD81" s="940"/>
      <c r="JE81" s="940"/>
      <c r="JF81" s="940"/>
      <c r="JG81" s="940"/>
      <c r="JH81" s="940"/>
      <c r="JI81" s="940"/>
      <c r="JJ81" s="940"/>
      <c r="JK81" s="940"/>
      <c r="JL81" s="940"/>
      <c r="JM81" s="940"/>
      <c r="JN81" s="940"/>
      <c r="JO81" s="940"/>
      <c r="JP81" s="940"/>
      <c r="JQ81" s="940"/>
      <c r="JR81" s="940"/>
      <c r="JS81" s="940"/>
      <c r="JT81" s="940"/>
      <c r="JU81" s="940"/>
      <c r="JV81" s="940"/>
      <c r="JW81" s="940"/>
      <c r="JX81" s="940"/>
      <c r="JY81" s="940"/>
      <c r="JZ81" s="940"/>
      <c r="KA81" s="940"/>
      <c r="KB81" s="940"/>
      <c r="KC81" s="940"/>
      <c r="KD81" s="940"/>
      <c r="KE81" s="940"/>
      <c r="KF81" s="940"/>
      <c r="KG81" s="940"/>
      <c r="KH81" s="940"/>
      <c r="KI81" s="940"/>
      <c r="KJ81" s="940"/>
      <c r="KK81" s="940"/>
      <c r="KL81" s="940"/>
      <c r="KM81" s="940"/>
      <c r="KN81" s="940"/>
      <c r="KO81" s="940"/>
      <c r="KP81" s="940"/>
      <c r="KQ81" s="940"/>
      <c r="KR81" s="940"/>
      <c r="KS81" s="940"/>
      <c r="KT81" s="940"/>
      <c r="KU81" s="940"/>
      <c r="KV81" s="940"/>
      <c r="KW81" s="940"/>
      <c r="KX81" s="940"/>
      <c r="KY81" s="940"/>
      <c r="KZ81" s="940"/>
      <c r="LA81" s="940"/>
      <c r="LB81" s="940"/>
      <c r="LC81" s="940"/>
      <c r="LD81" s="940"/>
      <c r="LE81" s="940"/>
      <c r="LF81" s="940"/>
      <c r="LG81" s="940"/>
      <c r="LH81" s="940"/>
    </row>
    <row r="82" spans="1:320" s="462" customFormat="1" ht="15" hidden="1" customHeight="1" outlineLevel="1" x14ac:dyDescent="0.25">
      <c r="A82" s="1205">
        <v>40171</v>
      </c>
      <c r="B82" s="1205"/>
      <c r="C82" s="463"/>
      <c r="D82" s="463"/>
      <c r="H82" s="932"/>
      <c r="I82" s="37"/>
      <c r="J82" s="932"/>
      <c r="K82" s="37"/>
      <c r="L82" s="932"/>
      <c r="M82" s="37"/>
      <c r="N82" s="932"/>
      <c r="O82" s="37"/>
      <c r="P82" s="932"/>
      <c r="Q82" s="37"/>
      <c r="R82" s="932"/>
      <c r="S82" s="37"/>
      <c r="T82" s="37"/>
      <c r="U82" s="37"/>
      <c r="V82" s="932"/>
      <c r="W82" s="37"/>
      <c r="X82" s="932"/>
      <c r="Y82" s="37"/>
      <c r="Z82" s="932"/>
      <c r="AA82" s="37"/>
      <c r="AB82" s="932"/>
      <c r="AC82" s="37"/>
      <c r="AD82" s="932"/>
      <c r="AE82" s="37"/>
      <c r="AF82" s="932"/>
      <c r="AG82" s="37"/>
      <c r="AH82" s="37"/>
      <c r="AI82" s="37"/>
      <c r="AJ82" s="932"/>
      <c r="AK82" s="37"/>
      <c r="AL82" s="932"/>
      <c r="AM82" s="37"/>
      <c r="AN82" s="932"/>
      <c r="AO82" s="37"/>
      <c r="AP82" s="932"/>
      <c r="AQ82" s="37"/>
      <c r="AR82" s="37"/>
      <c r="AS82" s="37"/>
      <c r="AT82" s="37"/>
      <c r="AU82" s="37"/>
      <c r="AV82" s="37"/>
      <c r="AW82" s="37"/>
      <c r="AX82" s="932"/>
      <c r="AY82" s="37"/>
      <c r="AZ82" s="932"/>
      <c r="BA82" s="37"/>
      <c r="BB82" s="932"/>
      <c r="BC82" s="37"/>
      <c r="BD82" s="932"/>
      <c r="BE82" s="37"/>
      <c r="BF82" s="932"/>
      <c r="BG82" s="37"/>
      <c r="BH82" s="37"/>
      <c r="BI82" s="37"/>
      <c r="BJ82" s="37"/>
      <c r="BK82" s="37"/>
      <c r="BL82" s="932"/>
      <c r="BM82" s="37"/>
      <c r="BN82" s="932"/>
      <c r="BO82" s="37"/>
      <c r="BP82" s="932"/>
      <c r="BQ82" s="37"/>
      <c r="BR82" s="932"/>
      <c r="BS82" s="37"/>
      <c r="BT82" s="932"/>
      <c r="BU82" s="932"/>
      <c r="BV82" s="932"/>
      <c r="BW82" s="932"/>
      <c r="BX82" s="37"/>
      <c r="BY82" s="37"/>
      <c r="BZ82" s="932"/>
      <c r="CA82" s="37"/>
      <c r="CB82" s="932"/>
      <c r="CC82" s="37"/>
      <c r="CD82" s="932"/>
      <c r="CE82" s="37"/>
      <c r="CF82" s="932"/>
      <c r="CG82" s="37"/>
      <c r="CH82" s="932"/>
      <c r="CI82" s="932"/>
      <c r="CJ82" s="932"/>
      <c r="CK82" s="932"/>
      <c r="CL82" s="37"/>
      <c r="CM82" s="37"/>
      <c r="CN82" s="932"/>
      <c r="CO82" s="37"/>
      <c r="CP82" s="932"/>
      <c r="CQ82" s="37"/>
      <c r="CR82" s="932"/>
      <c r="CS82" s="37"/>
      <c r="CT82" s="932"/>
      <c r="CU82" s="37"/>
      <c r="CV82" s="932"/>
      <c r="CW82" s="932"/>
      <c r="CX82" s="932"/>
      <c r="CY82" s="932"/>
      <c r="CZ82" s="37"/>
      <c r="DA82" s="37"/>
      <c r="DB82" s="932"/>
      <c r="DC82" s="37"/>
      <c r="DD82" s="932"/>
      <c r="DE82" s="37"/>
      <c r="DF82" s="932"/>
      <c r="DG82" s="37"/>
      <c r="DH82" s="932"/>
      <c r="DI82" s="37"/>
      <c r="DJ82" s="932"/>
      <c r="DK82" s="932"/>
      <c r="DL82" s="932"/>
      <c r="DM82" s="932"/>
      <c r="DN82" s="37"/>
      <c r="DO82" s="37"/>
      <c r="DP82" s="932"/>
      <c r="DQ82" s="37"/>
      <c r="DR82" s="932"/>
      <c r="DS82" s="37"/>
      <c r="DT82" s="932"/>
      <c r="DU82" s="37"/>
      <c r="DV82" s="932"/>
      <c r="DW82" s="37"/>
      <c r="DX82" s="932"/>
      <c r="DY82" s="932"/>
      <c r="DZ82" s="932"/>
      <c r="EA82" s="932"/>
      <c r="EB82" s="37"/>
      <c r="EC82" s="37"/>
      <c r="EE82" s="937"/>
      <c r="EG82" s="938"/>
      <c r="EI82" s="938"/>
      <c r="EK82" s="938"/>
      <c r="EM82" s="938"/>
      <c r="EO82" s="938"/>
      <c r="EQ82" s="938"/>
      <c r="ES82" s="938"/>
      <c r="EU82" s="938"/>
      <c r="EW82" s="938"/>
      <c r="EY82" s="938"/>
      <c r="FA82" s="938"/>
      <c r="FC82" s="938"/>
      <c r="FE82" s="938"/>
      <c r="FG82" s="938"/>
      <c r="FI82" s="938"/>
      <c r="FK82" s="938"/>
      <c r="FM82" s="938"/>
      <c r="FO82" s="938"/>
      <c r="FQ82" s="938"/>
      <c r="FS82" s="938"/>
      <c r="FU82" s="938"/>
      <c r="FW82" s="938"/>
      <c r="FY82" s="938"/>
      <c r="GA82" s="938"/>
      <c r="GC82" s="938"/>
      <c r="GE82" s="938"/>
      <c r="GG82" s="938"/>
      <c r="GI82" s="938"/>
      <c r="GK82" s="938"/>
      <c r="GM82" s="938"/>
      <c r="GO82" s="938"/>
      <c r="GQ82" s="938"/>
      <c r="GS82" s="938"/>
      <c r="GU82" s="938"/>
      <c r="GW82" s="938"/>
      <c r="GY82" s="938"/>
      <c r="HA82" s="938"/>
      <c r="HC82" s="938"/>
      <c r="HE82" s="938"/>
      <c r="HG82" s="938"/>
      <c r="HI82" s="938"/>
      <c r="HK82" s="938"/>
      <c r="HM82" s="938"/>
      <c r="HO82" s="938"/>
      <c r="HQ82" s="938"/>
      <c r="HS82" s="938"/>
      <c r="HU82" s="938"/>
      <c r="HW82" s="938"/>
      <c r="HY82" s="938"/>
      <c r="IA82" s="938"/>
      <c r="IC82" s="938"/>
      <c r="IE82" s="938"/>
      <c r="IG82" s="938"/>
      <c r="II82" s="938"/>
      <c r="IK82" s="938"/>
      <c r="IM82" s="938"/>
      <c r="IO82" s="938"/>
      <c r="IQ82" s="938"/>
      <c r="IS82" s="938"/>
      <c r="IT82" s="932"/>
      <c r="IU82" s="938"/>
      <c r="IW82" s="939"/>
      <c r="IX82" s="938"/>
      <c r="IY82" s="938"/>
      <c r="IZ82" s="938"/>
      <c r="JB82" s="940"/>
      <c r="JC82" s="940"/>
      <c r="JD82" s="940"/>
      <c r="JE82" s="940"/>
      <c r="JF82" s="940"/>
      <c r="JG82" s="940"/>
      <c r="JH82" s="940"/>
      <c r="JI82" s="940"/>
      <c r="JJ82" s="940"/>
      <c r="JK82" s="940"/>
      <c r="JL82" s="940"/>
      <c r="JM82" s="940"/>
      <c r="JN82" s="940"/>
      <c r="JO82" s="940"/>
      <c r="JP82" s="940"/>
      <c r="JQ82" s="940"/>
      <c r="JR82" s="940"/>
      <c r="JS82" s="940"/>
      <c r="JT82" s="940"/>
      <c r="JU82" s="940"/>
      <c r="JV82" s="940"/>
      <c r="JW82" s="940"/>
      <c r="JX82" s="940"/>
      <c r="JY82" s="940"/>
      <c r="JZ82" s="940"/>
      <c r="KA82" s="940"/>
      <c r="KB82" s="940"/>
      <c r="KC82" s="940"/>
      <c r="KD82" s="940"/>
      <c r="KE82" s="940"/>
      <c r="KF82" s="940"/>
      <c r="KG82" s="940"/>
      <c r="KH82" s="940"/>
      <c r="KI82" s="940"/>
      <c r="KJ82" s="940"/>
      <c r="KK82" s="940"/>
      <c r="KL82" s="940"/>
      <c r="KM82" s="940"/>
      <c r="KN82" s="940"/>
      <c r="KO82" s="940"/>
      <c r="KP82" s="940"/>
      <c r="KQ82" s="940"/>
      <c r="KR82" s="940"/>
      <c r="KS82" s="940"/>
      <c r="KT82" s="940"/>
      <c r="KU82" s="940"/>
      <c r="KV82" s="940"/>
      <c r="KW82" s="940"/>
      <c r="KX82" s="940"/>
      <c r="KY82" s="940"/>
      <c r="KZ82" s="940"/>
      <c r="LA82" s="940"/>
      <c r="LB82" s="940"/>
      <c r="LC82" s="940"/>
      <c r="LD82" s="940"/>
      <c r="LE82" s="940"/>
      <c r="LF82" s="940"/>
      <c r="LG82" s="940"/>
      <c r="LH82" s="940"/>
    </row>
    <row r="83" spans="1:320" s="462" customFormat="1" ht="15" hidden="1" customHeight="1" outlineLevel="1" x14ac:dyDescent="0.25">
      <c r="A83" s="1205">
        <v>40179</v>
      </c>
      <c r="B83" s="1205"/>
      <c r="C83" s="463"/>
      <c r="D83" s="463"/>
      <c r="H83" s="932"/>
      <c r="I83" s="37"/>
      <c r="J83" s="932"/>
      <c r="K83" s="37"/>
      <c r="L83" s="932"/>
      <c r="M83" s="37"/>
      <c r="N83" s="932"/>
      <c r="O83" s="37"/>
      <c r="P83" s="932"/>
      <c r="Q83" s="37"/>
      <c r="R83" s="932"/>
      <c r="S83" s="37"/>
      <c r="T83" s="37"/>
      <c r="U83" s="37"/>
      <c r="V83" s="932"/>
      <c r="W83" s="37"/>
      <c r="X83" s="932"/>
      <c r="Y83" s="37"/>
      <c r="Z83" s="932"/>
      <c r="AA83" s="37"/>
      <c r="AB83" s="932"/>
      <c r="AC83" s="37"/>
      <c r="AD83" s="932"/>
      <c r="AE83" s="37"/>
      <c r="AF83" s="932"/>
      <c r="AG83" s="37"/>
      <c r="AH83" s="37"/>
      <c r="AI83" s="37"/>
      <c r="AJ83" s="932"/>
      <c r="AK83" s="37"/>
      <c r="AL83" s="932"/>
      <c r="AM83" s="37"/>
      <c r="AN83" s="932"/>
      <c r="AO83" s="37"/>
      <c r="AP83" s="932"/>
      <c r="AQ83" s="37"/>
      <c r="AR83" s="37"/>
      <c r="AS83" s="37"/>
      <c r="AT83" s="37"/>
      <c r="AU83" s="37"/>
      <c r="AV83" s="37"/>
      <c r="AW83" s="37"/>
      <c r="AX83" s="932"/>
      <c r="AY83" s="37"/>
      <c r="AZ83" s="932"/>
      <c r="BA83" s="37"/>
      <c r="BB83" s="932"/>
      <c r="BC83" s="37"/>
      <c r="BD83" s="932"/>
      <c r="BE83" s="37"/>
      <c r="BF83" s="932"/>
      <c r="BG83" s="37"/>
      <c r="BH83" s="37"/>
      <c r="BI83" s="37"/>
      <c r="BJ83" s="37"/>
      <c r="BK83" s="37"/>
      <c r="BL83" s="932"/>
      <c r="BM83" s="37"/>
      <c r="BN83" s="932"/>
      <c r="BO83" s="37"/>
      <c r="BP83" s="932"/>
      <c r="BQ83" s="37"/>
      <c r="BR83" s="932"/>
      <c r="BS83" s="37"/>
      <c r="BT83" s="932"/>
      <c r="BU83" s="932"/>
      <c r="BV83" s="932"/>
      <c r="BW83" s="932"/>
      <c r="BX83" s="37"/>
      <c r="BY83" s="37"/>
      <c r="BZ83" s="932"/>
      <c r="CA83" s="37"/>
      <c r="CB83" s="932"/>
      <c r="CC83" s="37"/>
      <c r="CD83" s="932"/>
      <c r="CE83" s="37"/>
      <c r="CF83" s="932"/>
      <c r="CG83" s="37"/>
      <c r="CH83" s="932"/>
      <c r="CI83" s="932"/>
      <c r="CJ83" s="932"/>
      <c r="CK83" s="932"/>
      <c r="CL83" s="37"/>
      <c r="CM83" s="37"/>
      <c r="CN83" s="932"/>
      <c r="CO83" s="37"/>
      <c r="CP83" s="932"/>
      <c r="CQ83" s="37"/>
      <c r="CR83" s="932"/>
      <c r="CS83" s="37"/>
      <c r="CT83" s="932"/>
      <c r="CU83" s="37"/>
      <c r="CV83" s="932"/>
      <c r="CW83" s="932"/>
      <c r="CX83" s="932"/>
      <c r="CY83" s="932"/>
      <c r="CZ83" s="37"/>
      <c r="DA83" s="37"/>
      <c r="DB83" s="932"/>
      <c r="DC83" s="37"/>
      <c r="DD83" s="932"/>
      <c r="DE83" s="37"/>
      <c r="DF83" s="932"/>
      <c r="DG83" s="37"/>
      <c r="DH83" s="932"/>
      <c r="DI83" s="37"/>
      <c r="DJ83" s="932"/>
      <c r="DK83" s="932"/>
      <c r="DL83" s="932"/>
      <c r="DM83" s="932"/>
      <c r="DN83" s="37"/>
      <c r="DO83" s="37"/>
      <c r="DP83" s="932"/>
      <c r="DQ83" s="37"/>
      <c r="DR83" s="932"/>
      <c r="DS83" s="37"/>
      <c r="DT83" s="932"/>
      <c r="DU83" s="37"/>
      <c r="DV83" s="932"/>
      <c r="DW83" s="37"/>
      <c r="DX83" s="932"/>
      <c r="DY83" s="932"/>
      <c r="DZ83" s="932"/>
      <c r="EA83" s="932"/>
      <c r="EB83" s="37"/>
      <c r="EC83" s="37"/>
      <c r="EE83" s="937"/>
      <c r="EG83" s="938"/>
      <c r="EI83" s="938"/>
      <c r="EK83" s="938"/>
      <c r="EM83" s="938"/>
      <c r="EO83" s="938"/>
      <c r="EQ83" s="938"/>
      <c r="ES83" s="938"/>
      <c r="EU83" s="938"/>
      <c r="EW83" s="938"/>
      <c r="EY83" s="938"/>
      <c r="FA83" s="938"/>
      <c r="FC83" s="938"/>
      <c r="FE83" s="938"/>
      <c r="FG83" s="938"/>
      <c r="FI83" s="938"/>
      <c r="FK83" s="938"/>
      <c r="FM83" s="938"/>
      <c r="FO83" s="938"/>
      <c r="FQ83" s="938"/>
      <c r="FS83" s="938"/>
      <c r="FU83" s="938"/>
      <c r="FW83" s="938"/>
      <c r="FY83" s="938"/>
      <c r="GA83" s="938"/>
      <c r="GC83" s="938"/>
      <c r="GE83" s="938"/>
      <c r="GG83" s="938"/>
      <c r="GI83" s="938"/>
      <c r="GK83" s="938"/>
      <c r="GM83" s="938"/>
      <c r="GO83" s="938"/>
      <c r="GQ83" s="938"/>
      <c r="GS83" s="938"/>
      <c r="GU83" s="938"/>
      <c r="GW83" s="938"/>
      <c r="GY83" s="938"/>
      <c r="HA83" s="938"/>
      <c r="HC83" s="938"/>
      <c r="HE83" s="938"/>
      <c r="HG83" s="938"/>
      <c r="HI83" s="938"/>
      <c r="HK83" s="938"/>
      <c r="HM83" s="938"/>
      <c r="HO83" s="938"/>
      <c r="HQ83" s="938"/>
      <c r="HS83" s="938"/>
      <c r="HU83" s="938"/>
      <c r="HW83" s="938"/>
      <c r="HY83" s="938"/>
      <c r="IA83" s="938"/>
      <c r="IC83" s="938"/>
      <c r="IE83" s="938"/>
      <c r="IG83" s="938"/>
      <c r="II83" s="938"/>
      <c r="IK83" s="938"/>
      <c r="IM83" s="938"/>
      <c r="IO83" s="938"/>
      <c r="IQ83" s="938"/>
      <c r="IS83" s="938"/>
      <c r="IT83" s="932"/>
      <c r="IU83" s="938"/>
      <c r="IW83" s="939"/>
      <c r="IX83" s="938"/>
      <c r="IY83" s="938"/>
      <c r="IZ83" s="938"/>
      <c r="JB83" s="940"/>
      <c r="JC83" s="940"/>
      <c r="JD83" s="940"/>
      <c r="JE83" s="940"/>
      <c r="JF83" s="940"/>
      <c r="JG83" s="940"/>
      <c r="JH83" s="940"/>
      <c r="JI83" s="940"/>
      <c r="JJ83" s="940"/>
      <c r="JK83" s="940"/>
      <c r="JL83" s="940"/>
      <c r="JM83" s="940"/>
      <c r="JN83" s="940"/>
      <c r="JO83" s="940"/>
      <c r="JP83" s="940"/>
      <c r="JQ83" s="940"/>
      <c r="JR83" s="940"/>
      <c r="JS83" s="940"/>
      <c r="JT83" s="940"/>
      <c r="JU83" s="940"/>
      <c r="JV83" s="940"/>
      <c r="JW83" s="940"/>
      <c r="JX83" s="940"/>
      <c r="JY83" s="940"/>
      <c r="JZ83" s="940"/>
      <c r="KA83" s="940"/>
      <c r="KB83" s="940"/>
      <c r="KC83" s="940"/>
      <c r="KD83" s="940"/>
      <c r="KE83" s="940"/>
      <c r="KF83" s="940"/>
      <c r="KG83" s="940"/>
      <c r="KH83" s="940"/>
      <c r="KI83" s="940"/>
      <c r="KJ83" s="940"/>
      <c r="KK83" s="940"/>
      <c r="KL83" s="940"/>
      <c r="KM83" s="940"/>
      <c r="KN83" s="940"/>
      <c r="KO83" s="940"/>
      <c r="KP83" s="940"/>
      <c r="KQ83" s="940"/>
      <c r="KR83" s="940"/>
      <c r="KS83" s="940"/>
      <c r="KT83" s="940"/>
      <c r="KU83" s="940"/>
      <c r="KV83" s="940"/>
      <c r="KW83" s="940"/>
      <c r="KX83" s="940"/>
      <c r="KY83" s="940"/>
      <c r="KZ83" s="940"/>
      <c r="LA83" s="940"/>
      <c r="LB83" s="940"/>
      <c r="LC83" s="940"/>
      <c r="LD83" s="940"/>
      <c r="LE83" s="940"/>
      <c r="LF83" s="940"/>
      <c r="LG83" s="940"/>
      <c r="LH83" s="940"/>
    </row>
    <row r="84" spans="1:320" s="462" customFormat="1" ht="15" hidden="1" customHeight="1" outlineLevel="1" x14ac:dyDescent="0.25">
      <c r="A84" s="1205">
        <v>40196</v>
      </c>
      <c r="B84" s="1205"/>
      <c r="C84" s="463"/>
      <c r="D84" s="463"/>
      <c r="H84" s="932"/>
      <c r="I84" s="37"/>
      <c r="J84" s="932"/>
      <c r="K84" s="37"/>
      <c r="L84" s="932"/>
      <c r="M84" s="37"/>
      <c r="N84" s="932"/>
      <c r="O84" s="37"/>
      <c r="P84" s="932"/>
      <c r="Q84" s="37"/>
      <c r="R84" s="932"/>
      <c r="S84" s="37"/>
      <c r="T84" s="37"/>
      <c r="U84" s="37"/>
      <c r="V84" s="932"/>
      <c r="W84" s="37"/>
      <c r="X84" s="932"/>
      <c r="Y84" s="37"/>
      <c r="Z84" s="932"/>
      <c r="AA84" s="37"/>
      <c r="AB84" s="932"/>
      <c r="AC84" s="37"/>
      <c r="AD84" s="932"/>
      <c r="AE84" s="37"/>
      <c r="AF84" s="932"/>
      <c r="AG84" s="37"/>
      <c r="AH84" s="37"/>
      <c r="AI84" s="37"/>
      <c r="AJ84" s="932"/>
      <c r="AK84" s="37"/>
      <c r="AL84" s="932"/>
      <c r="AM84" s="37"/>
      <c r="AN84" s="932"/>
      <c r="AO84" s="37"/>
      <c r="AP84" s="932"/>
      <c r="AQ84" s="37"/>
      <c r="AR84" s="37"/>
      <c r="AS84" s="37"/>
      <c r="AT84" s="37"/>
      <c r="AU84" s="37"/>
      <c r="AV84" s="37"/>
      <c r="AW84" s="37"/>
      <c r="AX84" s="932"/>
      <c r="AY84" s="37"/>
      <c r="AZ84" s="932"/>
      <c r="BA84" s="37"/>
      <c r="BB84" s="932"/>
      <c r="BC84" s="37"/>
      <c r="BD84" s="932"/>
      <c r="BE84" s="37"/>
      <c r="BF84" s="932"/>
      <c r="BG84" s="37"/>
      <c r="BH84" s="37"/>
      <c r="BI84" s="37"/>
      <c r="BJ84" s="37"/>
      <c r="BK84" s="37"/>
      <c r="BL84" s="932"/>
      <c r="BM84" s="37"/>
      <c r="BN84" s="932"/>
      <c r="BO84" s="37"/>
      <c r="BP84" s="932"/>
      <c r="BQ84" s="37"/>
      <c r="BR84" s="932"/>
      <c r="BS84" s="37"/>
      <c r="BT84" s="932"/>
      <c r="BU84" s="932"/>
      <c r="BV84" s="932"/>
      <c r="BW84" s="932"/>
      <c r="BX84" s="37"/>
      <c r="BY84" s="37"/>
      <c r="BZ84" s="932"/>
      <c r="CA84" s="37"/>
      <c r="CB84" s="932"/>
      <c r="CC84" s="37"/>
      <c r="CD84" s="932"/>
      <c r="CE84" s="37"/>
      <c r="CF84" s="932"/>
      <c r="CG84" s="37"/>
      <c r="CH84" s="932"/>
      <c r="CI84" s="932"/>
      <c r="CJ84" s="932"/>
      <c r="CK84" s="932"/>
      <c r="CL84" s="37"/>
      <c r="CM84" s="37"/>
      <c r="CN84" s="932"/>
      <c r="CO84" s="37"/>
      <c r="CP84" s="932"/>
      <c r="CQ84" s="37"/>
      <c r="CR84" s="932"/>
      <c r="CS84" s="37"/>
      <c r="CT84" s="932"/>
      <c r="CU84" s="37"/>
      <c r="CV84" s="932"/>
      <c r="CW84" s="932"/>
      <c r="CX84" s="932"/>
      <c r="CY84" s="932"/>
      <c r="CZ84" s="37"/>
      <c r="DA84" s="37"/>
      <c r="DB84" s="932"/>
      <c r="DC84" s="37"/>
      <c r="DD84" s="932"/>
      <c r="DE84" s="37"/>
      <c r="DF84" s="932"/>
      <c r="DG84" s="37"/>
      <c r="DH84" s="932"/>
      <c r="DI84" s="37"/>
      <c r="DJ84" s="932"/>
      <c r="DK84" s="932"/>
      <c r="DL84" s="932"/>
      <c r="DM84" s="932"/>
      <c r="DN84" s="37"/>
      <c r="DO84" s="37"/>
      <c r="DP84" s="932"/>
      <c r="DQ84" s="37"/>
      <c r="DR84" s="932"/>
      <c r="DS84" s="37"/>
      <c r="DT84" s="932"/>
      <c r="DU84" s="37"/>
      <c r="DV84" s="932"/>
      <c r="DW84" s="37"/>
      <c r="DX84" s="932"/>
      <c r="DY84" s="932"/>
      <c r="DZ84" s="932"/>
      <c r="EA84" s="932"/>
      <c r="EB84" s="37"/>
      <c r="EC84" s="37"/>
      <c r="EE84" s="937"/>
      <c r="EG84" s="938"/>
      <c r="EI84" s="938"/>
      <c r="EK84" s="938"/>
      <c r="EM84" s="938"/>
      <c r="EO84" s="938"/>
      <c r="EQ84" s="938"/>
      <c r="ES84" s="938"/>
      <c r="EU84" s="938"/>
      <c r="EW84" s="938"/>
      <c r="EY84" s="938"/>
      <c r="FA84" s="938"/>
      <c r="FC84" s="938"/>
      <c r="FE84" s="938"/>
      <c r="FG84" s="938"/>
      <c r="FI84" s="938"/>
      <c r="FK84" s="938"/>
      <c r="FM84" s="938"/>
      <c r="FO84" s="938"/>
      <c r="FQ84" s="938"/>
      <c r="FS84" s="938"/>
      <c r="FU84" s="938"/>
      <c r="FW84" s="938"/>
      <c r="FY84" s="938"/>
      <c r="GA84" s="938"/>
      <c r="GC84" s="938"/>
      <c r="GE84" s="938"/>
      <c r="GG84" s="938"/>
      <c r="GI84" s="938"/>
      <c r="GK84" s="938"/>
      <c r="GM84" s="938"/>
      <c r="GO84" s="938"/>
      <c r="GQ84" s="938"/>
      <c r="GS84" s="938"/>
      <c r="GU84" s="938"/>
      <c r="GW84" s="938"/>
      <c r="GY84" s="938"/>
      <c r="HA84" s="938"/>
      <c r="HC84" s="938"/>
      <c r="HE84" s="938"/>
      <c r="HG84" s="938"/>
      <c r="HI84" s="938"/>
      <c r="HK84" s="938"/>
      <c r="HM84" s="938"/>
      <c r="HO84" s="938"/>
      <c r="HQ84" s="938"/>
      <c r="HS84" s="938"/>
      <c r="HU84" s="938"/>
      <c r="HW84" s="938"/>
      <c r="HY84" s="938"/>
      <c r="IA84" s="938"/>
      <c r="IC84" s="938"/>
      <c r="IE84" s="938"/>
      <c r="IG84" s="938"/>
      <c r="II84" s="938"/>
      <c r="IK84" s="938"/>
      <c r="IM84" s="938"/>
      <c r="IO84" s="938"/>
      <c r="IQ84" s="938"/>
      <c r="IS84" s="938"/>
      <c r="IT84" s="932"/>
      <c r="IU84" s="938"/>
      <c r="IW84" s="939"/>
      <c r="IX84" s="938"/>
      <c r="IY84" s="938"/>
      <c r="IZ84" s="938"/>
      <c r="JB84" s="940"/>
      <c r="JC84" s="940"/>
      <c r="JD84" s="940"/>
      <c r="JE84" s="940"/>
      <c r="JF84" s="940"/>
      <c r="JG84" s="940"/>
      <c r="JH84" s="940"/>
      <c r="JI84" s="940"/>
      <c r="JJ84" s="940"/>
      <c r="JK84" s="940"/>
      <c r="JL84" s="940"/>
      <c r="JM84" s="940"/>
      <c r="JN84" s="940"/>
      <c r="JO84" s="940"/>
      <c r="JP84" s="940"/>
      <c r="JQ84" s="940"/>
      <c r="JR84" s="940"/>
      <c r="JS84" s="940"/>
      <c r="JT84" s="940"/>
      <c r="JU84" s="940"/>
      <c r="JV84" s="940"/>
      <c r="JW84" s="940"/>
      <c r="JX84" s="940"/>
      <c r="JY84" s="940"/>
      <c r="JZ84" s="940"/>
      <c r="KA84" s="940"/>
      <c r="KB84" s="940"/>
      <c r="KC84" s="940"/>
      <c r="KD84" s="940"/>
      <c r="KE84" s="940"/>
      <c r="KF84" s="940"/>
      <c r="KG84" s="940"/>
      <c r="KH84" s="940"/>
      <c r="KI84" s="940"/>
      <c r="KJ84" s="940"/>
      <c r="KK84" s="940"/>
      <c r="KL84" s="940"/>
      <c r="KM84" s="940"/>
      <c r="KN84" s="940"/>
      <c r="KO84" s="940"/>
      <c r="KP84" s="940"/>
      <c r="KQ84" s="940"/>
      <c r="KR84" s="940"/>
      <c r="KS84" s="940"/>
      <c r="KT84" s="940"/>
      <c r="KU84" s="940"/>
      <c r="KV84" s="940"/>
      <c r="KW84" s="940"/>
      <c r="KX84" s="940"/>
      <c r="KY84" s="940"/>
      <c r="KZ84" s="940"/>
      <c r="LA84" s="940"/>
      <c r="LB84" s="940"/>
      <c r="LC84" s="940"/>
      <c r="LD84" s="940"/>
      <c r="LE84" s="940"/>
      <c r="LF84" s="940"/>
      <c r="LG84" s="940"/>
      <c r="LH84" s="940"/>
    </row>
    <row r="85" spans="1:320" s="462" customFormat="1" ht="15" hidden="1" customHeight="1" outlineLevel="1" x14ac:dyDescent="0.25">
      <c r="A85" s="1205">
        <v>40219</v>
      </c>
      <c r="B85" s="1205"/>
      <c r="C85" s="463"/>
      <c r="D85" s="463"/>
      <c r="H85" s="932"/>
      <c r="I85" s="37"/>
      <c r="J85" s="932"/>
      <c r="K85" s="37"/>
      <c r="L85" s="932"/>
      <c r="M85" s="37"/>
      <c r="N85" s="932"/>
      <c r="O85" s="37"/>
      <c r="P85" s="932"/>
      <c r="Q85" s="37"/>
      <c r="R85" s="932"/>
      <c r="S85" s="37"/>
      <c r="T85" s="37"/>
      <c r="U85" s="37"/>
      <c r="V85" s="932"/>
      <c r="W85" s="37"/>
      <c r="X85" s="932"/>
      <c r="Y85" s="37"/>
      <c r="Z85" s="932"/>
      <c r="AA85" s="37"/>
      <c r="AB85" s="932"/>
      <c r="AC85" s="37"/>
      <c r="AD85" s="932"/>
      <c r="AE85" s="37"/>
      <c r="AF85" s="932"/>
      <c r="AG85" s="37"/>
      <c r="AH85" s="37"/>
      <c r="AI85" s="37"/>
      <c r="AJ85" s="932"/>
      <c r="AK85" s="37"/>
      <c r="AL85" s="932"/>
      <c r="AM85" s="37"/>
      <c r="AN85" s="932"/>
      <c r="AO85" s="37"/>
      <c r="AP85" s="932"/>
      <c r="AQ85" s="37"/>
      <c r="AR85" s="37"/>
      <c r="AS85" s="37"/>
      <c r="AT85" s="37"/>
      <c r="AU85" s="37"/>
      <c r="AV85" s="37"/>
      <c r="AW85" s="37"/>
      <c r="AX85" s="932"/>
      <c r="AY85" s="37"/>
      <c r="AZ85" s="932"/>
      <c r="BA85" s="37"/>
      <c r="BB85" s="932"/>
      <c r="BC85" s="37"/>
      <c r="BD85" s="932"/>
      <c r="BE85" s="37"/>
      <c r="BF85" s="932"/>
      <c r="BG85" s="37"/>
      <c r="BH85" s="37"/>
      <c r="BI85" s="37"/>
      <c r="BJ85" s="37"/>
      <c r="BK85" s="37"/>
      <c r="BL85" s="932"/>
      <c r="BM85" s="37"/>
      <c r="BN85" s="932"/>
      <c r="BO85" s="37"/>
      <c r="BP85" s="932"/>
      <c r="BQ85" s="37"/>
      <c r="BR85" s="932"/>
      <c r="BS85" s="37"/>
      <c r="BT85" s="932"/>
      <c r="BU85" s="932"/>
      <c r="BV85" s="932"/>
      <c r="BW85" s="932"/>
      <c r="BX85" s="37"/>
      <c r="BY85" s="37"/>
      <c r="BZ85" s="932"/>
      <c r="CA85" s="37"/>
      <c r="CB85" s="932"/>
      <c r="CC85" s="37"/>
      <c r="CD85" s="932"/>
      <c r="CE85" s="37"/>
      <c r="CF85" s="932"/>
      <c r="CG85" s="37"/>
      <c r="CH85" s="932"/>
      <c r="CI85" s="932"/>
      <c r="CJ85" s="932"/>
      <c r="CK85" s="932"/>
      <c r="CL85" s="37"/>
      <c r="CM85" s="37"/>
      <c r="CN85" s="932"/>
      <c r="CO85" s="37"/>
      <c r="CP85" s="932"/>
      <c r="CQ85" s="37"/>
      <c r="CR85" s="932"/>
      <c r="CS85" s="37"/>
      <c r="CT85" s="932"/>
      <c r="CU85" s="37"/>
      <c r="CV85" s="932"/>
      <c r="CW85" s="932"/>
      <c r="CX85" s="932"/>
      <c r="CY85" s="932"/>
      <c r="CZ85" s="37"/>
      <c r="DA85" s="37"/>
      <c r="DB85" s="932"/>
      <c r="DC85" s="37"/>
      <c r="DD85" s="932"/>
      <c r="DE85" s="37"/>
      <c r="DF85" s="932"/>
      <c r="DG85" s="37"/>
      <c r="DH85" s="932"/>
      <c r="DI85" s="37"/>
      <c r="DJ85" s="932"/>
      <c r="DK85" s="932"/>
      <c r="DL85" s="932"/>
      <c r="DM85" s="932"/>
      <c r="DN85" s="37"/>
      <c r="DO85" s="37"/>
      <c r="DP85" s="932"/>
      <c r="DQ85" s="37"/>
      <c r="DR85" s="932"/>
      <c r="DS85" s="37"/>
      <c r="DT85" s="932"/>
      <c r="DU85" s="37"/>
      <c r="DV85" s="932"/>
      <c r="DW85" s="37"/>
      <c r="DX85" s="932"/>
      <c r="DY85" s="932"/>
      <c r="DZ85" s="932"/>
      <c r="EA85" s="932"/>
      <c r="EB85" s="37"/>
      <c r="EC85" s="37"/>
      <c r="EE85" s="937"/>
      <c r="EG85" s="938"/>
      <c r="EI85" s="938"/>
      <c r="EK85" s="938"/>
      <c r="EM85" s="938"/>
      <c r="EO85" s="938"/>
      <c r="EQ85" s="938"/>
      <c r="ES85" s="938"/>
      <c r="EU85" s="938"/>
      <c r="EW85" s="938"/>
      <c r="EY85" s="938"/>
      <c r="FA85" s="938"/>
      <c r="FC85" s="938"/>
      <c r="FE85" s="938"/>
      <c r="FG85" s="938"/>
      <c r="FI85" s="938"/>
      <c r="FK85" s="938"/>
      <c r="FM85" s="938"/>
      <c r="FO85" s="938"/>
      <c r="FQ85" s="938"/>
      <c r="FS85" s="938"/>
      <c r="FU85" s="938"/>
      <c r="FW85" s="938"/>
      <c r="FY85" s="938"/>
      <c r="GA85" s="938"/>
      <c r="GC85" s="938"/>
      <c r="GE85" s="938"/>
      <c r="GG85" s="938"/>
      <c r="GI85" s="938"/>
      <c r="GK85" s="938"/>
      <c r="GM85" s="938"/>
      <c r="GO85" s="938"/>
      <c r="GQ85" s="938"/>
      <c r="GS85" s="938"/>
      <c r="GU85" s="938"/>
      <c r="GW85" s="938"/>
      <c r="GY85" s="938"/>
      <c r="HA85" s="938"/>
      <c r="HC85" s="938"/>
      <c r="HE85" s="938"/>
      <c r="HG85" s="938"/>
      <c r="HI85" s="938"/>
      <c r="HK85" s="938"/>
      <c r="HM85" s="938"/>
      <c r="HO85" s="938"/>
      <c r="HQ85" s="938"/>
      <c r="HS85" s="938"/>
      <c r="HU85" s="938"/>
      <c r="HW85" s="938"/>
      <c r="HY85" s="938"/>
      <c r="IA85" s="938"/>
      <c r="IC85" s="938"/>
      <c r="IE85" s="938"/>
      <c r="IG85" s="938"/>
      <c r="II85" s="938"/>
      <c r="IK85" s="938"/>
      <c r="IM85" s="938"/>
      <c r="IO85" s="938"/>
      <c r="IQ85" s="938"/>
      <c r="IS85" s="938"/>
      <c r="IT85" s="932"/>
      <c r="IU85" s="938"/>
      <c r="IW85" s="939"/>
      <c r="IX85" s="938"/>
      <c r="IY85" s="938"/>
      <c r="IZ85" s="938"/>
      <c r="JB85" s="940"/>
      <c r="JC85" s="940"/>
      <c r="JD85" s="940"/>
      <c r="JE85" s="940"/>
      <c r="JF85" s="940"/>
      <c r="JG85" s="940"/>
      <c r="JH85" s="940"/>
      <c r="JI85" s="940"/>
      <c r="JJ85" s="940"/>
      <c r="JK85" s="940"/>
      <c r="JL85" s="940"/>
      <c r="JM85" s="940"/>
      <c r="JN85" s="940"/>
      <c r="JO85" s="940"/>
      <c r="JP85" s="940"/>
      <c r="JQ85" s="940"/>
      <c r="JR85" s="940"/>
      <c r="JS85" s="940"/>
      <c r="JT85" s="940"/>
      <c r="JU85" s="940"/>
      <c r="JV85" s="940"/>
      <c r="JW85" s="940"/>
      <c r="JX85" s="940"/>
      <c r="JY85" s="940"/>
      <c r="JZ85" s="940"/>
      <c r="KA85" s="940"/>
      <c r="KB85" s="940"/>
      <c r="KC85" s="940"/>
      <c r="KD85" s="940"/>
      <c r="KE85" s="940"/>
      <c r="KF85" s="940"/>
      <c r="KG85" s="940"/>
      <c r="KH85" s="940"/>
      <c r="KI85" s="940"/>
      <c r="KJ85" s="940"/>
      <c r="KK85" s="940"/>
      <c r="KL85" s="940"/>
      <c r="KM85" s="940"/>
      <c r="KN85" s="940"/>
      <c r="KO85" s="940"/>
      <c r="KP85" s="940"/>
      <c r="KQ85" s="940"/>
      <c r="KR85" s="940"/>
      <c r="KS85" s="940"/>
      <c r="KT85" s="940"/>
      <c r="KU85" s="940"/>
      <c r="KV85" s="940"/>
      <c r="KW85" s="940"/>
      <c r="KX85" s="940"/>
      <c r="KY85" s="940"/>
      <c r="KZ85" s="940"/>
      <c r="LA85" s="940"/>
      <c r="LB85" s="940"/>
      <c r="LC85" s="940"/>
      <c r="LD85" s="940"/>
      <c r="LE85" s="940"/>
      <c r="LF85" s="940"/>
      <c r="LG85" s="940"/>
      <c r="LH85" s="940"/>
    </row>
    <row r="86" spans="1:320" s="462" customFormat="1" ht="15" hidden="1" customHeight="1" outlineLevel="1" x14ac:dyDescent="0.25">
      <c r="A86" s="1205">
        <v>40329</v>
      </c>
      <c r="B86" s="1205"/>
      <c r="C86" s="463"/>
      <c r="D86" s="463"/>
      <c r="H86" s="932"/>
      <c r="I86" s="37"/>
      <c r="J86" s="932"/>
      <c r="K86" s="37"/>
      <c r="L86" s="932"/>
      <c r="M86" s="37"/>
      <c r="N86" s="932"/>
      <c r="O86" s="37"/>
      <c r="P86" s="932"/>
      <c r="Q86" s="37"/>
      <c r="R86" s="932"/>
      <c r="S86" s="37"/>
      <c r="T86" s="37"/>
      <c r="U86" s="37"/>
      <c r="V86" s="932"/>
      <c r="W86" s="37"/>
      <c r="X86" s="932"/>
      <c r="Y86" s="37"/>
      <c r="Z86" s="932"/>
      <c r="AA86" s="37"/>
      <c r="AB86" s="932"/>
      <c r="AC86" s="37"/>
      <c r="AD86" s="932"/>
      <c r="AE86" s="37"/>
      <c r="AF86" s="932"/>
      <c r="AG86" s="37"/>
      <c r="AH86" s="37"/>
      <c r="AI86" s="37"/>
      <c r="AJ86" s="932"/>
      <c r="AK86" s="37"/>
      <c r="AL86" s="932"/>
      <c r="AM86" s="37"/>
      <c r="AN86" s="932"/>
      <c r="AO86" s="37"/>
      <c r="AP86" s="932"/>
      <c r="AQ86" s="37"/>
      <c r="AR86" s="37"/>
      <c r="AS86" s="37"/>
      <c r="AT86" s="37"/>
      <c r="AU86" s="37"/>
      <c r="AV86" s="37"/>
      <c r="AW86" s="37"/>
      <c r="AX86" s="932"/>
      <c r="AY86" s="37"/>
      <c r="AZ86" s="932"/>
      <c r="BA86" s="37"/>
      <c r="BB86" s="932"/>
      <c r="BC86" s="37"/>
      <c r="BD86" s="932"/>
      <c r="BE86" s="37"/>
      <c r="BF86" s="932"/>
      <c r="BG86" s="37"/>
      <c r="BH86" s="37"/>
      <c r="BI86" s="37"/>
      <c r="BJ86" s="37"/>
      <c r="BK86" s="37"/>
      <c r="BL86" s="932"/>
      <c r="BM86" s="37"/>
      <c r="BN86" s="932"/>
      <c r="BO86" s="37"/>
      <c r="BP86" s="932"/>
      <c r="BQ86" s="37"/>
      <c r="BR86" s="932"/>
      <c r="BS86" s="37"/>
      <c r="BT86" s="932"/>
      <c r="BU86" s="932"/>
      <c r="BV86" s="932"/>
      <c r="BW86" s="932"/>
      <c r="BX86" s="37"/>
      <c r="BY86" s="37"/>
      <c r="BZ86" s="932"/>
      <c r="CA86" s="37"/>
      <c r="CB86" s="932"/>
      <c r="CC86" s="37"/>
      <c r="CD86" s="932"/>
      <c r="CE86" s="37"/>
      <c r="CF86" s="932"/>
      <c r="CG86" s="37"/>
      <c r="CH86" s="932"/>
      <c r="CI86" s="932"/>
      <c r="CJ86" s="932"/>
      <c r="CK86" s="932"/>
      <c r="CL86" s="37"/>
      <c r="CM86" s="37"/>
      <c r="CN86" s="932"/>
      <c r="CO86" s="37"/>
      <c r="CP86" s="932"/>
      <c r="CQ86" s="37"/>
      <c r="CR86" s="932"/>
      <c r="CS86" s="37"/>
      <c r="CT86" s="932"/>
      <c r="CU86" s="37"/>
      <c r="CV86" s="932"/>
      <c r="CW86" s="932"/>
      <c r="CX86" s="932"/>
      <c r="CY86" s="932"/>
      <c r="CZ86" s="37"/>
      <c r="DA86" s="37"/>
      <c r="DB86" s="932"/>
      <c r="DC86" s="37"/>
      <c r="DD86" s="932"/>
      <c r="DE86" s="37"/>
      <c r="DF86" s="932"/>
      <c r="DG86" s="37"/>
      <c r="DH86" s="932"/>
      <c r="DI86" s="37"/>
      <c r="DJ86" s="932"/>
      <c r="DK86" s="932"/>
      <c r="DL86" s="932"/>
      <c r="DM86" s="932"/>
      <c r="DN86" s="37"/>
      <c r="DO86" s="37"/>
      <c r="DP86" s="932"/>
      <c r="DQ86" s="37"/>
      <c r="DR86" s="932"/>
      <c r="DS86" s="37"/>
      <c r="DT86" s="932"/>
      <c r="DU86" s="37"/>
      <c r="DV86" s="932"/>
      <c r="DW86" s="37"/>
      <c r="DX86" s="932"/>
      <c r="DY86" s="932"/>
      <c r="DZ86" s="932"/>
      <c r="EA86" s="932"/>
      <c r="EB86" s="37"/>
      <c r="EC86" s="37"/>
      <c r="EE86" s="937"/>
      <c r="EG86" s="938"/>
      <c r="EI86" s="938"/>
      <c r="EK86" s="938"/>
      <c r="EM86" s="938"/>
      <c r="EO86" s="938"/>
      <c r="EQ86" s="938"/>
      <c r="ES86" s="938"/>
      <c r="EU86" s="938"/>
      <c r="EW86" s="938"/>
      <c r="EY86" s="938"/>
      <c r="FA86" s="938"/>
      <c r="FC86" s="938"/>
      <c r="FE86" s="938"/>
      <c r="FG86" s="938"/>
      <c r="FI86" s="938"/>
      <c r="FK86" s="938"/>
      <c r="FM86" s="938"/>
      <c r="FO86" s="938"/>
      <c r="FQ86" s="938"/>
      <c r="FS86" s="938"/>
      <c r="FU86" s="938"/>
      <c r="FW86" s="938"/>
      <c r="FY86" s="938"/>
      <c r="GA86" s="938"/>
      <c r="GC86" s="938"/>
      <c r="GE86" s="938"/>
      <c r="GG86" s="938"/>
      <c r="GI86" s="938"/>
      <c r="GK86" s="938"/>
      <c r="GM86" s="938"/>
      <c r="GO86" s="938"/>
      <c r="GQ86" s="938"/>
      <c r="GS86" s="938"/>
      <c r="GU86" s="938"/>
      <c r="GW86" s="938"/>
      <c r="GY86" s="938"/>
      <c r="HA86" s="938"/>
      <c r="HC86" s="938"/>
      <c r="HE86" s="938"/>
      <c r="HG86" s="938"/>
      <c r="HI86" s="938"/>
      <c r="HK86" s="938"/>
      <c r="HM86" s="938"/>
      <c r="HO86" s="938"/>
      <c r="HQ86" s="938"/>
      <c r="HS86" s="938"/>
      <c r="HU86" s="938"/>
      <c r="HW86" s="938"/>
      <c r="HY86" s="938"/>
      <c r="IA86" s="938"/>
      <c r="IC86" s="938"/>
      <c r="IE86" s="938"/>
      <c r="IG86" s="938"/>
      <c r="II86" s="938"/>
      <c r="IK86" s="938"/>
      <c r="IM86" s="938"/>
      <c r="IO86" s="938"/>
      <c r="IQ86" s="938"/>
      <c r="IS86" s="938"/>
      <c r="IT86" s="932"/>
      <c r="IU86" s="938"/>
      <c r="IW86" s="939"/>
      <c r="IX86" s="938"/>
      <c r="IY86" s="938"/>
      <c r="IZ86" s="938"/>
      <c r="JB86" s="940"/>
      <c r="JC86" s="940"/>
      <c r="JD86" s="940"/>
      <c r="JE86" s="940"/>
      <c r="JF86" s="940"/>
      <c r="JG86" s="940"/>
      <c r="JH86" s="940"/>
      <c r="JI86" s="940"/>
      <c r="JJ86" s="940"/>
      <c r="JK86" s="940"/>
      <c r="JL86" s="940"/>
      <c r="JM86" s="940"/>
      <c r="JN86" s="940"/>
      <c r="JO86" s="940"/>
      <c r="JP86" s="940"/>
      <c r="JQ86" s="940"/>
      <c r="JR86" s="940"/>
      <c r="JS86" s="940"/>
      <c r="JT86" s="940"/>
      <c r="JU86" s="940"/>
      <c r="JV86" s="940"/>
      <c r="JW86" s="940"/>
      <c r="JX86" s="940"/>
      <c r="JY86" s="940"/>
      <c r="JZ86" s="940"/>
      <c r="KA86" s="940"/>
      <c r="KB86" s="940"/>
      <c r="KC86" s="940"/>
      <c r="KD86" s="940"/>
      <c r="KE86" s="940"/>
      <c r="KF86" s="940"/>
      <c r="KG86" s="940"/>
      <c r="KH86" s="940"/>
      <c r="KI86" s="940"/>
      <c r="KJ86" s="940"/>
      <c r="KK86" s="940"/>
      <c r="KL86" s="940"/>
      <c r="KM86" s="940"/>
      <c r="KN86" s="940"/>
      <c r="KO86" s="940"/>
      <c r="KP86" s="940"/>
      <c r="KQ86" s="940"/>
      <c r="KR86" s="940"/>
      <c r="KS86" s="940"/>
      <c r="KT86" s="940"/>
      <c r="KU86" s="940"/>
      <c r="KV86" s="940"/>
      <c r="KW86" s="940"/>
      <c r="KX86" s="940"/>
      <c r="KY86" s="940"/>
      <c r="KZ86" s="940"/>
      <c r="LA86" s="940"/>
      <c r="LB86" s="940"/>
      <c r="LC86" s="940"/>
      <c r="LD86" s="940"/>
      <c r="LE86" s="940"/>
      <c r="LF86" s="940"/>
      <c r="LG86" s="940"/>
      <c r="LH86" s="940"/>
    </row>
    <row r="87" spans="1:320" s="462" customFormat="1" ht="15" hidden="1" customHeight="1" outlineLevel="1" x14ac:dyDescent="0.25">
      <c r="A87" s="1205">
        <v>40364</v>
      </c>
      <c r="B87" s="1205"/>
      <c r="C87" s="463"/>
      <c r="D87" s="463"/>
      <c r="H87" s="932"/>
      <c r="I87" s="37"/>
      <c r="J87" s="932"/>
      <c r="K87" s="37"/>
      <c r="L87" s="932"/>
      <c r="M87" s="37"/>
      <c r="N87" s="932"/>
      <c r="O87" s="37"/>
      <c r="P87" s="932"/>
      <c r="Q87" s="37"/>
      <c r="R87" s="932"/>
      <c r="S87" s="37"/>
      <c r="T87" s="37"/>
      <c r="U87" s="37"/>
      <c r="V87" s="932"/>
      <c r="W87" s="37"/>
      <c r="X87" s="932"/>
      <c r="Y87" s="37"/>
      <c r="Z87" s="932"/>
      <c r="AA87" s="37"/>
      <c r="AB87" s="932"/>
      <c r="AC87" s="37"/>
      <c r="AD87" s="932"/>
      <c r="AE87" s="37"/>
      <c r="AF87" s="932"/>
      <c r="AG87" s="37"/>
      <c r="AH87" s="37"/>
      <c r="AI87" s="37"/>
      <c r="AJ87" s="932"/>
      <c r="AK87" s="37"/>
      <c r="AL87" s="932"/>
      <c r="AM87" s="37"/>
      <c r="AN87" s="932"/>
      <c r="AO87" s="37"/>
      <c r="AP87" s="932"/>
      <c r="AQ87" s="37"/>
      <c r="AR87" s="37"/>
      <c r="AS87" s="37"/>
      <c r="AT87" s="37"/>
      <c r="AU87" s="37"/>
      <c r="AV87" s="37"/>
      <c r="AW87" s="37"/>
      <c r="AX87" s="932"/>
      <c r="AY87" s="37"/>
      <c r="AZ87" s="932"/>
      <c r="BA87" s="37"/>
      <c r="BB87" s="932"/>
      <c r="BC87" s="37"/>
      <c r="BD87" s="932"/>
      <c r="BE87" s="37"/>
      <c r="BF87" s="932"/>
      <c r="BG87" s="37"/>
      <c r="BH87" s="37"/>
      <c r="BI87" s="37"/>
      <c r="BJ87" s="37"/>
      <c r="BK87" s="37"/>
      <c r="BL87" s="932"/>
      <c r="BM87" s="37"/>
      <c r="BN87" s="932"/>
      <c r="BO87" s="37"/>
      <c r="BP87" s="932"/>
      <c r="BQ87" s="37"/>
      <c r="BR87" s="932"/>
      <c r="BS87" s="37"/>
      <c r="BT87" s="932"/>
      <c r="BU87" s="932"/>
      <c r="BV87" s="932"/>
      <c r="BW87" s="932"/>
      <c r="BX87" s="37"/>
      <c r="BY87" s="37"/>
      <c r="BZ87" s="932"/>
      <c r="CA87" s="37"/>
      <c r="CB87" s="932"/>
      <c r="CC87" s="37"/>
      <c r="CD87" s="932"/>
      <c r="CE87" s="37"/>
      <c r="CF87" s="932"/>
      <c r="CG87" s="37"/>
      <c r="CH87" s="932"/>
      <c r="CI87" s="932"/>
      <c r="CJ87" s="932"/>
      <c r="CK87" s="932"/>
      <c r="CL87" s="37"/>
      <c r="CM87" s="37"/>
      <c r="CN87" s="932"/>
      <c r="CO87" s="37"/>
      <c r="CP87" s="932"/>
      <c r="CQ87" s="37"/>
      <c r="CR87" s="932"/>
      <c r="CS87" s="37"/>
      <c r="CT87" s="932"/>
      <c r="CU87" s="37"/>
      <c r="CV87" s="932"/>
      <c r="CW87" s="932"/>
      <c r="CX87" s="932"/>
      <c r="CY87" s="932"/>
      <c r="CZ87" s="37"/>
      <c r="DA87" s="37"/>
      <c r="DB87" s="932"/>
      <c r="DC87" s="37"/>
      <c r="DD87" s="932"/>
      <c r="DE87" s="37"/>
      <c r="DF87" s="932"/>
      <c r="DG87" s="37"/>
      <c r="DH87" s="932"/>
      <c r="DI87" s="37"/>
      <c r="DJ87" s="932"/>
      <c r="DK87" s="932"/>
      <c r="DL87" s="932"/>
      <c r="DM87" s="932"/>
      <c r="DN87" s="37"/>
      <c r="DO87" s="37"/>
      <c r="DP87" s="932"/>
      <c r="DQ87" s="37"/>
      <c r="DR87" s="932"/>
      <c r="DS87" s="37"/>
      <c r="DT87" s="932"/>
      <c r="DU87" s="37"/>
      <c r="DV87" s="932"/>
      <c r="DW87" s="37"/>
      <c r="DX87" s="932"/>
      <c r="DY87" s="932"/>
      <c r="DZ87" s="932"/>
      <c r="EA87" s="932"/>
      <c r="EB87" s="37"/>
      <c r="EC87" s="37"/>
      <c r="EE87" s="937"/>
      <c r="EG87" s="938"/>
      <c r="EI87" s="938"/>
      <c r="EK87" s="938"/>
      <c r="EM87" s="938"/>
      <c r="EO87" s="938"/>
      <c r="EQ87" s="938"/>
      <c r="ES87" s="938"/>
      <c r="EU87" s="938"/>
      <c r="EW87" s="938"/>
      <c r="EY87" s="938"/>
      <c r="FA87" s="938"/>
      <c r="FC87" s="938"/>
      <c r="FE87" s="938"/>
      <c r="FG87" s="938"/>
      <c r="FI87" s="938"/>
      <c r="FK87" s="938"/>
      <c r="FM87" s="938"/>
      <c r="FO87" s="938"/>
      <c r="FQ87" s="938"/>
      <c r="FS87" s="938"/>
      <c r="FU87" s="938"/>
      <c r="FW87" s="938"/>
      <c r="FY87" s="938"/>
      <c r="GA87" s="938"/>
      <c r="GC87" s="938"/>
      <c r="GE87" s="938"/>
      <c r="GG87" s="938"/>
      <c r="GI87" s="938"/>
      <c r="GK87" s="938"/>
      <c r="GM87" s="938"/>
      <c r="GO87" s="938"/>
      <c r="GQ87" s="938"/>
      <c r="GS87" s="938"/>
      <c r="GU87" s="938"/>
      <c r="GW87" s="938"/>
      <c r="GY87" s="938"/>
      <c r="HA87" s="938"/>
      <c r="HC87" s="938"/>
      <c r="HE87" s="938"/>
      <c r="HG87" s="938"/>
      <c r="HI87" s="938"/>
      <c r="HK87" s="938"/>
      <c r="HM87" s="938"/>
      <c r="HO87" s="938"/>
      <c r="HQ87" s="938"/>
      <c r="HS87" s="938"/>
      <c r="HU87" s="938"/>
      <c r="HW87" s="938"/>
      <c r="HY87" s="938"/>
      <c r="IA87" s="938"/>
      <c r="IC87" s="938"/>
      <c r="IE87" s="938"/>
      <c r="IG87" s="938"/>
      <c r="II87" s="938"/>
      <c r="IK87" s="938"/>
      <c r="IM87" s="938"/>
      <c r="IO87" s="938"/>
      <c r="IQ87" s="938"/>
      <c r="IS87" s="938"/>
      <c r="IT87" s="932"/>
      <c r="IU87" s="938"/>
      <c r="IW87" s="939"/>
      <c r="IX87" s="938"/>
      <c r="IY87" s="938"/>
      <c r="IZ87" s="938"/>
      <c r="JB87" s="940"/>
      <c r="JC87" s="940"/>
      <c r="JD87" s="940"/>
      <c r="JE87" s="940"/>
      <c r="JF87" s="940"/>
      <c r="JG87" s="940"/>
      <c r="JH87" s="940"/>
      <c r="JI87" s="940"/>
      <c r="JJ87" s="940"/>
      <c r="JK87" s="940"/>
      <c r="JL87" s="940"/>
      <c r="JM87" s="940"/>
      <c r="JN87" s="940"/>
      <c r="JO87" s="940"/>
      <c r="JP87" s="940"/>
      <c r="JQ87" s="940"/>
      <c r="JR87" s="940"/>
      <c r="JS87" s="940"/>
      <c r="JT87" s="940"/>
      <c r="JU87" s="940"/>
      <c r="JV87" s="940"/>
      <c r="JW87" s="940"/>
      <c r="JX87" s="940"/>
      <c r="JY87" s="940"/>
      <c r="JZ87" s="940"/>
      <c r="KA87" s="940"/>
      <c r="KB87" s="940"/>
      <c r="KC87" s="940"/>
      <c r="KD87" s="940"/>
      <c r="KE87" s="940"/>
      <c r="KF87" s="940"/>
      <c r="KG87" s="940"/>
      <c r="KH87" s="940"/>
      <c r="KI87" s="940"/>
      <c r="KJ87" s="940"/>
      <c r="KK87" s="940"/>
      <c r="KL87" s="940"/>
      <c r="KM87" s="940"/>
      <c r="KN87" s="940"/>
      <c r="KO87" s="940"/>
      <c r="KP87" s="940"/>
      <c r="KQ87" s="940"/>
      <c r="KR87" s="940"/>
      <c r="KS87" s="940"/>
      <c r="KT87" s="940"/>
      <c r="KU87" s="940"/>
      <c r="KV87" s="940"/>
      <c r="KW87" s="940"/>
      <c r="KX87" s="940"/>
      <c r="KY87" s="940"/>
      <c r="KZ87" s="940"/>
      <c r="LA87" s="940"/>
      <c r="LB87" s="940"/>
      <c r="LC87" s="940"/>
      <c r="LD87" s="940"/>
      <c r="LE87" s="940"/>
      <c r="LF87" s="940"/>
      <c r="LG87" s="940"/>
      <c r="LH87" s="940"/>
    </row>
    <row r="88" spans="1:320" s="462" customFormat="1" ht="15" hidden="1" customHeight="1" outlineLevel="1" x14ac:dyDescent="0.25">
      <c r="A88" s="1205">
        <v>40427</v>
      </c>
      <c r="B88" s="1205"/>
      <c r="C88" s="463"/>
      <c r="D88" s="463"/>
      <c r="H88" s="932"/>
      <c r="I88" s="37"/>
      <c r="J88" s="932"/>
      <c r="K88" s="37"/>
      <c r="L88" s="932"/>
      <c r="M88" s="37"/>
      <c r="N88" s="932"/>
      <c r="O88" s="37"/>
      <c r="P88" s="932"/>
      <c r="Q88" s="37"/>
      <c r="R88" s="932"/>
      <c r="S88" s="37"/>
      <c r="T88" s="37"/>
      <c r="U88" s="37"/>
      <c r="V88" s="932"/>
      <c r="W88" s="37"/>
      <c r="X88" s="932"/>
      <c r="Y88" s="37"/>
      <c r="Z88" s="932"/>
      <c r="AA88" s="37"/>
      <c r="AB88" s="932"/>
      <c r="AC88" s="37"/>
      <c r="AD88" s="932"/>
      <c r="AE88" s="37"/>
      <c r="AF88" s="932"/>
      <c r="AG88" s="37"/>
      <c r="AH88" s="37"/>
      <c r="AI88" s="37"/>
      <c r="AJ88" s="932"/>
      <c r="AK88" s="37"/>
      <c r="AL88" s="932"/>
      <c r="AM88" s="37"/>
      <c r="AN88" s="932"/>
      <c r="AO88" s="37"/>
      <c r="AP88" s="932"/>
      <c r="AQ88" s="37"/>
      <c r="AR88" s="37"/>
      <c r="AS88" s="37"/>
      <c r="AT88" s="37"/>
      <c r="AU88" s="37"/>
      <c r="AV88" s="37"/>
      <c r="AW88" s="37"/>
      <c r="AX88" s="932"/>
      <c r="AY88" s="37"/>
      <c r="AZ88" s="932"/>
      <c r="BA88" s="37"/>
      <c r="BB88" s="932"/>
      <c r="BC88" s="37"/>
      <c r="BD88" s="932"/>
      <c r="BE88" s="37"/>
      <c r="BF88" s="932"/>
      <c r="BG88" s="37"/>
      <c r="BH88" s="37"/>
      <c r="BI88" s="37"/>
      <c r="BJ88" s="37"/>
      <c r="BK88" s="37"/>
      <c r="BL88" s="932"/>
      <c r="BM88" s="37"/>
      <c r="BN88" s="932"/>
      <c r="BO88" s="37"/>
      <c r="BP88" s="932"/>
      <c r="BQ88" s="37"/>
      <c r="BR88" s="932"/>
      <c r="BS88" s="37"/>
      <c r="BT88" s="932"/>
      <c r="BU88" s="932"/>
      <c r="BV88" s="932"/>
      <c r="BW88" s="932"/>
      <c r="BX88" s="37"/>
      <c r="BY88" s="37"/>
      <c r="BZ88" s="932"/>
      <c r="CA88" s="37"/>
      <c r="CB88" s="932"/>
      <c r="CC88" s="37"/>
      <c r="CD88" s="932"/>
      <c r="CE88" s="37"/>
      <c r="CF88" s="932"/>
      <c r="CG88" s="37"/>
      <c r="CH88" s="932"/>
      <c r="CI88" s="932"/>
      <c r="CJ88" s="932"/>
      <c r="CK88" s="932"/>
      <c r="CL88" s="37"/>
      <c r="CM88" s="37"/>
      <c r="CN88" s="932"/>
      <c r="CO88" s="37"/>
      <c r="CP88" s="932"/>
      <c r="CQ88" s="37"/>
      <c r="CR88" s="932"/>
      <c r="CS88" s="37"/>
      <c r="CT88" s="932"/>
      <c r="CU88" s="37"/>
      <c r="CV88" s="932"/>
      <c r="CW88" s="932"/>
      <c r="CX88" s="932"/>
      <c r="CY88" s="932"/>
      <c r="CZ88" s="37"/>
      <c r="DA88" s="37"/>
      <c r="DB88" s="932"/>
      <c r="DC88" s="37"/>
      <c r="DD88" s="932"/>
      <c r="DE88" s="37"/>
      <c r="DF88" s="932"/>
      <c r="DG88" s="37"/>
      <c r="DH88" s="932"/>
      <c r="DI88" s="37"/>
      <c r="DJ88" s="932"/>
      <c r="DK88" s="932"/>
      <c r="DL88" s="932"/>
      <c r="DM88" s="932"/>
      <c r="DN88" s="37"/>
      <c r="DO88" s="37"/>
      <c r="DP88" s="932"/>
      <c r="DQ88" s="37"/>
      <c r="DR88" s="932"/>
      <c r="DS88" s="37"/>
      <c r="DT88" s="932"/>
      <c r="DU88" s="37"/>
      <c r="DV88" s="932"/>
      <c r="DW88" s="37"/>
      <c r="DX88" s="932"/>
      <c r="DY88" s="932"/>
      <c r="DZ88" s="932"/>
      <c r="EA88" s="932"/>
      <c r="EB88" s="37"/>
      <c r="EC88" s="37"/>
      <c r="EE88" s="937"/>
      <c r="EG88" s="938"/>
      <c r="EI88" s="938"/>
      <c r="EK88" s="938"/>
      <c r="EM88" s="938"/>
      <c r="EO88" s="938"/>
      <c r="EQ88" s="938"/>
      <c r="ES88" s="938"/>
      <c r="EU88" s="938"/>
      <c r="EW88" s="938"/>
      <c r="EY88" s="938"/>
      <c r="FA88" s="938"/>
      <c r="FC88" s="938"/>
      <c r="FE88" s="938"/>
      <c r="FG88" s="938"/>
      <c r="FI88" s="938"/>
      <c r="FK88" s="938"/>
      <c r="FM88" s="938"/>
      <c r="FO88" s="938"/>
      <c r="FQ88" s="938"/>
      <c r="FS88" s="938"/>
      <c r="FU88" s="938"/>
      <c r="FW88" s="938"/>
      <c r="FY88" s="938"/>
      <c r="GA88" s="938"/>
      <c r="GC88" s="938"/>
      <c r="GE88" s="938"/>
      <c r="GG88" s="938"/>
      <c r="GI88" s="938"/>
      <c r="GK88" s="938"/>
      <c r="GM88" s="938"/>
      <c r="GO88" s="938"/>
      <c r="GQ88" s="938"/>
      <c r="GS88" s="938"/>
      <c r="GU88" s="938"/>
      <c r="GW88" s="938"/>
      <c r="GY88" s="938"/>
      <c r="HA88" s="938"/>
      <c r="HC88" s="938"/>
      <c r="HE88" s="938"/>
      <c r="HG88" s="938"/>
      <c r="HI88" s="938"/>
      <c r="HK88" s="938"/>
      <c r="HM88" s="938"/>
      <c r="HO88" s="938"/>
      <c r="HQ88" s="938"/>
      <c r="HS88" s="938"/>
      <c r="HU88" s="938"/>
      <c r="HW88" s="938"/>
      <c r="HY88" s="938"/>
      <c r="IA88" s="938"/>
      <c r="IC88" s="938"/>
      <c r="IE88" s="938"/>
      <c r="IG88" s="938"/>
      <c r="II88" s="938"/>
      <c r="IK88" s="938"/>
      <c r="IM88" s="938"/>
      <c r="IO88" s="938"/>
      <c r="IQ88" s="938"/>
      <c r="IS88" s="938"/>
      <c r="IT88" s="932"/>
      <c r="IU88" s="938"/>
      <c r="IW88" s="939"/>
      <c r="IX88" s="938"/>
      <c r="IY88" s="938"/>
      <c r="IZ88" s="938"/>
      <c r="JB88" s="940"/>
      <c r="JC88" s="940"/>
      <c r="JD88" s="940"/>
      <c r="JE88" s="940"/>
      <c r="JF88" s="940"/>
      <c r="JG88" s="940"/>
      <c r="JH88" s="940"/>
      <c r="JI88" s="940"/>
      <c r="JJ88" s="940"/>
      <c r="JK88" s="940"/>
      <c r="JL88" s="940"/>
      <c r="JM88" s="940"/>
      <c r="JN88" s="940"/>
      <c r="JO88" s="940"/>
      <c r="JP88" s="940"/>
      <c r="JQ88" s="940"/>
      <c r="JR88" s="940"/>
      <c r="JS88" s="940"/>
      <c r="JT88" s="940"/>
      <c r="JU88" s="940"/>
      <c r="JV88" s="940"/>
      <c r="JW88" s="940"/>
      <c r="JX88" s="940"/>
      <c r="JY88" s="940"/>
      <c r="JZ88" s="940"/>
      <c r="KA88" s="940"/>
      <c r="KB88" s="940"/>
      <c r="KC88" s="940"/>
      <c r="KD88" s="940"/>
      <c r="KE88" s="940"/>
      <c r="KF88" s="940"/>
      <c r="KG88" s="940"/>
      <c r="KH88" s="940"/>
      <c r="KI88" s="940"/>
      <c r="KJ88" s="940"/>
      <c r="KK88" s="940"/>
      <c r="KL88" s="940"/>
      <c r="KM88" s="940"/>
      <c r="KN88" s="940"/>
      <c r="KO88" s="940"/>
      <c r="KP88" s="940"/>
      <c r="KQ88" s="940"/>
      <c r="KR88" s="940"/>
      <c r="KS88" s="940"/>
      <c r="KT88" s="940"/>
      <c r="KU88" s="940"/>
      <c r="KV88" s="940"/>
      <c r="KW88" s="940"/>
      <c r="KX88" s="940"/>
      <c r="KY88" s="940"/>
      <c r="KZ88" s="940"/>
      <c r="LA88" s="940"/>
      <c r="LB88" s="940"/>
      <c r="LC88" s="940"/>
      <c r="LD88" s="940"/>
      <c r="LE88" s="940"/>
      <c r="LF88" s="940"/>
      <c r="LG88" s="940"/>
      <c r="LH88" s="940"/>
    </row>
    <row r="89" spans="1:320" s="462" customFormat="1" ht="15" hidden="1" customHeight="1" outlineLevel="1" x14ac:dyDescent="0.25">
      <c r="A89" s="1205">
        <v>40493</v>
      </c>
      <c r="B89" s="1205"/>
      <c r="C89" s="463"/>
      <c r="D89" s="463"/>
      <c r="H89" s="932"/>
      <c r="I89" s="37"/>
      <c r="J89" s="932"/>
      <c r="K89" s="37"/>
      <c r="L89" s="932"/>
      <c r="M89" s="37"/>
      <c r="N89" s="932"/>
      <c r="O89" s="37"/>
      <c r="P89" s="932"/>
      <c r="Q89" s="37"/>
      <c r="R89" s="932"/>
      <c r="S89" s="37"/>
      <c r="T89" s="37"/>
      <c r="U89" s="37"/>
      <c r="V89" s="932"/>
      <c r="W89" s="37"/>
      <c r="X89" s="932"/>
      <c r="Y89" s="37"/>
      <c r="Z89" s="932"/>
      <c r="AA89" s="37"/>
      <c r="AB89" s="932"/>
      <c r="AC89" s="37"/>
      <c r="AD89" s="932"/>
      <c r="AE89" s="37"/>
      <c r="AF89" s="932"/>
      <c r="AG89" s="37"/>
      <c r="AH89" s="37"/>
      <c r="AI89" s="37"/>
      <c r="AJ89" s="932"/>
      <c r="AK89" s="37"/>
      <c r="AL89" s="932"/>
      <c r="AM89" s="37"/>
      <c r="AN89" s="932"/>
      <c r="AO89" s="37"/>
      <c r="AP89" s="932"/>
      <c r="AQ89" s="37"/>
      <c r="AR89" s="37"/>
      <c r="AS89" s="37"/>
      <c r="AT89" s="37"/>
      <c r="AU89" s="37"/>
      <c r="AV89" s="37"/>
      <c r="AW89" s="37"/>
      <c r="AX89" s="932"/>
      <c r="AY89" s="37"/>
      <c r="AZ89" s="932"/>
      <c r="BA89" s="37"/>
      <c r="BB89" s="932"/>
      <c r="BC89" s="37"/>
      <c r="BD89" s="932"/>
      <c r="BE89" s="37"/>
      <c r="BF89" s="932"/>
      <c r="BG89" s="37"/>
      <c r="BH89" s="37"/>
      <c r="BI89" s="37"/>
      <c r="BJ89" s="37"/>
      <c r="BK89" s="37"/>
      <c r="BL89" s="932"/>
      <c r="BM89" s="37"/>
      <c r="BN89" s="932"/>
      <c r="BO89" s="37"/>
      <c r="BP89" s="932"/>
      <c r="BQ89" s="37"/>
      <c r="BR89" s="932"/>
      <c r="BS89" s="37"/>
      <c r="BT89" s="932"/>
      <c r="BU89" s="932"/>
      <c r="BV89" s="932"/>
      <c r="BW89" s="932"/>
      <c r="BX89" s="37"/>
      <c r="BY89" s="37"/>
      <c r="BZ89" s="932"/>
      <c r="CA89" s="37"/>
      <c r="CB89" s="932"/>
      <c r="CC89" s="37"/>
      <c r="CD89" s="932"/>
      <c r="CE89" s="37"/>
      <c r="CF89" s="932"/>
      <c r="CG89" s="37"/>
      <c r="CH89" s="932"/>
      <c r="CI89" s="932"/>
      <c r="CJ89" s="932"/>
      <c r="CK89" s="932"/>
      <c r="CL89" s="37"/>
      <c r="CM89" s="37"/>
      <c r="CN89" s="932"/>
      <c r="CO89" s="37"/>
      <c r="CP89" s="932"/>
      <c r="CQ89" s="37"/>
      <c r="CR89" s="932"/>
      <c r="CS89" s="37"/>
      <c r="CT89" s="932"/>
      <c r="CU89" s="37"/>
      <c r="CV89" s="932"/>
      <c r="CW89" s="932"/>
      <c r="CX89" s="932"/>
      <c r="CY89" s="932"/>
      <c r="CZ89" s="37"/>
      <c r="DA89" s="37"/>
      <c r="DB89" s="932"/>
      <c r="DC89" s="37"/>
      <c r="DD89" s="932"/>
      <c r="DE89" s="37"/>
      <c r="DF89" s="932"/>
      <c r="DG89" s="37"/>
      <c r="DH89" s="932"/>
      <c r="DI89" s="37"/>
      <c r="DJ89" s="932"/>
      <c r="DK89" s="932"/>
      <c r="DL89" s="932"/>
      <c r="DM89" s="932"/>
      <c r="DN89" s="37"/>
      <c r="DO89" s="37"/>
      <c r="DP89" s="932"/>
      <c r="DQ89" s="37"/>
      <c r="DR89" s="932"/>
      <c r="DS89" s="37"/>
      <c r="DT89" s="932"/>
      <c r="DU89" s="37"/>
      <c r="DV89" s="932"/>
      <c r="DW89" s="37"/>
      <c r="DX89" s="932"/>
      <c r="DY89" s="932"/>
      <c r="DZ89" s="932"/>
      <c r="EA89" s="932"/>
      <c r="EB89" s="37"/>
      <c r="EC89" s="37"/>
      <c r="EE89" s="937"/>
      <c r="EG89" s="938"/>
      <c r="EI89" s="938"/>
      <c r="EK89" s="938"/>
      <c r="EM89" s="938"/>
      <c r="EO89" s="938"/>
      <c r="EQ89" s="938"/>
      <c r="ES89" s="938"/>
      <c r="EU89" s="938"/>
      <c r="EW89" s="938"/>
      <c r="EY89" s="938"/>
      <c r="FA89" s="938"/>
      <c r="FC89" s="938"/>
      <c r="FE89" s="938"/>
      <c r="FG89" s="938"/>
      <c r="FI89" s="938"/>
      <c r="FK89" s="938"/>
      <c r="FM89" s="938"/>
      <c r="FO89" s="938"/>
      <c r="FQ89" s="938"/>
      <c r="FS89" s="938"/>
      <c r="FU89" s="938"/>
      <c r="FW89" s="938"/>
      <c r="FY89" s="938"/>
      <c r="GA89" s="938"/>
      <c r="GC89" s="938"/>
      <c r="GE89" s="938"/>
      <c r="GG89" s="938"/>
      <c r="GI89" s="938"/>
      <c r="GK89" s="938"/>
      <c r="GM89" s="938"/>
      <c r="GO89" s="938"/>
      <c r="GQ89" s="938"/>
      <c r="GS89" s="938"/>
      <c r="GU89" s="938"/>
      <c r="GW89" s="938"/>
      <c r="GY89" s="938"/>
      <c r="HA89" s="938"/>
      <c r="HC89" s="938"/>
      <c r="HE89" s="938"/>
      <c r="HG89" s="938"/>
      <c r="HI89" s="938"/>
      <c r="HK89" s="938"/>
      <c r="HM89" s="938"/>
      <c r="HO89" s="938"/>
      <c r="HQ89" s="938"/>
      <c r="HS89" s="938"/>
      <c r="HU89" s="938"/>
      <c r="HW89" s="938"/>
      <c r="HY89" s="938"/>
      <c r="IA89" s="938"/>
      <c r="IC89" s="938"/>
      <c r="IE89" s="938"/>
      <c r="IG89" s="938"/>
      <c r="II89" s="938"/>
      <c r="IK89" s="938"/>
      <c r="IM89" s="938"/>
      <c r="IO89" s="938"/>
      <c r="IQ89" s="938"/>
      <c r="IS89" s="938"/>
      <c r="IT89" s="932"/>
      <c r="IU89" s="938"/>
      <c r="IW89" s="939"/>
      <c r="IX89" s="938"/>
      <c r="IY89" s="938"/>
      <c r="IZ89" s="938"/>
      <c r="JB89" s="940"/>
      <c r="JC89" s="940"/>
      <c r="JD89" s="940"/>
      <c r="JE89" s="940"/>
      <c r="JF89" s="940"/>
      <c r="JG89" s="940"/>
      <c r="JH89" s="940"/>
      <c r="JI89" s="940"/>
      <c r="JJ89" s="940"/>
      <c r="JK89" s="940"/>
      <c r="JL89" s="940"/>
      <c r="JM89" s="940"/>
      <c r="JN89" s="940"/>
      <c r="JO89" s="940"/>
      <c r="JP89" s="940"/>
      <c r="JQ89" s="940"/>
      <c r="JR89" s="940"/>
      <c r="JS89" s="940"/>
      <c r="JT89" s="940"/>
      <c r="JU89" s="940"/>
      <c r="JV89" s="940"/>
      <c r="JW89" s="940"/>
      <c r="JX89" s="940"/>
      <c r="JY89" s="940"/>
      <c r="JZ89" s="940"/>
      <c r="KA89" s="940"/>
      <c r="KB89" s="940"/>
      <c r="KC89" s="940"/>
      <c r="KD89" s="940"/>
      <c r="KE89" s="940"/>
      <c r="KF89" s="940"/>
      <c r="KG89" s="940"/>
      <c r="KH89" s="940"/>
      <c r="KI89" s="940"/>
      <c r="KJ89" s="940"/>
      <c r="KK89" s="940"/>
      <c r="KL89" s="940"/>
      <c r="KM89" s="940"/>
      <c r="KN89" s="940"/>
      <c r="KO89" s="940"/>
      <c r="KP89" s="940"/>
      <c r="KQ89" s="940"/>
      <c r="KR89" s="940"/>
      <c r="KS89" s="940"/>
      <c r="KT89" s="940"/>
      <c r="KU89" s="940"/>
      <c r="KV89" s="940"/>
      <c r="KW89" s="940"/>
      <c r="KX89" s="940"/>
      <c r="KY89" s="940"/>
      <c r="KZ89" s="940"/>
      <c r="LA89" s="940"/>
      <c r="LB89" s="940"/>
      <c r="LC89" s="940"/>
      <c r="LD89" s="940"/>
      <c r="LE89" s="940"/>
      <c r="LF89" s="940"/>
      <c r="LG89" s="940"/>
      <c r="LH89" s="940"/>
    </row>
    <row r="90" spans="1:320" s="462" customFormat="1" ht="15" hidden="1" customHeight="1" outlineLevel="1" x14ac:dyDescent="0.25">
      <c r="A90" s="1205">
        <v>40507</v>
      </c>
      <c r="B90" s="1205"/>
      <c r="C90" s="463"/>
      <c r="D90" s="463"/>
      <c r="H90" s="932"/>
      <c r="I90" s="37"/>
      <c r="J90" s="932"/>
      <c r="K90" s="37"/>
      <c r="L90" s="932"/>
      <c r="M90" s="37"/>
      <c r="N90" s="932"/>
      <c r="O90" s="37"/>
      <c r="P90" s="932"/>
      <c r="Q90" s="37"/>
      <c r="R90" s="932"/>
      <c r="S90" s="37"/>
      <c r="T90" s="37"/>
      <c r="U90" s="37"/>
      <c r="V90" s="932"/>
      <c r="W90" s="37"/>
      <c r="X90" s="932"/>
      <c r="Y90" s="37"/>
      <c r="Z90" s="932"/>
      <c r="AA90" s="37"/>
      <c r="AB90" s="932"/>
      <c r="AC90" s="37"/>
      <c r="AD90" s="932"/>
      <c r="AE90" s="37"/>
      <c r="AF90" s="932"/>
      <c r="AG90" s="37"/>
      <c r="AH90" s="37"/>
      <c r="AI90" s="37"/>
      <c r="AJ90" s="932"/>
      <c r="AK90" s="37"/>
      <c r="AL90" s="932"/>
      <c r="AM90" s="37"/>
      <c r="AN90" s="932"/>
      <c r="AO90" s="37"/>
      <c r="AP90" s="932"/>
      <c r="AQ90" s="37"/>
      <c r="AR90" s="37"/>
      <c r="AS90" s="37"/>
      <c r="AT90" s="37"/>
      <c r="AU90" s="37"/>
      <c r="AV90" s="37"/>
      <c r="AW90" s="37"/>
      <c r="AX90" s="932"/>
      <c r="AY90" s="37"/>
      <c r="AZ90" s="932"/>
      <c r="BA90" s="37"/>
      <c r="BB90" s="932"/>
      <c r="BC90" s="37"/>
      <c r="BD90" s="932"/>
      <c r="BE90" s="37"/>
      <c r="BF90" s="932"/>
      <c r="BG90" s="37"/>
      <c r="BH90" s="37"/>
      <c r="BI90" s="37"/>
      <c r="BJ90" s="37"/>
      <c r="BK90" s="37"/>
      <c r="BL90" s="932"/>
      <c r="BM90" s="37"/>
      <c r="BN90" s="932"/>
      <c r="BO90" s="37"/>
      <c r="BP90" s="932"/>
      <c r="BQ90" s="37"/>
      <c r="BR90" s="932"/>
      <c r="BS90" s="37"/>
      <c r="BT90" s="932"/>
      <c r="BU90" s="932"/>
      <c r="BV90" s="932"/>
      <c r="BW90" s="932"/>
      <c r="BX90" s="37"/>
      <c r="BY90" s="37"/>
      <c r="BZ90" s="932"/>
      <c r="CA90" s="37"/>
      <c r="CB90" s="932"/>
      <c r="CC90" s="37"/>
      <c r="CD90" s="932"/>
      <c r="CE90" s="37"/>
      <c r="CF90" s="932"/>
      <c r="CG90" s="37"/>
      <c r="CH90" s="932"/>
      <c r="CI90" s="932"/>
      <c r="CJ90" s="932"/>
      <c r="CK90" s="932"/>
      <c r="CL90" s="37"/>
      <c r="CM90" s="37"/>
      <c r="CN90" s="932"/>
      <c r="CO90" s="37"/>
      <c r="CP90" s="932"/>
      <c r="CQ90" s="37"/>
      <c r="CR90" s="932"/>
      <c r="CS90" s="37"/>
      <c r="CT90" s="932"/>
      <c r="CU90" s="37"/>
      <c r="CV90" s="932"/>
      <c r="CW90" s="932"/>
      <c r="CX90" s="932"/>
      <c r="CY90" s="932"/>
      <c r="CZ90" s="37"/>
      <c r="DA90" s="37"/>
      <c r="DB90" s="932"/>
      <c r="DC90" s="37"/>
      <c r="DD90" s="932"/>
      <c r="DE90" s="37"/>
      <c r="DF90" s="932"/>
      <c r="DG90" s="37"/>
      <c r="DH90" s="932"/>
      <c r="DI90" s="37"/>
      <c r="DJ90" s="932"/>
      <c r="DK90" s="932"/>
      <c r="DL90" s="932"/>
      <c r="DM90" s="932"/>
      <c r="DN90" s="37"/>
      <c r="DO90" s="37"/>
      <c r="DP90" s="932"/>
      <c r="DQ90" s="37"/>
      <c r="DR90" s="932"/>
      <c r="DS90" s="37"/>
      <c r="DT90" s="932"/>
      <c r="DU90" s="37"/>
      <c r="DV90" s="932"/>
      <c r="DW90" s="37"/>
      <c r="DX90" s="932"/>
      <c r="DY90" s="932"/>
      <c r="DZ90" s="932"/>
      <c r="EA90" s="932"/>
      <c r="EB90" s="37"/>
      <c r="EC90" s="37"/>
      <c r="EE90" s="937"/>
      <c r="EG90" s="938"/>
      <c r="EI90" s="938"/>
      <c r="EK90" s="938"/>
      <c r="EM90" s="938"/>
      <c r="EO90" s="938"/>
      <c r="EQ90" s="938"/>
      <c r="ES90" s="938"/>
      <c r="EU90" s="938"/>
      <c r="EW90" s="938"/>
      <c r="EY90" s="938"/>
      <c r="FA90" s="938"/>
      <c r="FC90" s="938"/>
      <c r="FE90" s="938"/>
      <c r="FG90" s="938"/>
      <c r="FI90" s="938"/>
      <c r="FK90" s="938"/>
      <c r="FM90" s="938"/>
      <c r="FO90" s="938"/>
      <c r="FQ90" s="938"/>
      <c r="FS90" s="938"/>
      <c r="FU90" s="938"/>
      <c r="FW90" s="938"/>
      <c r="FY90" s="938"/>
      <c r="GA90" s="938"/>
      <c r="GC90" s="938"/>
      <c r="GE90" s="938"/>
      <c r="GG90" s="938"/>
      <c r="GI90" s="938"/>
      <c r="GK90" s="938"/>
      <c r="GM90" s="938"/>
      <c r="GO90" s="938"/>
      <c r="GQ90" s="938"/>
      <c r="GS90" s="938"/>
      <c r="GU90" s="938"/>
      <c r="GW90" s="938"/>
      <c r="GY90" s="938"/>
      <c r="HA90" s="938"/>
      <c r="HC90" s="938"/>
      <c r="HE90" s="938"/>
      <c r="HG90" s="938"/>
      <c r="HI90" s="938"/>
      <c r="HK90" s="938"/>
      <c r="HM90" s="938"/>
      <c r="HO90" s="938"/>
      <c r="HQ90" s="938"/>
      <c r="HS90" s="938"/>
      <c r="HU90" s="938"/>
      <c r="HW90" s="938"/>
      <c r="HY90" s="938"/>
      <c r="IA90" s="938"/>
      <c r="IC90" s="938"/>
      <c r="IE90" s="938"/>
      <c r="IG90" s="938"/>
      <c r="II90" s="938"/>
      <c r="IK90" s="938"/>
      <c r="IM90" s="938"/>
      <c r="IO90" s="938"/>
      <c r="IQ90" s="938"/>
      <c r="IS90" s="938"/>
      <c r="IT90" s="932"/>
      <c r="IU90" s="938"/>
      <c r="IW90" s="939"/>
      <c r="IX90" s="938"/>
      <c r="IY90" s="938"/>
      <c r="IZ90" s="938"/>
      <c r="JB90" s="940"/>
      <c r="JC90" s="940"/>
      <c r="JD90" s="940"/>
      <c r="JE90" s="940"/>
      <c r="JF90" s="940"/>
      <c r="JG90" s="940"/>
      <c r="JH90" s="940"/>
      <c r="JI90" s="940"/>
      <c r="JJ90" s="940"/>
      <c r="JK90" s="940"/>
      <c r="JL90" s="940"/>
      <c r="JM90" s="940"/>
      <c r="JN90" s="940"/>
      <c r="JO90" s="940"/>
      <c r="JP90" s="940"/>
      <c r="JQ90" s="940"/>
      <c r="JR90" s="940"/>
      <c r="JS90" s="940"/>
      <c r="JT90" s="940"/>
      <c r="JU90" s="940"/>
      <c r="JV90" s="940"/>
      <c r="JW90" s="940"/>
      <c r="JX90" s="940"/>
      <c r="JY90" s="940"/>
      <c r="JZ90" s="940"/>
      <c r="KA90" s="940"/>
      <c r="KB90" s="940"/>
      <c r="KC90" s="940"/>
      <c r="KD90" s="940"/>
      <c r="KE90" s="940"/>
      <c r="KF90" s="940"/>
      <c r="KG90" s="940"/>
      <c r="KH90" s="940"/>
      <c r="KI90" s="940"/>
      <c r="KJ90" s="940"/>
      <c r="KK90" s="940"/>
      <c r="KL90" s="940"/>
      <c r="KM90" s="940"/>
      <c r="KN90" s="940"/>
      <c r="KO90" s="940"/>
      <c r="KP90" s="940"/>
      <c r="KQ90" s="940"/>
      <c r="KR90" s="940"/>
      <c r="KS90" s="940"/>
      <c r="KT90" s="940"/>
      <c r="KU90" s="940"/>
      <c r="KV90" s="940"/>
      <c r="KW90" s="940"/>
      <c r="KX90" s="940"/>
      <c r="KY90" s="940"/>
      <c r="KZ90" s="940"/>
      <c r="LA90" s="940"/>
      <c r="LB90" s="940"/>
      <c r="LC90" s="940"/>
      <c r="LD90" s="940"/>
      <c r="LE90" s="940"/>
      <c r="LF90" s="940"/>
      <c r="LG90" s="940"/>
      <c r="LH90" s="940"/>
    </row>
    <row r="91" spans="1:320" s="462" customFormat="1" ht="15" hidden="1" customHeight="1" outlineLevel="1" x14ac:dyDescent="0.25">
      <c r="A91" s="1205">
        <v>40508</v>
      </c>
      <c r="B91" s="1205"/>
      <c r="C91" s="463"/>
      <c r="D91" s="463"/>
      <c r="H91" s="932"/>
      <c r="I91" s="37"/>
      <c r="J91" s="932"/>
      <c r="K91" s="37"/>
      <c r="L91" s="932"/>
      <c r="M91" s="37"/>
      <c r="N91" s="932"/>
      <c r="O91" s="37"/>
      <c r="P91" s="932"/>
      <c r="Q91" s="37"/>
      <c r="R91" s="932"/>
      <c r="S91" s="37"/>
      <c r="T91" s="37"/>
      <c r="U91" s="37"/>
      <c r="V91" s="932"/>
      <c r="W91" s="37"/>
      <c r="X91" s="932"/>
      <c r="Y91" s="37"/>
      <c r="Z91" s="932"/>
      <c r="AA91" s="37"/>
      <c r="AB91" s="932"/>
      <c r="AC91" s="37"/>
      <c r="AD91" s="932"/>
      <c r="AE91" s="37"/>
      <c r="AF91" s="932"/>
      <c r="AG91" s="37"/>
      <c r="AH91" s="37"/>
      <c r="AI91" s="37"/>
      <c r="AJ91" s="932"/>
      <c r="AK91" s="37"/>
      <c r="AL91" s="932"/>
      <c r="AM91" s="37"/>
      <c r="AN91" s="932"/>
      <c r="AO91" s="37"/>
      <c r="AP91" s="932"/>
      <c r="AQ91" s="37"/>
      <c r="AR91" s="37"/>
      <c r="AS91" s="37"/>
      <c r="AT91" s="37"/>
      <c r="AU91" s="37"/>
      <c r="AV91" s="37"/>
      <c r="AW91" s="37"/>
      <c r="AX91" s="932"/>
      <c r="AY91" s="37"/>
      <c r="AZ91" s="932"/>
      <c r="BA91" s="37"/>
      <c r="BB91" s="932"/>
      <c r="BC91" s="37"/>
      <c r="BD91" s="932"/>
      <c r="BE91" s="37"/>
      <c r="BF91" s="932"/>
      <c r="BG91" s="37"/>
      <c r="BH91" s="37"/>
      <c r="BI91" s="37"/>
      <c r="BJ91" s="37"/>
      <c r="BK91" s="37"/>
      <c r="BL91" s="932"/>
      <c r="BM91" s="37"/>
      <c r="BN91" s="932"/>
      <c r="BO91" s="37"/>
      <c r="BP91" s="932"/>
      <c r="BQ91" s="37"/>
      <c r="BR91" s="932"/>
      <c r="BS91" s="37"/>
      <c r="BT91" s="932"/>
      <c r="BU91" s="932"/>
      <c r="BV91" s="932"/>
      <c r="BW91" s="932"/>
      <c r="BX91" s="37"/>
      <c r="BY91" s="37"/>
      <c r="BZ91" s="932"/>
      <c r="CA91" s="37"/>
      <c r="CB91" s="932"/>
      <c r="CC91" s="37"/>
      <c r="CD91" s="932"/>
      <c r="CE91" s="37"/>
      <c r="CF91" s="932"/>
      <c r="CG91" s="37"/>
      <c r="CH91" s="932"/>
      <c r="CI91" s="932"/>
      <c r="CJ91" s="932"/>
      <c r="CK91" s="932"/>
      <c r="CL91" s="37"/>
      <c r="CM91" s="37"/>
      <c r="CN91" s="932"/>
      <c r="CO91" s="37"/>
      <c r="CP91" s="932"/>
      <c r="CQ91" s="37"/>
      <c r="CR91" s="932"/>
      <c r="CS91" s="37"/>
      <c r="CT91" s="932"/>
      <c r="CU91" s="37"/>
      <c r="CV91" s="932"/>
      <c r="CW91" s="932"/>
      <c r="CX91" s="932"/>
      <c r="CY91" s="932"/>
      <c r="CZ91" s="37"/>
      <c r="DA91" s="37"/>
      <c r="DB91" s="932"/>
      <c r="DC91" s="37"/>
      <c r="DD91" s="932"/>
      <c r="DE91" s="37"/>
      <c r="DF91" s="932"/>
      <c r="DG91" s="37"/>
      <c r="DH91" s="932"/>
      <c r="DI91" s="37"/>
      <c r="DJ91" s="932"/>
      <c r="DK91" s="932"/>
      <c r="DL91" s="932"/>
      <c r="DM91" s="932"/>
      <c r="DN91" s="37"/>
      <c r="DO91" s="37"/>
      <c r="DP91" s="932"/>
      <c r="DQ91" s="37"/>
      <c r="DR91" s="932"/>
      <c r="DS91" s="37"/>
      <c r="DT91" s="932"/>
      <c r="DU91" s="37"/>
      <c r="DV91" s="932"/>
      <c r="DW91" s="37"/>
      <c r="DX91" s="932"/>
      <c r="DY91" s="932"/>
      <c r="DZ91" s="932"/>
      <c r="EA91" s="932"/>
      <c r="EB91" s="37"/>
      <c r="EC91" s="37"/>
      <c r="EE91" s="937"/>
      <c r="EG91" s="938"/>
      <c r="EI91" s="938"/>
      <c r="EK91" s="938"/>
      <c r="EM91" s="938"/>
      <c r="EO91" s="938"/>
      <c r="EQ91" s="938"/>
      <c r="ES91" s="938"/>
      <c r="EU91" s="938"/>
      <c r="EW91" s="938"/>
      <c r="EY91" s="938"/>
      <c r="FA91" s="938"/>
      <c r="FC91" s="938"/>
      <c r="FE91" s="938"/>
      <c r="FG91" s="938"/>
      <c r="FI91" s="938"/>
      <c r="FK91" s="938"/>
      <c r="FM91" s="938"/>
      <c r="FO91" s="938"/>
      <c r="FQ91" s="938"/>
      <c r="FS91" s="938"/>
      <c r="FU91" s="938"/>
      <c r="FW91" s="938"/>
      <c r="FY91" s="938"/>
      <c r="GA91" s="938"/>
      <c r="GC91" s="938"/>
      <c r="GE91" s="938"/>
      <c r="GG91" s="938"/>
      <c r="GI91" s="938"/>
      <c r="GK91" s="938"/>
      <c r="GM91" s="938"/>
      <c r="GO91" s="938"/>
      <c r="GQ91" s="938"/>
      <c r="GS91" s="938"/>
      <c r="GU91" s="938"/>
      <c r="GW91" s="938"/>
      <c r="GY91" s="938"/>
      <c r="HA91" s="938"/>
      <c r="HC91" s="938"/>
      <c r="HE91" s="938"/>
      <c r="HG91" s="938"/>
      <c r="HI91" s="938"/>
      <c r="HK91" s="938"/>
      <c r="HM91" s="938"/>
      <c r="HO91" s="938"/>
      <c r="HQ91" s="938"/>
      <c r="HS91" s="938"/>
      <c r="HU91" s="938"/>
      <c r="HW91" s="938"/>
      <c r="HY91" s="938"/>
      <c r="IA91" s="938"/>
      <c r="IC91" s="938"/>
      <c r="IE91" s="938"/>
      <c r="IG91" s="938"/>
      <c r="II91" s="938"/>
      <c r="IK91" s="938"/>
      <c r="IM91" s="938"/>
      <c r="IO91" s="938"/>
      <c r="IQ91" s="938"/>
      <c r="IS91" s="938"/>
      <c r="IT91" s="932"/>
      <c r="IU91" s="938"/>
      <c r="IW91" s="939"/>
      <c r="IX91" s="938"/>
      <c r="IY91" s="938"/>
      <c r="IZ91" s="938"/>
      <c r="JB91" s="940"/>
      <c r="JC91" s="940"/>
      <c r="JD91" s="940"/>
      <c r="JE91" s="940"/>
      <c r="JF91" s="940"/>
      <c r="JG91" s="940"/>
      <c r="JH91" s="940"/>
      <c r="JI91" s="940"/>
      <c r="JJ91" s="940"/>
      <c r="JK91" s="940"/>
      <c r="JL91" s="940"/>
      <c r="JM91" s="940"/>
      <c r="JN91" s="940"/>
      <c r="JO91" s="940"/>
      <c r="JP91" s="940"/>
      <c r="JQ91" s="940"/>
      <c r="JR91" s="940"/>
      <c r="JS91" s="940"/>
      <c r="JT91" s="940"/>
      <c r="JU91" s="940"/>
      <c r="JV91" s="940"/>
      <c r="JW91" s="940"/>
      <c r="JX91" s="940"/>
      <c r="JY91" s="940"/>
      <c r="JZ91" s="940"/>
      <c r="KA91" s="940"/>
      <c r="KB91" s="940"/>
      <c r="KC91" s="940"/>
      <c r="KD91" s="940"/>
      <c r="KE91" s="940"/>
      <c r="KF91" s="940"/>
      <c r="KG91" s="940"/>
      <c r="KH91" s="940"/>
      <c r="KI91" s="940"/>
      <c r="KJ91" s="940"/>
      <c r="KK91" s="940"/>
      <c r="KL91" s="940"/>
      <c r="KM91" s="940"/>
      <c r="KN91" s="940"/>
      <c r="KO91" s="940"/>
      <c r="KP91" s="940"/>
      <c r="KQ91" s="940"/>
      <c r="KR91" s="940"/>
      <c r="KS91" s="940"/>
      <c r="KT91" s="940"/>
      <c r="KU91" s="940"/>
      <c r="KV91" s="940"/>
      <c r="KW91" s="940"/>
      <c r="KX91" s="940"/>
      <c r="KY91" s="940"/>
      <c r="KZ91" s="940"/>
      <c r="LA91" s="940"/>
      <c r="LB91" s="940"/>
      <c r="LC91" s="940"/>
      <c r="LD91" s="940"/>
      <c r="LE91" s="940"/>
      <c r="LF91" s="940"/>
      <c r="LG91" s="940"/>
      <c r="LH91" s="940"/>
    </row>
    <row r="92" spans="1:320" s="462" customFormat="1" ht="15" hidden="1" customHeight="1" outlineLevel="1" x14ac:dyDescent="0.25">
      <c r="A92" s="1205">
        <v>40536</v>
      </c>
      <c r="B92" s="1205"/>
      <c r="C92" s="463"/>
      <c r="D92" s="463"/>
      <c r="H92" s="932"/>
      <c r="I92" s="37"/>
      <c r="J92" s="932"/>
      <c r="K92" s="37"/>
      <c r="L92" s="932"/>
      <c r="M92" s="37"/>
      <c r="N92" s="932"/>
      <c r="O92" s="37"/>
      <c r="P92" s="932"/>
      <c r="Q92" s="37"/>
      <c r="R92" s="932"/>
      <c r="S92" s="37"/>
      <c r="T92" s="37"/>
      <c r="U92" s="37"/>
      <c r="V92" s="932"/>
      <c r="W92" s="37"/>
      <c r="X92" s="932"/>
      <c r="Y92" s="37"/>
      <c r="Z92" s="932"/>
      <c r="AA92" s="37"/>
      <c r="AB92" s="932"/>
      <c r="AC92" s="37"/>
      <c r="AD92" s="932"/>
      <c r="AE92" s="37"/>
      <c r="AF92" s="932"/>
      <c r="AG92" s="37"/>
      <c r="AH92" s="37"/>
      <c r="AI92" s="37"/>
      <c r="AJ92" s="932"/>
      <c r="AK92" s="37"/>
      <c r="AL92" s="932"/>
      <c r="AM92" s="37"/>
      <c r="AN92" s="932"/>
      <c r="AO92" s="37"/>
      <c r="AP92" s="932"/>
      <c r="AQ92" s="37"/>
      <c r="AR92" s="37"/>
      <c r="AS92" s="37"/>
      <c r="AT92" s="37"/>
      <c r="AU92" s="37"/>
      <c r="AV92" s="37"/>
      <c r="AW92" s="37"/>
      <c r="AX92" s="932"/>
      <c r="AY92" s="37"/>
      <c r="AZ92" s="932"/>
      <c r="BA92" s="37"/>
      <c r="BB92" s="932"/>
      <c r="BC92" s="37"/>
      <c r="BD92" s="932"/>
      <c r="BE92" s="37"/>
      <c r="BF92" s="932"/>
      <c r="BG92" s="37"/>
      <c r="BH92" s="37"/>
      <c r="BI92" s="37"/>
      <c r="BJ92" s="37"/>
      <c r="BK92" s="37"/>
      <c r="BL92" s="932"/>
      <c r="BM92" s="37"/>
      <c r="BN92" s="932"/>
      <c r="BO92" s="37"/>
      <c r="BP92" s="932"/>
      <c r="BQ92" s="37"/>
      <c r="BR92" s="932"/>
      <c r="BS92" s="37"/>
      <c r="BT92" s="932"/>
      <c r="BU92" s="932"/>
      <c r="BV92" s="932"/>
      <c r="BW92" s="932"/>
      <c r="BX92" s="37"/>
      <c r="BY92" s="37"/>
      <c r="BZ92" s="932"/>
      <c r="CA92" s="37"/>
      <c r="CB92" s="932"/>
      <c r="CC92" s="37"/>
      <c r="CD92" s="932"/>
      <c r="CE92" s="37"/>
      <c r="CF92" s="932"/>
      <c r="CG92" s="37"/>
      <c r="CH92" s="932"/>
      <c r="CI92" s="932"/>
      <c r="CJ92" s="932"/>
      <c r="CK92" s="932"/>
      <c r="CL92" s="37"/>
      <c r="CM92" s="37"/>
      <c r="CN92" s="932"/>
      <c r="CO92" s="37"/>
      <c r="CP92" s="932"/>
      <c r="CQ92" s="37"/>
      <c r="CR92" s="932"/>
      <c r="CS92" s="37"/>
      <c r="CT92" s="932"/>
      <c r="CU92" s="37"/>
      <c r="CV92" s="932"/>
      <c r="CW92" s="932"/>
      <c r="CX92" s="932"/>
      <c r="CY92" s="932"/>
      <c r="CZ92" s="37"/>
      <c r="DA92" s="37"/>
      <c r="DB92" s="932"/>
      <c r="DC92" s="37"/>
      <c r="DD92" s="932"/>
      <c r="DE92" s="37"/>
      <c r="DF92" s="932"/>
      <c r="DG92" s="37"/>
      <c r="DH92" s="932"/>
      <c r="DI92" s="37"/>
      <c r="DJ92" s="932"/>
      <c r="DK92" s="932"/>
      <c r="DL92" s="932"/>
      <c r="DM92" s="932"/>
      <c r="DN92" s="37"/>
      <c r="DO92" s="37"/>
      <c r="DP92" s="932"/>
      <c r="DQ92" s="37"/>
      <c r="DR92" s="932"/>
      <c r="DS92" s="37"/>
      <c r="DT92" s="932"/>
      <c r="DU92" s="37"/>
      <c r="DV92" s="932"/>
      <c r="DW92" s="37"/>
      <c r="DX92" s="932"/>
      <c r="DY92" s="932"/>
      <c r="DZ92" s="932"/>
      <c r="EA92" s="932"/>
      <c r="EB92" s="37"/>
      <c r="EC92" s="37"/>
      <c r="EE92" s="937"/>
      <c r="EG92" s="938"/>
      <c r="EI92" s="938"/>
      <c r="EK92" s="938"/>
      <c r="EM92" s="938"/>
      <c r="EO92" s="938"/>
      <c r="EQ92" s="938"/>
      <c r="ES92" s="938"/>
      <c r="EU92" s="938"/>
      <c r="EW92" s="938"/>
      <c r="EY92" s="938"/>
      <c r="FA92" s="938"/>
      <c r="FC92" s="938"/>
      <c r="FE92" s="938"/>
      <c r="FG92" s="938"/>
      <c r="FI92" s="938"/>
      <c r="FK92" s="938"/>
      <c r="FM92" s="938"/>
      <c r="FO92" s="938"/>
      <c r="FQ92" s="938"/>
      <c r="FS92" s="938"/>
      <c r="FU92" s="938"/>
      <c r="FW92" s="938"/>
      <c r="FY92" s="938"/>
      <c r="GA92" s="938"/>
      <c r="GC92" s="938"/>
      <c r="GE92" s="938"/>
      <c r="GG92" s="938"/>
      <c r="GI92" s="938"/>
      <c r="GK92" s="938"/>
      <c r="GM92" s="938"/>
      <c r="GO92" s="938"/>
      <c r="GQ92" s="938"/>
      <c r="GS92" s="938"/>
      <c r="GU92" s="938"/>
      <c r="GW92" s="938"/>
      <c r="GY92" s="938"/>
      <c r="HA92" s="938"/>
      <c r="HC92" s="938"/>
      <c r="HE92" s="938"/>
      <c r="HG92" s="938"/>
      <c r="HI92" s="938"/>
      <c r="HK92" s="938"/>
      <c r="HM92" s="938"/>
      <c r="HO92" s="938"/>
      <c r="HQ92" s="938"/>
      <c r="HS92" s="938"/>
      <c r="HU92" s="938"/>
      <c r="HW92" s="938"/>
      <c r="HY92" s="938"/>
      <c r="IA92" s="938"/>
      <c r="IC92" s="938"/>
      <c r="IE92" s="938"/>
      <c r="IG92" s="938"/>
      <c r="II92" s="938"/>
      <c r="IK92" s="938"/>
      <c r="IM92" s="938"/>
      <c r="IO92" s="938"/>
      <c r="IQ92" s="938"/>
      <c r="IS92" s="938"/>
      <c r="IT92" s="932"/>
      <c r="IU92" s="938"/>
      <c r="IW92" s="939"/>
      <c r="IX92" s="938"/>
      <c r="IY92" s="938"/>
      <c r="IZ92" s="938"/>
      <c r="JB92" s="940"/>
      <c r="JC92" s="940"/>
      <c r="JD92" s="940"/>
      <c r="JE92" s="940"/>
      <c r="JF92" s="940"/>
      <c r="JG92" s="940"/>
      <c r="JH92" s="940"/>
      <c r="JI92" s="940"/>
      <c r="JJ92" s="940"/>
      <c r="JK92" s="940"/>
      <c r="JL92" s="940"/>
      <c r="JM92" s="940"/>
      <c r="JN92" s="940"/>
      <c r="JO92" s="940"/>
      <c r="JP92" s="940"/>
      <c r="JQ92" s="940"/>
      <c r="JR92" s="940"/>
      <c r="JS92" s="940"/>
      <c r="JT92" s="940"/>
      <c r="JU92" s="940"/>
      <c r="JV92" s="940"/>
      <c r="JW92" s="940"/>
      <c r="JX92" s="940"/>
      <c r="JY92" s="940"/>
      <c r="JZ92" s="940"/>
      <c r="KA92" s="940"/>
      <c r="KB92" s="940"/>
      <c r="KC92" s="940"/>
      <c r="KD92" s="940"/>
      <c r="KE92" s="940"/>
      <c r="KF92" s="940"/>
      <c r="KG92" s="940"/>
      <c r="KH92" s="940"/>
      <c r="KI92" s="940"/>
      <c r="KJ92" s="940"/>
      <c r="KK92" s="940"/>
      <c r="KL92" s="940"/>
      <c r="KM92" s="940"/>
      <c r="KN92" s="940"/>
      <c r="KO92" s="940"/>
      <c r="KP92" s="940"/>
      <c r="KQ92" s="940"/>
      <c r="KR92" s="940"/>
      <c r="KS92" s="940"/>
      <c r="KT92" s="940"/>
      <c r="KU92" s="940"/>
      <c r="KV92" s="940"/>
      <c r="KW92" s="940"/>
      <c r="KX92" s="940"/>
      <c r="KY92" s="940"/>
      <c r="KZ92" s="940"/>
      <c r="LA92" s="940"/>
      <c r="LB92" s="940"/>
      <c r="LC92" s="940"/>
      <c r="LD92" s="940"/>
      <c r="LE92" s="940"/>
      <c r="LF92" s="940"/>
      <c r="LG92" s="940"/>
      <c r="LH92" s="940"/>
    </row>
    <row r="93" spans="1:320" s="462" customFormat="1" ht="15" hidden="1" customHeight="1" outlineLevel="1" x14ac:dyDescent="0.25">
      <c r="A93" s="1205">
        <v>40539</v>
      </c>
      <c r="B93" s="1205"/>
      <c r="C93" s="463"/>
      <c r="D93" s="463"/>
      <c r="H93" s="932"/>
      <c r="I93" s="37"/>
      <c r="J93" s="932"/>
      <c r="K93" s="37"/>
      <c r="L93" s="932"/>
      <c r="M93" s="37"/>
      <c r="N93" s="932"/>
      <c r="O93" s="37"/>
      <c r="P93" s="932"/>
      <c r="Q93" s="37"/>
      <c r="R93" s="932"/>
      <c r="S93" s="37"/>
      <c r="T93" s="37"/>
      <c r="U93" s="37"/>
      <c r="V93" s="932"/>
      <c r="W93" s="37"/>
      <c r="X93" s="932"/>
      <c r="Y93" s="37"/>
      <c r="Z93" s="932"/>
      <c r="AA93" s="37"/>
      <c r="AB93" s="932"/>
      <c r="AC93" s="37"/>
      <c r="AD93" s="932"/>
      <c r="AE93" s="37"/>
      <c r="AF93" s="932"/>
      <c r="AG93" s="37"/>
      <c r="AH93" s="37"/>
      <c r="AI93" s="37"/>
      <c r="AJ93" s="932"/>
      <c r="AK93" s="37"/>
      <c r="AL93" s="932"/>
      <c r="AM93" s="37"/>
      <c r="AN93" s="932"/>
      <c r="AO93" s="37"/>
      <c r="AP93" s="932"/>
      <c r="AQ93" s="37"/>
      <c r="AR93" s="37"/>
      <c r="AS93" s="37"/>
      <c r="AT93" s="37"/>
      <c r="AU93" s="37"/>
      <c r="AV93" s="37"/>
      <c r="AW93" s="37"/>
      <c r="AX93" s="932"/>
      <c r="AY93" s="37"/>
      <c r="AZ93" s="932"/>
      <c r="BA93" s="37"/>
      <c r="BB93" s="932"/>
      <c r="BC93" s="37"/>
      <c r="BD93" s="932"/>
      <c r="BE93" s="37"/>
      <c r="BF93" s="932"/>
      <c r="BG93" s="37"/>
      <c r="BH93" s="37"/>
      <c r="BI93" s="37"/>
      <c r="BJ93" s="37"/>
      <c r="BK93" s="37"/>
      <c r="BL93" s="932"/>
      <c r="BM93" s="37"/>
      <c r="BN93" s="932"/>
      <c r="BO93" s="37"/>
      <c r="BP93" s="932"/>
      <c r="BQ93" s="37"/>
      <c r="BR93" s="932"/>
      <c r="BS93" s="37"/>
      <c r="BT93" s="932"/>
      <c r="BU93" s="932"/>
      <c r="BV93" s="932"/>
      <c r="BW93" s="932"/>
      <c r="BX93" s="37"/>
      <c r="BY93" s="37"/>
      <c r="BZ93" s="932"/>
      <c r="CA93" s="37"/>
      <c r="CB93" s="932"/>
      <c r="CC93" s="37"/>
      <c r="CD93" s="932"/>
      <c r="CE93" s="37"/>
      <c r="CF93" s="932"/>
      <c r="CG93" s="37"/>
      <c r="CH93" s="932"/>
      <c r="CI93" s="932"/>
      <c r="CJ93" s="932"/>
      <c r="CK93" s="932"/>
      <c r="CL93" s="37"/>
      <c r="CM93" s="37"/>
      <c r="CN93" s="932"/>
      <c r="CO93" s="37"/>
      <c r="CP93" s="932"/>
      <c r="CQ93" s="37"/>
      <c r="CR93" s="932"/>
      <c r="CS93" s="37"/>
      <c r="CT93" s="932"/>
      <c r="CU93" s="37"/>
      <c r="CV93" s="932"/>
      <c r="CW93" s="932"/>
      <c r="CX93" s="932"/>
      <c r="CY93" s="932"/>
      <c r="CZ93" s="37"/>
      <c r="DA93" s="37"/>
      <c r="DB93" s="932"/>
      <c r="DC93" s="37"/>
      <c r="DD93" s="932"/>
      <c r="DE93" s="37"/>
      <c r="DF93" s="932"/>
      <c r="DG93" s="37"/>
      <c r="DH93" s="932"/>
      <c r="DI93" s="37"/>
      <c r="DJ93" s="932"/>
      <c r="DK93" s="932"/>
      <c r="DL93" s="932"/>
      <c r="DM93" s="932"/>
      <c r="DN93" s="37"/>
      <c r="DO93" s="37"/>
      <c r="DP93" s="932"/>
      <c r="DQ93" s="37"/>
      <c r="DR93" s="932"/>
      <c r="DS93" s="37"/>
      <c r="DT93" s="932"/>
      <c r="DU93" s="37"/>
      <c r="DV93" s="932"/>
      <c r="DW93" s="37"/>
      <c r="DX93" s="932"/>
      <c r="DY93" s="932"/>
      <c r="DZ93" s="932"/>
      <c r="EA93" s="932"/>
      <c r="EB93" s="37"/>
      <c r="EC93" s="37"/>
      <c r="EE93" s="937"/>
      <c r="EG93" s="938"/>
      <c r="EI93" s="938"/>
      <c r="EK93" s="938"/>
      <c r="EM93" s="938"/>
      <c r="EO93" s="938"/>
      <c r="EQ93" s="938"/>
      <c r="ES93" s="938"/>
      <c r="EU93" s="938"/>
      <c r="EW93" s="938"/>
      <c r="EY93" s="938"/>
      <c r="FA93" s="938"/>
      <c r="FC93" s="938"/>
      <c r="FE93" s="938"/>
      <c r="FG93" s="938"/>
      <c r="FI93" s="938"/>
      <c r="FK93" s="938"/>
      <c r="FM93" s="938"/>
      <c r="FO93" s="938"/>
      <c r="FQ93" s="938"/>
      <c r="FS93" s="938"/>
      <c r="FU93" s="938"/>
      <c r="FW93" s="938"/>
      <c r="FY93" s="938"/>
      <c r="GA93" s="938"/>
      <c r="GC93" s="938"/>
      <c r="GE93" s="938"/>
      <c r="GG93" s="938"/>
      <c r="GI93" s="938"/>
      <c r="GK93" s="938"/>
      <c r="GM93" s="938"/>
      <c r="GO93" s="938"/>
      <c r="GQ93" s="938"/>
      <c r="GS93" s="938"/>
      <c r="GU93" s="938"/>
      <c r="GW93" s="938"/>
      <c r="GY93" s="938"/>
      <c r="HA93" s="938"/>
      <c r="HC93" s="938"/>
      <c r="HE93" s="938"/>
      <c r="HG93" s="938"/>
      <c r="HI93" s="938"/>
      <c r="HK93" s="938"/>
      <c r="HM93" s="938"/>
      <c r="HO93" s="938"/>
      <c r="HQ93" s="938"/>
      <c r="HS93" s="938"/>
      <c r="HU93" s="938"/>
      <c r="HW93" s="938"/>
      <c r="HY93" s="938"/>
      <c r="IA93" s="938"/>
      <c r="IC93" s="938"/>
      <c r="IE93" s="938"/>
      <c r="IG93" s="938"/>
      <c r="II93" s="938"/>
      <c r="IK93" s="938"/>
      <c r="IM93" s="938"/>
      <c r="IO93" s="938"/>
      <c r="IQ93" s="938"/>
      <c r="IS93" s="938"/>
      <c r="IT93" s="932"/>
      <c r="IU93" s="938"/>
      <c r="IW93" s="939"/>
      <c r="IX93" s="938"/>
      <c r="IY93" s="938"/>
      <c r="IZ93" s="938"/>
      <c r="JB93" s="940"/>
      <c r="JC93" s="940"/>
      <c r="JD93" s="940"/>
      <c r="JE93" s="940"/>
      <c r="JF93" s="940"/>
      <c r="JG93" s="940"/>
      <c r="JH93" s="940"/>
      <c r="JI93" s="940"/>
      <c r="JJ93" s="940"/>
      <c r="JK93" s="940"/>
      <c r="JL93" s="940"/>
      <c r="JM93" s="940"/>
      <c r="JN93" s="940"/>
      <c r="JO93" s="940"/>
      <c r="JP93" s="940"/>
      <c r="JQ93" s="940"/>
      <c r="JR93" s="940"/>
      <c r="JS93" s="940"/>
      <c r="JT93" s="940"/>
      <c r="JU93" s="940"/>
      <c r="JV93" s="940"/>
      <c r="JW93" s="940"/>
      <c r="JX93" s="940"/>
      <c r="JY93" s="940"/>
      <c r="JZ93" s="940"/>
      <c r="KA93" s="940"/>
      <c r="KB93" s="940"/>
      <c r="KC93" s="940"/>
      <c r="KD93" s="940"/>
      <c r="KE93" s="940"/>
      <c r="KF93" s="940"/>
      <c r="KG93" s="940"/>
      <c r="KH93" s="940"/>
      <c r="KI93" s="940"/>
      <c r="KJ93" s="940"/>
      <c r="KK93" s="940"/>
      <c r="KL93" s="940"/>
      <c r="KM93" s="940"/>
      <c r="KN93" s="940"/>
      <c r="KO93" s="940"/>
      <c r="KP93" s="940"/>
      <c r="KQ93" s="940"/>
      <c r="KR93" s="940"/>
      <c r="KS93" s="940"/>
      <c r="KT93" s="940"/>
      <c r="KU93" s="940"/>
      <c r="KV93" s="940"/>
      <c r="KW93" s="940"/>
      <c r="KX93" s="940"/>
      <c r="KY93" s="940"/>
      <c r="KZ93" s="940"/>
      <c r="LA93" s="940"/>
      <c r="LB93" s="940"/>
      <c r="LC93" s="940"/>
      <c r="LD93" s="940"/>
      <c r="LE93" s="940"/>
      <c r="LF93" s="940"/>
      <c r="LG93" s="940"/>
      <c r="LH93" s="940"/>
    </row>
    <row r="94" spans="1:320" s="462" customFormat="1" ht="15" hidden="1" customHeight="1" outlineLevel="1" x14ac:dyDescent="0.25">
      <c r="A94" s="1214">
        <v>40543</v>
      </c>
      <c r="B94" s="1205"/>
      <c r="C94" s="463"/>
      <c r="D94" s="463"/>
      <c r="H94" s="932"/>
      <c r="I94" s="37"/>
      <c r="J94" s="932"/>
      <c r="K94" s="37"/>
      <c r="L94" s="932"/>
      <c r="M94" s="37"/>
      <c r="N94" s="932"/>
      <c r="O94" s="37"/>
      <c r="P94" s="932"/>
      <c r="Q94" s="37"/>
      <c r="R94" s="932"/>
      <c r="S94" s="37"/>
      <c r="T94" s="37"/>
      <c r="U94" s="37"/>
      <c r="V94" s="932"/>
      <c r="W94" s="37"/>
      <c r="X94" s="932"/>
      <c r="Y94" s="37"/>
      <c r="Z94" s="932"/>
      <c r="AA94" s="37"/>
      <c r="AB94" s="932"/>
      <c r="AC94" s="37"/>
      <c r="AD94" s="932"/>
      <c r="AE94" s="37"/>
      <c r="AF94" s="932"/>
      <c r="AG94" s="37"/>
      <c r="AH94" s="37"/>
      <c r="AI94" s="37"/>
      <c r="AJ94" s="932"/>
      <c r="AK94" s="37"/>
      <c r="AL94" s="932"/>
      <c r="AM94" s="37"/>
      <c r="AN94" s="932"/>
      <c r="AO94" s="37"/>
      <c r="AP94" s="932"/>
      <c r="AQ94" s="37"/>
      <c r="AR94" s="37"/>
      <c r="AS94" s="37"/>
      <c r="AT94" s="37"/>
      <c r="AU94" s="37"/>
      <c r="AV94" s="37"/>
      <c r="AW94" s="37"/>
      <c r="AX94" s="932"/>
      <c r="AY94" s="37"/>
      <c r="AZ94" s="932"/>
      <c r="BA94" s="37"/>
      <c r="BB94" s="932"/>
      <c r="BC94" s="37"/>
      <c r="BD94" s="932"/>
      <c r="BE94" s="37"/>
      <c r="BF94" s="932"/>
      <c r="BG94" s="37"/>
      <c r="BH94" s="37"/>
      <c r="BI94" s="37"/>
      <c r="BJ94" s="37"/>
      <c r="BK94" s="37"/>
      <c r="BL94" s="932"/>
      <c r="BM94" s="37"/>
      <c r="BN94" s="932"/>
      <c r="BO94" s="37"/>
      <c r="BP94" s="932"/>
      <c r="BQ94" s="37"/>
      <c r="BR94" s="932"/>
      <c r="BS94" s="37"/>
      <c r="BT94" s="932"/>
      <c r="BU94" s="932"/>
      <c r="BV94" s="932"/>
      <c r="BW94" s="932"/>
      <c r="BX94" s="37"/>
      <c r="BY94" s="37"/>
      <c r="BZ94" s="932"/>
      <c r="CA94" s="37"/>
      <c r="CB94" s="932"/>
      <c r="CC94" s="37"/>
      <c r="CD94" s="932"/>
      <c r="CE94" s="37"/>
      <c r="CF94" s="932"/>
      <c r="CG94" s="37"/>
      <c r="CH94" s="932"/>
      <c r="CI94" s="932"/>
      <c r="CJ94" s="932"/>
      <c r="CK94" s="932"/>
      <c r="CL94" s="37"/>
      <c r="CM94" s="37"/>
      <c r="CN94" s="932"/>
      <c r="CO94" s="37"/>
      <c r="CP94" s="932"/>
      <c r="CQ94" s="37"/>
      <c r="CR94" s="932"/>
      <c r="CS94" s="37"/>
      <c r="CT94" s="932"/>
      <c r="CU94" s="37"/>
      <c r="CV94" s="932"/>
      <c r="CW94" s="932"/>
      <c r="CX94" s="932"/>
      <c r="CY94" s="932"/>
      <c r="CZ94" s="37"/>
      <c r="DA94" s="37"/>
      <c r="DB94" s="932"/>
      <c r="DC94" s="37"/>
      <c r="DD94" s="932"/>
      <c r="DE94" s="37"/>
      <c r="DF94" s="932"/>
      <c r="DG94" s="37"/>
      <c r="DH94" s="932"/>
      <c r="DI94" s="37"/>
      <c r="DJ94" s="932"/>
      <c r="DK94" s="932"/>
      <c r="DL94" s="932"/>
      <c r="DM94" s="932"/>
      <c r="DN94" s="37"/>
      <c r="DO94" s="37"/>
      <c r="DP94" s="932"/>
      <c r="DQ94" s="37"/>
      <c r="DR94" s="932"/>
      <c r="DS94" s="37"/>
      <c r="DT94" s="932"/>
      <c r="DU94" s="37"/>
      <c r="DV94" s="932"/>
      <c r="DW94" s="37"/>
      <c r="DX94" s="932"/>
      <c r="DY94" s="932"/>
      <c r="DZ94" s="932"/>
      <c r="EA94" s="932"/>
      <c r="EB94" s="37"/>
      <c r="EC94" s="37"/>
      <c r="EE94" s="937"/>
      <c r="EG94" s="938"/>
      <c r="EI94" s="938"/>
      <c r="EK94" s="938"/>
      <c r="EM94" s="938"/>
      <c r="EO94" s="938"/>
      <c r="EQ94" s="938"/>
      <c r="ES94" s="938"/>
      <c r="EU94" s="938"/>
      <c r="EW94" s="938"/>
      <c r="EY94" s="938"/>
      <c r="FA94" s="938"/>
      <c r="FC94" s="938"/>
      <c r="FE94" s="938"/>
      <c r="FG94" s="938"/>
      <c r="FI94" s="938"/>
      <c r="FK94" s="938"/>
      <c r="FM94" s="938"/>
      <c r="FO94" s="938"/>
      <c r="FQ94" s="938"/>
      <c r="FS94" s="938"/>
      <c r="FU94" s="938"/>
      <c r="FW94" s="938"/>
      <c r="FY94" s="938"/>
      <c r="GA94" s="938"/>
      <c r="GC94" s="938"/>
      <c r="GE94" s="938"/>
      <c r="GG94" s="938"/>
      <c r="GI94" s="938"/>
      <c r="GK94" s="938"/>
      <c r="GM94" s="938"/>
      <c r="GO94" s="938"/>
      <c r="GQ94" s="938"/>
      <c r="GS94" s="938"/>
      <c r="GU94" s="938"/>
      <c r="GW94" s="938"/>
      <c r="GY94" s="938"/>
      <c r="HA94" s="938"/>
      <c r="HC94" s="938"/>
      <c r="HE94" s="938"/>
      <c r="HG94" s="938"/>
      <c r="HI94" s="938"/>
      <c r="HK94" s="938"/>
      <c r="HM94" s="938"/>
      <c r="HO94" s="938"/>
      <c r="HQ94" s="938"/>
      <c r="HS94" s="938"/>
      <c r="HU94" s="938"/>
      <c r="HW94" s="938"/>
      <c r="HY94" s="938"/>
      <c r="IA94" s="938"/>
      <c r="IC94" s="938"/>
      <c r="IE94" s="938"/>
      <c r="IG94" s="938"/>
      <c r="II94" s="938"/>
      <c r="IK94" s="938"/>
      <c r="IM94" s="938"/>
      <c r="IO94" s="938"/>
      <c r="IQ94" s="938"/>
      <c r="IS94" s="938"/>
      <c r="IT94" s="932"/>
      <c r="IU94" s="938"/>
      <c r="IW94" s="939"/>
      <c r="IX94" s="938"/>
      <c r="IY94" s="938"/>
      <c r="IZ94" s="938"/>
      <c r="JB94" s="940"/>
      <c r="JC94" s="940"/>
      <c r="JD94" s="940"/>
      <c r="JE94" s="940"/>
      <c r="JF94" s="940"/>
      <c r="JG94" s="940"/>
      <c r="JH94" s="940"/>
      <c r="JI94" s="940"/>
      <c r="JJ94" s="940"/>
      <c r="JK94" s="940"/>
      <c r="JL94" s="940"/>
      <c r="JM94" s="940"/>
      <c r="JN94" s="940"/>
      <c r="JO94" s="940"/>
      <c r="JP94" s="940"/>
      <c r="JQ94" s="940"/>
      <c r="JR94" s="940"/>
      <c r="JS94" s="940"/>
      <c r="JT94" s="940"/>
      <c r="JU94" s="940"/>
      <c r="JV94" s="940"/>
      <c r="JW94" s="940"/>
      <c r="JX94" s="940"/>
      <c r="JY94" s="940"/>
      <c r="JZ94" s="940"/>
      <c r="KA94" s="940"/>
      <c r="KB94" s="940"/>
      <c r="KC94" s="940"/>
      <c r="KD94" s="940"/>
      <c r="KE94" s="940"/>
      <c r="KF94" s="940"/>
      <c r="KG94" s="940"/>
      <c r="KH94" s="940"/>
      <c r="KI94" s="940"/>
      <c r="KJ94" s="940"/>
      <c r="KK94" s="940"/>
      <c r="KL94" s="940"/>
      <c r="KM94" s="940"/>
      <c r="KN94" s="940"/>
      <c r="KO94" s="940"/>
      <c r="KP94" s="940"/>
      <c r="KQ94" s="940"/>
      <c r="KR94" s="940"/>
      <c r="KS94" s="940"/>
      <c r="KT94" s="940"/>
      <c r="KU94" s="940"/>
      <c r="KV94" s="940"/>
      <c r="KW94" s="940"/>
      <c r="KX94" s="940"/>
      <c r="KY94" s="940"/>
      <c r="KZ94" s="940"/>
      <c r="LA94" s="940"/>
      <c r="LB94" s="940"/>
      <c r="LC94" s="940"/>
      <c r="LD94" s="940"/>
      <c r="LE94" s="940"/>
      <c r="LF94" s="940"/>
      <c r="LG94" s="940"/>
      <c r="LH94" s="940"/>
    </row>
    <row r="95" spans="1:320" s="462" customFormat="1" ht="15" hidden="1" customHeight="1" outlineLevel="1" x14ac:dyDescent="0.25">
      <c r="A95" s="1205">
        <v>40560</v>
      </c>
      <c r="B95" s="1205"/>
      <c r="C95" s="463"/>
      <c r="D95" s="463"/>
      <c r="H95" s="932"/>
      <c r="I95" s="37"/>
      <c r="J95" s="932"/>
      <c r="K95" s="37"/>
      <c r="L95" s="932"/>
      <c r="M95" s="37"/>
      <c r="N95" s="932"/>
      <c r="O95" s="37"/>
      <c r="P95" s="932"/>
      <c r="Q95" s="37"/>
      <c r="R95" s="932"/>
      <c r="S95" s="37"/>
      <c r="T95" s="37"/>
      <c r="U95" s="37"/>
      <c r="V95" s="932"/>
      <c r="W95" s="37"/>
      <c r="X95" s="932"/>
      <c r="Y95" s="37"/>
      <c r="Z95" s="932"/>
      <c r="AA95" s="37"/>
      <c r="AB95" s="932"/>
      <c r="AC95" s="37"/>
      <c r="AD95" s="932"/>
      <c r="AE95" s="37"/>
      <c r="AF95" s="932"/>
      <c r="AG95" s="37"/>
      <c r="AH95" s="37"/>
      <c r="AI95" s="37"/>
      <c r="AJ95" s="932"/>
      <c r="AK95" s="37"/>
      <c r="AL95" s="932"/>
      <c r="AM95" s="37"/>
      <c r="AN95" s="932"/>
      <c r="AO95" s="37"/>
      <c r="AP95" s="932"/>
      <c r="AQ95" s="37"/>
      <c r="AR95" s="37"/>
      <c r="AS95" s="37"/>
      <c r="AT95" s="37"/>
      <c r="AU95" s="37"/>
      <c r="AV95" s="37"/>
      <c r="AW95" s="37"/>
      <c r="AX95" s="932"/>
      <c r="AY95" s="37"/>
      <c r="AZ95" s="932"/>
      <c r="BA95" s="37"/>
      <c r="BB95" s="932"/>
      <c r="BC95" s="37"/>
      <c r="BD95" s="932"/>
      <c r="BE95" s="37"/>
      <c r="BF95" s="932"/>
      <c r="BG95" s="37"/>
      <c r="BH95" s="37"/>
      <c r="BI95" s="37"/>
      <c r="BJ95" s="37"/>
      <c r="BK95" s="37"/>
      <c r="BL95" s="932"/>
      <c r="BM95" s="37"/>
      <c r="BN95" s="932"/>
      <c r="BO95" s="37"/>
      <c r="BP95" s="932"/>
      <c r="BQ95" s="37"/>
      <c r="BR95" s="932"/>
      <c r="BS95" s="37"/>
      <c r="BT95" s="932"/>
      <c r="BU95" s="932"/>
      <c r="BV95" s="932"/>
      <c r="BW95" s="932"/>
      <c r="BX95" s="37"/>
      <c r="BY95" s="37"/>
      <c r="BZ95" s="932"/>
      <c r="CA95" s="37"/>
      <c r="CB95" s="932"/>
      <c r="CC95" s="37"/>
      <c r="CD95" s="932"/>
      <c r="CE95" s="37"/>
      <c r="CF95" s="932"/>
      <c r="CG95" s="37"/>
      <c r="CH95" s="932"/>
      <c r="CI95" s="932"/>
      <c r="CJ95" s="932"/>
      <c r="CK95" s="932"/>
      <c r="CL95" s="37"/>
      <c r="CM95" s="37"/>
      <c r="CN95" s="932"/>
      <c r="CO95" s="37"/>
      <c r="CP95" s="932"/>
      <c r="CQ95" s="37"/>
      <c r="CR95" s="932"/>
      <c r="CS95" s="37"/>
      <c r="CT95" s="932"/>
      <c r="CU95" s="37"/>
      <c r="CV95" s="932"/>
      <c r="CW95" s="932"/>
      <c r="CX95" s="932"/>
      <c r="CY95" s="932"/>
      <c r="CZ95" s="37"/>
      <c r="DA95" s="37"/>
      <c r="DB95" s="932"/>
      <c r="DC95" s="37"/>
      <c r="DD95" s="932"/>
      <c r="DE95" s="37"/>
      <c r="DF95" s="932"/>
      <c r="DG95" s="37"/>
      <c r="DH95" s="932"/>
      <c r="DI95" s="37"/>
      <c r="DJ95" s="932"/>
      <c r="DK95" s="932"/>
      <c r="DL95" s="932"/>
      <c r="DM95" s="932"/>
      <c r="DN95" s="37"/>
      <c r="DO95" s="37"/>
      <c r="DP95" s="932"/>
      <c r="DQ95" s="37"/>
      <c r="DR95" s="932"/>
      <c r="DS95" s="37"/>
      <c r="DT95" s="932"/>
      <c r="DU95" s="37"/>
      <c r="DV95" s="932"/>
      <c r="DW95" s="37"/>
      <c r="DX95" s="932"/>
      <c r="DY95" s="932"/>
      <c r="DZ95" s="932"/>
      <c r="EA95" s="932"/>
      <c r="EB95" s="37"/>
      <c r="EC95" s="37"/>
      <c r="EE95" s="937"/>
      <c r="EG95" s="938"/>
      <c r="EI95" s="938"/>
      <c r="EK95" s="938"/>
      <c r="EM95" s="938"/>
      <c r="EO95" s="938"/>
      <c r="EQ95" s="938"/>
      <c r="ES95" s="938"/>
      <c r="EU95" s="938"/>
      <c r="EW95" s="938"/>
      <c r="EY95" s="938"/>
      <c r="FA95" s="938"/>
      <c r="FC95" s="938"/>
      <c r="FE95" s="938"/>
      <c r="FG95" s="938"/>
      <c r="FI95" s="938"/>
      <c r="FK95" s="938"/>
      <c r="FM95" s="938"/>
      <c r="FO95" s="938"/>
      <c r="FQ95" s="938"/>
      <c r="FS95" s="938"/>
      <c r="FU95" s="938"/>
      <c r="FW95" s="938"/>
      <c r="FY95" s="938"/>
      <c r="GA95" s="938"/>
      <c r="GC95" s="938"/>
      <c r="GE95" s="938"/>
      <c r="GG95" s="938"/>
      <c r="GI95" s="938"/>
      <c r="GK95" s="938"/>
      <c r="GM95" s="938"/>
      <c r="GO95" s="938"/>
      <c r="GQ95" s="938"/>
      <c r="GS95" s="938"/>
      <c r="GU95" s="938"/>
      <c r="GW95" s="938"/>
      <c r="GY95" s="938"/>
      <c r="HA95" s="938"/>
      <c r="HC95" s="938"/>
      <c r="HE95" s="938"/>
      <c r="HG95" s="938"/>
      <c r="HI95" s="938"/>
      <c r="HK95" s="938"/>
      <c r="HM95" s="938"/>
      <c r="HO95" s="938"/>
      <c r="HQ95" s="938"/>
      <c r="HS95" s="938"/>
      <c r="HU95" s="938"/>
      <c r="HW95" s="938"/>
      <c r="HY95" s="938"/>
      <c r="IA95" s="938"/>
      <c r="IC95" s="938"/>
      <c r="IE95" s="938"/>
      <c r="IG95" s="938"/>
      <c r="II95" s="938"/>
      <c r="IK95" s="938"/>
      <c r="IM95" s="938"/>
      <c r="IO95" s="938"/>
      <c r="IQ95" s="938"/>
      <c r="IS95" s="938"/>
      <c r="IT95" s="932"/>
      <c r="IU95" s="938"/>
      <c r="IW95" s="939"/>
      <c r="IX95" s="938"/>
      <c r="IY95" s="938"/>
      <c r="IZ95" s="938"/>
      <c r="JB95" s="940"/>
      <c r="JC95" s="940"/>
      <c r="JD95" s="940"/>
      <c r="JE95" s="940"/>
      <c r="JF95" s="940"/>
      <c r="JG95" s="940"/>
      <c r="JH95" s="940"/>
      <c r="JI95" s="940"/>
      <c r="JJ95" s="940"/>
      <c r="JK95" s="940"/>
      <c r="JL95" s="940"/>
      <c r="JM95" s="940"/>
      <c r="JN95" s="940"/>
      <c r="JO95" s="940"/>
      <c r="JP95" s="940"/>
      <c r="JQ95" s="940"/>
      <c r="JR95" s="940"/>
      <c r="JS95" s="940"/>
      <c r="JT95" s="940"/>
      <c r="JU95" s="940"/>
      <c r="JV95" s="940"/>
      <c r="JW95" s="940"/>
      <c r="JX95" s="940"/>
      <c r="JY95" s="940"/>
      <c r="JZ95" s="940"/>
      <c r="KA95" s="940"/>
      <c r="KB95" s="940"/>
      <c r="KC95" s="940"/>
      <c r="KD95" s="940"/>
      <c r="KE95" s="940"/>
      <c r="KF95" s="940"/>
      <c r="KG95" s="940"/>
      <c r="KH95" s="940"/>
      <c r="KI95" s="940"/>
      <c r="KJ95" s="940"/>
      <c r="KK95" s="940"/>
      <c r="KL95" s="940"/>
      <c r="KM95" s="940"/>
      <c r="KN95" s="940"/>
      <c r="KO95" s="940"/>
      <c r="KP95" s="940"/>
      <c r="KQ95" s="940"/>
      <c r="KR95" s="940"/>
      <c r="KS95" s="940"/>
      <c r="KT95" s="940"/>
      <c r="KU95" s="940"/>
      <c r="KV95" s="940"/>
      <c r="KW95" s="940"/>
      <c r="KX95" s="940"/>
      <c r="KY95" s="940"/>
      <c r="KZ95" s="940"/>
      <c r="LA95" s="940"/>
      <c r="LB95" s="940"/>
      <c r="LC95" s="940"/>
      <c r="LD95" s="940"/>
      <c r="LE95" s="940"/>
      <c r="LF95" s="940"/>
      <c r="LG95" s="940"/>
      <c r="LH95" s="940"/>
    </row>
    <row r="96" spans="1:320" s="462" customFormat="1" ht="15" hidden="1" customHeight="1" outlineLevel="1" x14ac:dyDescent="0.25">
      <c r="A96" s="1205">
        <v>40655</v>
      </c>
      <c r="B96" s="1205"/>
      <c r="C96" s="463"/>
      <c r="D96" s="463"/>
      <c r="H96" s="932"/>
      <c r="I96" s="37"/>
      <c r="J96" s="932"/>
      <c r="K96" s="37"/>
      <c r="L96" s="932"/>
      <c r="M96" s="37"/>
      <c r="N96" s="932"/>
      <c r="O96" s="37"/>
      <c r="P96" s="932"/>
      <c r="Q96" s="37"/>
      <c r="R96" s="932"/>
      <c r="S96" s="37"/>
      <c r="T96" s="37"/>
      <c r="U96" s="37"/>
      <c r="V96" s="932"/>
      <c r="W96" s="37"/>
      <c r="X96" s="932"/>
      <c r="Y96" s="37"/>
      <c r="Z96" s="932"/>
      <c r="AA96" s="37"/>
      <c r="AB96" s="932"/>
      <c r="AC96" s="37"/>
      <c r="AD96" s="932"/>
      <c r="AE96" s="37"/>
      <c r="AF96" s="932"/>
      <c r="AG96" s="37"/>
      <c r="AH96" s="37"/>
      <c r="AI96" s="37"/>
      <c r="AJ96" s="932"/>
      <c r="AK96" s="37"/>
      <c r="AL96" s="932"/>
      <c r="AM96" s="37"/>
      <c r="AN96" s="932"/>
      <c r="AO96" s="37"/>
      <c r="AP96" s="932"/>
      <c r="AQ96" s="37"/>
      <c r="AR96" s="37"/>
      <c r="AS96" s="37"/>
      <c r="AT96" s="37"/>
      <c r="AU96" s="37"/>
      <c r="AV96" s="37"/>
      <c r="AW96" s="37"/>
      <c r="AX96" s="932"/>
      <c r="AY96" s="37"/>
      <c r="AZ96" s="932"/>
      <c r="BA96" s="37"/>
      <c r="BB96" s="932"/>
      <c r="BC96" s="37"/>
      <c r="BD96" s="932"/>
      <c r="BE96" s="37"/>
      <c r="BF96" s="932"/>
      <c r="BG96" s="37"/>
      <c r="BH96" s="37"/>
      <c r="BI96" s="37"/>
      <c r="BJ96" s="37"/>
      <c r="BK96" s="37"/>
      <c r="BL96" s="932"/>
      <c r="BM96" s="37"/>
      <c r="BN96" s="932"/>
      <c r="BO96" s="37"/>
      <c r="BP96" s="932"/>
      <c r="BQ96" s="37"/>
      <c r="BR96" s="932"/>
      <c r="BS96" s="37"/>
      <c r="BT96" s="932"/>
      <c r="BU96" s="932"/>
      <c r="BV96" s="932"/>
      <c r="BW96" s="932"/>
      <c r="BX96" s="37"/>
      <c r="BY96" s="37"/>
      <c r="BZ96" s="932"/>
      <c r="CA96" s="37"/>
      <c r="CB96" s="932"/>
      <c r="CC96" s="37"/>
      <c r="CD96" s="932"/>
      <c r="CE96" s="37"/>
      <c r="CF96" s="932"/>
      <c r="CG96" s="37"/>
      <c r="CH96" s="932"/>
      <c r="CI96" s="932"/>
      <c r="CJ96" s="932"/>
      <c r="CK96" s="932"/>
      <c r="CL96" s="37"/>
      <c r="CM96" s="37"/>
      <c r="CN96" s="932"/>
      <c r="CO96" s="37"/>
      <c r="CP96" s="932"/>
      <c r="CQ96" s="37"/>
      <c r="CR96" s="932"/>
      <c r="CS96" s="37"/>
      <c r="CT96" s="932"/>
      <c r="CU96" s="37"/>
      <c r="CV96" s="932"/>
      <c r="CW96" s="932"/>
      <c r="CX96" s="932"/>
      <c r="CY96" s="932"/>
      <c r="CZ96" s="37"/>
      <c r="DA96" s="37"/>
      <c r="DB96" s="932"/>
      <c r="DC96" s="37"/>
      <c r="DD96" s="932"/>
      <c r="DE96" s="37"/>
      <c r="DF96" s="932"/>
      <c r="DG96" s="37"/>
      <c r="DH96" s="932"/>
      <c r="DI96" s="37"/>
      <c r="DJ96" s="932"/>
      <c r="DK96" s="932"/>
      <c r="DL96" s="932"/>
      <c r="DM96" s="932"/>
      <c r="DN96" s="37"/>
      <c r="DO96" s="37"/>
      <c r="DP96" s="932"/>
      <c r="DQ96" s="37"/>
      <c r="DR96" s="932"/>
      <c r="DS96" s="37"/>
      <c r="DT96" s="932"/>
      <c r="DU96" s="37"/>
      <c r="DV96" s="932"/>
      <c r="DW96" s="37"/>
      <c r="DX96" s="932"/>
      <c r="DY96" s="932"/>
      <c r="DZ96" s="932"/>
      <c r="EA96" s="932"/>
      <c r="EB96" s="37"/>
      <c r="EC96" s="37"/>
      <c r="EE96" s="937"/>
      <c r="EG96" s="938"/>
      <c r="EI96" s="938"/>
      <c r="EK96" s="938"/>
      <c r="EM96" s="938"/>
      <c r="EO96" s="938"/>
      <c r="EQ96" s="938"/>
      <c r="ES96" s="938"/>
      <c r="EU96" s="938"/>
      <c r="EW96" s="938"/>
      <c r="EY96" s="938"/>
      <c r="FA96" s="938"/>
      <c r="FC96" s="938"/>
      <c r="FE96" s="938"/>
      <c r="FG96" s="938"/>
      <c r="FI96" s="938"/>
      <c r="FK96" s="938"/>
      <c r="FM96" s="938"/>
      <c r="FO96" s="938"/>
      <c r="FQ96" s="938"/>
      <c r="FS96" s="938"/>
      <c r="FU96" s="938"/>
      <c r="FW96" s="938"/>
      <c r="FY96" s="938"/>
      <c r="GA96" s="938"/>
      <c r="GC96" s="938"/>
      <c r="GE96" s="938"/>
      <c r="GG96" s="938"/>
      <c r="GI96" s="938"/>
      <c r="GK96" s="938"/>
      <c r="GM96" s="938"/>
      <c r="GO96" s="938"/>
      <c r="GQ96" s="938"/>
      <c r="GS96" s="938"/>
      <c r="GU96" s="938"/>
      <c r="GW96" s="938"/>
      <c r="GY96" s="938"/>
      <c r="HA96" s="938"/>
      <c r="HC96" s="938"/>
      <c r="HE96" s="938"/>
      <c r="HG96" s="938"/>
      <c r="HI96" s="938"/>
      <c r="HK96" s="938"/>
      <c r="HM96" s="938"/>
      <c r="HO96" s="938"/>
      <c r="HQ96" s="938"/>
      <c r="HS96" s="938"/>
      <c r="HU96" s="938"/>
      <c r="HW96" s="938"/>
      <c r="HY96" s="938"/>
      <c r="IA96" s="938"/>
      <c r="IC96" s="938"/>
      <c r="IE96" s="938"/>
      <c r="IG96" s="938"/>
      <c r="II96" s="938"/>
      <c r="IK96" s="938"/>
      <c r="IM96" s="938"/>
      <c r="IO96" s="938"/>
      <c r="IQ96" s="938"/>
      <c r="IS96" s="938"/>
      <c r="IT96" s="932"/>
      <c r="IU96" s="938"/>
      <c r="IW96" s="939"/>
      <c r="IX96" s="938"/>
      <c r="IY96" s="938"/>
      <c r="IZ96" s="938"/>
      <c r="JB96" s="940"/>
      <c r="JC96" s="940"/>
      <c r="JD96" s="940"/>
      <c r="JE96" s="940"/>
      <c r="JF96" s="940"/>
      <c r="JG96" s="940"/>
      <c r="JH96" s="940"/>
      <c r="JI96" s="940"/>
      <c r="JJ96" s="940"/>
      <c r="JK96" s="940"/>
      <c r="JL96" s="940"/>
      <c r="JM96" s="940"/>
      <c r="JN96" s="940"/>
      <c r="JO96" s="940"/>
      <c r="JP96" s="940"/>
      <c r="JQ96" s="940"/>
      <c r="JR96" s="940"/>
      <c r="JS96" s="940"/>
      <c r="JT96" s="940"/>
      <c r="JU96" s="940"/>
      <c r="JV96" s="940"/>
      <c r="JW96" s="940"/>
      <c r="JX96" s="940"/>
      <c r="JY96" s="940"/>
      <c r="JZ96" s="940"/>
      <c r="KA96" s="940"/>
      <c r="KB96" s="940"/>
      <c r="KC96" s="940"/>
      <c r="KD96" s="940"/>
      <c r="KE96" s="940"/>
      <c r="KF96" s="940"/>
      <c r="KG96" s="940"/>
      <c r="KH96" s="940"/>
      <c r="KI96" s="940"/>
      <c r="KJ96" s="940"/>
      <c r="KK96" s="940"/>
      <c r="KL96" s="940"/>
      <c r="KM96" s="940"/>
      <c r="KN96" s="940"/>
      <c r="KO96" s="940"/>
      <c r="KP96" s="940"/>
      <c r="KQ96" s="940"/>
      <c r="KR96" s="940"/>
      <c r="KS96" s="940"/>
      <c r="KT96" s="940"/>
      <c r="KU96" s="940"/>
      <c r="KV96" s="940"/>
      <c r="KW96" s="940"/>
      <c r="KX96" s="940"/>
      <c r="KY96" s="940"/>
      <c r="KZ96" s="940"/>
      <c r="LA96" s="940"/>
      <c r="LB96" s="940"/>
      <c r="LC96" s="940"/>
      <c r="LD96" s="940"/>
      <c r="LE96" s="940"/>
      <c r="LF96" s="940"/>
      <c r="LG96" s="940"/>
      <c r="LH96" s="940"/>
    </row>
    <row r="97" spans="1:320" s="462" customFormat="1" ht="15" hidden="1" customHeight="1" outlineLevel="1" x14ac:dyDescent="0.25">
      <c r="A97" s="1205">
        <v>40693</v>
      </c>
      <c r="B97" s="1205"/>
      <c r="C97" s="463"/>
      <c r="D97" s="463"/>
      <c r="H97" s="932"/>
      <c r="I97" s="37"/>
      <c r="J97" s="932"/>
      <c r="K97" s="37"/>
      <c r="L97" s="932"/>
      <c r="M97" s="37"/>
      <c r="N97" s="932"/>
      <c r="O97" s="37"/>
      <c r="P97" s="932"/>
      <c r="Q97" s="37"/>
      <c r="R97" s="932"/>
      <c r="S97" s="37"/>
      <c r="T97" s="37"/>
      <c r="U97" s="37"/>
      <c r="V97" s="932"/>
      <c r="W97" s="37"/>
      <c r="X97" s="932"/>
      <c r="Y97" s="37"/>
      <c r="Z97" s="932"/>
      <c r="AA97" s="37"/>
      <c r="AB97" s="932"/>
      <c r="AC97" s="37"/>
      <c r="AD97" s="932"/>
      <c r="AE97" s="37"/>
      <c r="AF97" s="932"/>
      <c r="AG97" s="37"/>
      <c r="AH97" s="37"/>
      <c r="AI97" s="37"/>
      <c r="AJ97" s="932"/>
      <c r="AK97" s="37"/>
      <c r="AL97" s="932"/>
      <c r="AM97" s="37"/>
      <c r="AN97" s="932"/>
      <c r="AO97" s="37"/>
      <c r="AP97" s="932"/>
      <c r="AQ97" s="37"/>
      <c r="AR97" s="37"/>
      <c r="AS97" s="37"/>
      <c r="AT97" s="37"/>
      <c r="AU97" s="37"/>
      <c r="AV97" s="37"/>
      <c r="AW97" s="37"/>
      <c r="AX97" s="932"/>
      <c r="AY97" s="37"/>
      <c r="AZ97" s="932"/>
      <c r="BA97" s="37"/>
      <c r="BB97" s="932"/>
      <c r="BC97" s="37"/>
      <c r="BD97" s="932"/>
      <c r="BE97" s="37"/>
      <c r="BF97" s="932"/>
      <c r="BG97" s="37"/>
      <c r="BH97" s="37"/>
      <c r="BI97" s="37"/>
      <c r="BJ97" s="37"/>
      <c r="BK97" s="37"/>
      <c r="BL97" s="932"/>
      <c r="BM97" s="37"/>
      <c r="BN97" s="932"/>
      <c r="BO97" s="37"/>
      <c r="BP97" s="932"/>
      <c r="BQ97" s="37"/>
      <c r="BR97" s="932"/>
      <c r="BS97" s="37"/>
      <c r="BT97" s="932"/>
      <c r="BU97" s="932"/>
      <c r="BV97" s="932"/>
      <c r="BW97" s="932"/>
      <c r="BX97" s="37"/>
      <c r="BY97" s="37"/>
      <c r="BZ97" s="932"/>
      <c r="CA97" s="37"/>
      <c r="CB97" s="932"/>
      <c r="CC97" s="37"/>
      <c r="CD97" s="932"/>
      <c r="CE97" s="37"/>
      <c r="CF97" s="932"/>
      <c r="CG97" s="37"/>
      <c r="CH97" s="932"/>
      <c r="CI97" s="932"/>
      <c r="CJ97" s="932"/>
      <c r="CK97" s="932"/>
      <c r="CL97" s="37"/>
      <c r="CM97" s="37"/>
      <c r="CN97" s="932"/>
      <c r="CO97" s="37"/>
      <c r="CP97" s="932"/>
      <c r="CQ97" s="37"/>
      <c r="CR97" s="932"/>
      <c r="CS97" s="37"/>
      <c r="CT97" s="932"/>
      <c r="CU97" s="37"/>
      <c r="CV97" s="932"/>
      <c r="CW97" s="932"/>
      <c r="CX97" s="932"/>
      <c r="CY97" s="932"/>
      <c r="CZ97" s="37"/>
      <c r="DA97" s="37"/>
      <c r="DB97" s="932"/>
      <c r="DC97" s="37"/>
      <c r="DD97" s="932"/>
      <c r="DE97" s="37"/>
      <c r="DF97" s="932"/>
      <c r="DG97" s="37"/>
      <c r="DH97" s="932"/>
      <c r="DI97" s="37"/>
      <c r="DJ97" s="932"/>
      <c r="DK97" s="932"/>
      <c r="DL97" s="932"/>
      <c r="DM97" s="932"/>
      <c r="DN97" s="37"/>
      <c r="DO97" s="37"/>
      <c r="DP97" s="932"/>
      <c r="DQ97" s="37"/>
      <c r="DR97" s="932"/>
      <c r="DS97" s="37"/>
      <c r="DT97" s="932"/>
      <c r="DU97" s="37"/>
      <c r="DV97" s="932"/>
      <c r="DW97" s="37"/>
      <c r="DX97" s="932"/>
      <c r="DY97" s="932"/>
      <c r="DZ97" s="932"/>
      <c r="EA97" s="932"/>
      <c r="EB97" s="37"/>
      <c r="EC97" s="37"/>
      <c r="EE97" s="937"/>
      <c r="EG97" s="938"/>
      <c r="EI97" s="938"/>
      <c r="EK97" s="938"/>
      <c r="EM97" s="938"/>
      <c r="EO97" s="938"/>
      <c r="EQ97" s="938"/>
      <c r="ES97" s="938"/>
      <c r="EU97" s="938"/>
      <c r="EW97" s="938"/>
      <c r="EY97" s="938"/>
      <c r="FA97" s="938"/>
      <c r="FC97" s="938"/>
      <c r="FE97" s="938"/>
      <c r="FG97" s="938"/>
      <c r="FI97" s="938"/>
      <c r="FK97" s="938"/>
      <c r="FM97" s="938"/>
      <c r="FO97" s="938"/>
      <c r="FQ97" s="938"/>
      <c r="FS97" s="938"/>
      <c r="FU97" s="938"/>
      <c r="FW97" s="938"/>
      <c r="FY97" s="938"/>
      <c r="GA97" s="938"/>
      <c r="GC97" s="938"/>
      <c r="GE97" s="938"/>
      <c r="GG97" s="938"/>
      <c r="GI97" s="938"/>
      <c r="GK97" s="938"/>
      <c r="GM97" s="938"/>
      <c r="GO97" s="938"/>
      <c r="GQ97" s="938"/>
      <c r="GS97" s="938"/>
      <c r="GU97" s="938"/>
      <c r="GW97" s="938"/>
      <c r="GY97" s="938"/>
      <c r="HA97" s="938"/>
      <c r="HC97" s="938"/>
      <c r="HE97" s="938"/>
      <c r="HG97" s="938"/>
      <c r="HI97" s="938"/>
      <c r="HK97" s="938"/>
      <c r="HM97" s="938"/>
      <c r="HO97" s="938"/>
      <c r="HQ97" s="938"/>
      <c r="HS97" s="938"/>
      <c r="HU97" s="938"/>
      <c r="HW97" s="938"/>
      <c r="HY97" s="938"/>
      <c r="IA97" s="938"/>
      <c r="IC97" s="938"/>
      <c r="IE97" s="938"/>
      <c r="IG97" s="938"/>
      <c r="II97" s="938"/>
      <c r="IK97" s="938"/>
      <c r="IM97" s="938"/>
      <c r="IO97" s="938"/>
      <c r="IQ97" s="938"/>
      <c r="IS97" s="938"/>
      <c r="IT97" s="932"/>
      <c r="IU97" s="938"/>
      <c r="IW97" s="939"/>
      <c r="IX97" s="938"/>
      <c r="IY97" s="938"/>
      <c r="IZ97" s="938"/>
      <c r="JB97" s="940"/>
      <c r="JC97" s="940"/>
      <c r="JD97" s="940"/>
      <c r="JE97" s="940"/>
      <c r="JF97" s="940"/>
      <c r="JG97" s="940"/>
      <c r="JH97" s="940"/>
      <c r="JI97" s="940"/>
      <c r="JJ97" s="940"/>
      <c r="JK97" s="940"/>
      <c r="JL97" s="940"/>
      <c r="JM97" s="940"/>
      <c r="JN97" s="940"/>
      <c r="JO97" s="940"/>
      <c r="JP97" s="940"/>
      <c r="JQ97" s="940"/>
      <c r="JR97" s="940"/>
      <c r="JS97" s="940"/>
      <c r="JT97" s="940"/>
      <c r="JU97" s="940"/>
      <c r="JV97" s="940"/>
      <c r="JW97" s="940"/>
      <c r="JX97" s="940"/>
      <c r="JY97" s="940"/>
      <c r="JZ97" s="940"/>
      <c r="KA97" s="940"/>
      <c r="KB97" s="940"/>
      <c r="KC97" s="940"/>
      <c r="KD97" s="940"/>
      <c r="KE97" s="940"/>
      <c r="KF97" s="940"/>
      <c r="KG97" s="940"/>
      <c r="KH97" s="940"/>
      <c r="KI97" s="940"/>
      <c r="KJ97" s="940"/>
      <c r="KK97" s="940"/>
      <c r="KL97" s="940"/>
      <c r="KM97" s="940"/>
      <c r="KN97" s="940"/>
      <c r="KO97" s="940"/>
      <c r="KP97" s="940"/>
      <c r="KQ97" s="940"/>
      <c r="KR97" s="940"/>
      <c r="KS97" s="940"/>
      <c r="KT97" s="940"/>
      <c r="KU97" s="940"/>
      <c r="KV97" s="940"/>
      <c r="KW97" s="940"/>
      <c r="KX97" s="940"/>
      <c r="KY97" s="940"/>
      <c r="KZ97" s="940"/>
      <c r="LA97" s="940"/>
      <c r="LB97" s="940"/>
      <c r="LC97" s="940"/>
      <c r="LD97" s="940"/>
      <c r="LE97" s="940"/>
      <c r="LF97" s="940"/>
      <c r="LG97" s="940"/>
      <c r="LH97" s="940"/>
    </row>
    <row r="98" spans="1:320" s="462" customFormat="1" ht="15" hidden="1" customHeight="1" outlineLevel="1" x14ac:dyDescent="0.25">
      <c r="A98" s="1205">
        <v>40728</v>
      </c>
      <c r="B98" s="1205"/>
      <c r="C98" s="463"/>
      <c r="D98" s="463"/>
      <c r="H98" s="932"/>
      <c r="I98" s="37"/>
      <c r="J98" s="932"/>
      <c r="K98" s="37"/>
      <c r="L98" s="932"/>
      <c r="M98" s="37"/>
      <c r="N98" s="932"/>
      <c r="O98" s="37"/>
      <c r="P98" s="932"/>
      <c r="Q98" s="37"/>
      <c r="R98" s="932"/>
      <c r="S98" s="37"/>
      <c r="T98" s="37"/>
      <c r="U98" s="37"/>
      <c r="V98" s="932"/>
      <c r="W98" s="37"/>
      <c r="X98" s="932"/>
      <c r="Y98" s="37"/>
      <c r="Z98" s="932"/>
      <c r="AA98" s="37"/>
      <c r="AB98" s="932"/>
      <c r="AC98" s="37"/>
      <c r="AD98" s="932"/>
      <c r="AE98" s="37"/>
      <c r="AF98" s="932"/>
      <c r="AG98" s="37"/>
      <c r="AH98" s="37"/>
      <c r="AI98" s="37"/>
      <c r="AJ98" s="932"/>
      <c r="AK98" s="37"/>
      <c r="AL98" s="932"/>
      <c r="AM98" s="37"/>
      <c r="AN98" s="932"/>
      <c r="AO98" s="37"/>
      <c r="AP98" s="932"/>
      <c r="AQ98" s="37"/>
      <c r="AR98" s="37"/>
      <c r="AS98" s="37"/>
      <c r="AT98" s="37"/>
      <c r="AU98" s="37"/>
      <c r="AV98" s="37"/>
      <c r="AW98" s="37"/>
      <c r="AX98" s="932"/>
      <c r="AY98" s="37"/>
      <c r="AZ98" s="932"/>
      <c r="BA98" s="37"/>
      <c r="BB98" s="932"/>
      <c r="BC98" s="37"/>
      <c r="BD98" s="932"/>
      <c r="BE98" s="37"/>
      <c r="BF98" s="932"/>
      <c r="BG98" s="37"/>
      <c r="BH98" s="37"/>
      <c r="BI98" s="37"/>
      <c r="BJ98" s="37"/>
      <c r="BK98" s="37"/>
      <c r="BL98" s="932"/>
      <c r="BM98" s="37"/>
      <c r="BN98" s="932"/>
      <c r="BO98" s="37"/>
      <c r="BP98" s="932"/>
      <c r="BQ98" s="37"/>
      <c r="BR98" s="932"/>
      <c r="BS98" s="37"/>
      <c r="BT98" s="932"/>
      <c r="BU98" s="932"/>
      <c r="BV98" s="932"/>
      <c r="BW98" s="932"/>
      <c r="BX98" s="37"/>
      <c r="BY98" s="37"/>
      <c r="BZ98" s="932"/>
      <c r="CA98" s="37"/>
      <c r="CB98" s="932"/>
      <c r="CC98" s="37"/>
      <c r="CD98" s="932"/>
      <c r="CE98" s="37"/>
      <c r="CF98" s="932"/>
      <c r="CG98" s="37"/>
      <c r="CH98" s="932"/>
      <c r="CI98" s="932"/>
      <c r="CJ98" s="932"/>
      <c r="CK98" s="932"/>
      <c r="CL98" s="37"/>
      <c r="CM98" s="37"/>
      <c r="CN98" s="932"/>
      <c r="CO98" s="37"/>
      <c r="CP98" s="932"/>
      <c r="CQ98" s="37"/>
      <c r="CR98" s="932"/>
      <c r="CS98" s="37"/>
      <c r="CT98" s="932"/>
      <c r="CU98" s="37"/>
      <c r="CV98" s="932"/>
      <c r="CW98" s="932"/>
      <c r="CX98" s="932"/>
      <c r="CY98" s="932"/>
      <c r="CZ98" s="37"/>
      <c r="DA98" s="37"/>
      <c r="DB98" s="932"/>
      <c r="DC98" s="37"/>
      <c r="DD98" s="932"/>
      <c r="DE98" s="37"/>
      <c r="DF98" s="932"/>
      <c r="DG98" s="37"/>
      <c r="DH98" s="932"/>
      <c r="DI98" s="37"/>
      <c r="DJ98" s="932"/>
      <c r="DK98" s="932"/>
      <c r="DL98" s="932"/>
      <c r="DM98" s="932"/>
      <c r="DN98" s="37"/>
      <c r="DO98" s="37"/>
      <c r="DP98" s="932"/>
      <c r="DQ98" s="37"/>
      <c r="DR98" s="932"/>
      <c r="DS98" s="37"/>
      <c r="DT98" s="932"/>
      <c r="DU98" s="37"/>
      <c r="DV98" s="932"/>
      <c r="DW98" s="37"/>
      <c r="DX98" s="932"/>
      <c r="DY98" s="932"/>
      <c r="DZ98" s="932"/>
      <c r="EA98" s="932"/>
      <c r="EB98" s="37"/>
      <c r="EC98" s="37"/>
      <c r="EE98" s="937"/>
      <c r="EG98" s="938"/>
      <c r="EI98" s="938"/>
      <c r="EK98" s="938"/>
      <c r="EM98" s="938"/>
      <c r="EO98" s="938"/>
      <c r="EQ98" s="938"/>
      <c r="ES98" s="938"/>
      <c r="EU98" s="938"/>
      <c r="EW98" s="938"/>
      <c r="EY98" s="938"/>
      <c r="FA98" s="938"/>
      <c r="FC98" s="938"/>
      <c r="FE98" s="938"/>
      <c r="FG98" s="938"/>
      <c r="FI98" s="938"/>
      <c r="FK98" s="938"/>
      <c r="FM98" s="938"/>
      <c r="FO98" s="938"/>
      <c r="FQ98" s="938"/>
      <c r="FS98" s="938"/>
      <c r="FU98" s="938"/>
      <c r="FW98" s="938"/>
      <c r="FY98" s="938"/>
      <c r="GA98" s="938"/>
      <c r="GC98" s="938"/>
      <c r="GE98" s="938"/>
      <c r="GG98" s="938"/>
      <c r="GI98" s="938"/>
      <c r="GK98" s="938"/>
      <c r="GM98" s="938"/>
      <c r="GO98" s="938"/>
      <c r="GQ98" s="938"/>
      <c r="GS98" s="938"/>
      <c r="GU98" s="938"/>
      <c r="GW98" s="938"/>
      <c r="GY98" s="938"/>
      <c r="HA98" s="938"/>
      <c r="HC98" s="938"/>
      <c r="HE98" s="938"/>
      <c r="HG98" s="938"/>
      <c r="HI98" s="938"/>
      <c r="HK98" s="938"/>
      <c r="HM98" s="938"/>
      <c r="HO98" s="938"/>
      <c r="HQ98" s="938"/>
      <c r="HS98" s="938"/>
      <c r="HU98" s="938"/>
      <c r="HW98" s="938"/>
      <c r="HY98" s="938"/>
      <c r="IA98" s="938"/>
      <c r="IC98" s="938"/>
      <c r="IE98" s="938"/>
      <c r="IG98" s="938"/>
      <c r="II98" s="938"/>
      <c r="IK98" s="938"/>
      <c r="IM98" s="938"/>
      <c r="IO98" s="938"/>
      <c r="IQ98" s="938"/>
      <c r="IS98" s="938"/>
      <c r="IT98" s="932"/>
      <c r="IU98" s="938"/>
      <c r="IW98" s="939"/>
      <c r="IX98" s="938"/>
      <c r="IY98" s="938"/>
      <c r="IZ98" s="938"/>
      <c r="JB98" s="940"/>
      <c r="JC98" s="940"/>
      <c r="JD98" s="940"/>
      <c r="JE98" s="940"/>
      <c r="JF98" s="940"/>
      <c r="JG98" s="940"/>
      <c r="JH98" s="940"/>
      <c r="JI98" s="940"/>
      <c r="JJ98" s="940"/>
      <c r="JK98" s="940"/>
      <c r="JL98" s="940"/>
      <c r="JM98" s="940"/>
      <c r="JN98" s="940"/>
      <c r="JO98" s="940"/>
      <c r="JP98" s="940"/>
      <c r="JQ98" s="940"/>
      <c r="JR98" s="940"/>
      <c r="JS98" s="940"/>
      <c r="JT98" s="940"/>
      <c r="JU98" s="940"/>
      <c r="JV98" s="940"/>
      <c r="JW98" s="940"/>
      <c r="JX98" s="940"/>
      <c r="JY98" s="940"/>
      <c r="JZ98" s="940"/>
      <c r="KA98" s="940"/>
      <c r="KB98" s="940"/>
      <c r="KC98" s="940"/>
      <c r="KD98" s="940"/>
      <c r="KE98" s="940"/>
      <c r="KF98" s="940"/>
      <c r="KG98" s="940"/>
      <c r="KH98" s="940"/>
      <c r="KI98" s="940"/>
      <c r="KJ98" s="940"/>
      <c r="KK98" s="940"/>
      <c r="KL98" s="940"/>
      <c r="KM98" s="940"/>
      <c r="KN98" s="940"/>
      <c r="KO98" s="940"/>
      <c r="KP98" s="940"/>
      <c r="KQ98" s="940"/>
      <c r="KR98" s="940"/>
      <c r="KS98" s="940"/>
      <c r="KT98" s="940"/>
      <c r="KU98" s="940"/>
      <c r="KV98" s="940"/>
      <c r="KW98" s="940"/>
      <c r="KX98" s="940"/>
      <c r="KY98" s="940"/>
      <c r="KZ98" s="940"/>
      <c r="LA98" s="940"/>
      <c r="LB98" s="940"/>
      <c r="LC98" s="940"/>
      <c r="LD98" s="940"/>
      <c r="LE98" s="940"/>
      <c r="LF98" s="940"/>
      <c r="LG98" s="940"/>
      <c r="LH98" s="940"/>
    </row>
    <row r="99" spans="1:320" s="462" customFormat="1" ht="15" hidden="1" customHeight="1" outlineLevel="1" x14ac:dyDescent="0.25">
      <c r="A99" s="1205">
        <v>40791</v>
      </c>
      <c r="B99" s="1205"/>
      <c r="C99" s="463"/>
      <c r="D99" s="463"/>
      <c r="H99" s="932"/>
      <c r="I99" s="37"/>
      <c r="J99" s="932"/>
      <c r="K99" s="37"/>
      <c r="L99" s="932"/>
      <c r="M99" s="37"/>
      <c r="N99" s="932"/>
      <c r="O99" s="37"/>
      <c r="P99" s="932"/>
      <c r="Q99" s="37"/>
      <c r="R99" s="932"/>
      <c r="S99" s="37"/>
      <c r="T99" s="37"/>
      <c r="U99" s="37"/>
      <c r="V99" s="932"/>
      <c r="W99" s="37"/>
      <c r="X99" s="932"/>
      <c r="Y99" s="37"/>
      <c r="Z99" s="932"/>
      <c r="AA99" s="37"/>
      <c r="AB99" s="932"/>
      <c r="AC99" s="37"/>
      <c r="AD99" s="932"/>
      <c r="AE99" s="37"/>
      <c r="AF99" s="932"/>
      <c r="AG99" s="37"/>
      <c r="AH99" s="37"/>
      <c r="AI99" s="37"/>
      <c r="AJ99" s="932"/>
      <c r="AK99" s="37"/>
      <c r="AL99" s="932"/>
      <c r="AM99" s="37"/>
      <c r="AN99" s="932"/>
      <c r="AO99" s="37"/>
      <c r="AP99" s="932"/>
      <c r="AQ99" s="37"/>
      <c r="AR99" s="37"/>
      <c r="AS99" s="37"/>
      <c r="AT99" s="37"/>
      <c r="AU99" s="37"/>
      <c r="AV99" s="37"/>
      <c r="AW99" s="37"/>
      <c r="AX99" s="932"/>
      <c r="AY99" s="37"/>
      <c r="AZ99" s="932"/>
      <c r="BA99" s="37"/>
      <c r="BB99" s="932"/>
      <c r="BC99" s="37"/>
      <c r="BD99" s="932"/>
      <c r="BE99" s="37"/>
      <c r="BF99" s="932"/>
      <c r="BG99" s="37"/>
      <c r="BH99" s="37"/>
      <c r="BI99" s="37"/>
      <c r="BJ99" s="37"/>
      <c r="BK99" s="37"/>
      <c r="BL99" s="932"/>
      <c r="BM99" s="37"/>
      <c r="BN99" s="932"/>
      <c r="BO99" s="37"/>
      <c r="BP99" s="932"/>
      <c r="BQ99" s="37"/>
      <c r="BR99" s="932"/>
      <c r="BS99" s="37"/>
      <c r="BT99" s="932"/>
      <c r="BU99" s="932"/>
      <c r="BV99" s="932"/>
      <c r="BW99" s="932"/>
      <c r="BX99" s="37"/>
      <c r="BY99" s="37"/>
      <c r="BZ99" s="932"/>
      <c r="CA99" s="37"/>
      <c r="CB99" s="932"/>
      <c r="CC99" s="37"/>
      <c r="CD99" s="932"/>
      <c r="CE99" s="37"/>
      <c r="CF99" s="932"/>
      <c r="CG99" s="37"/>
      <c r="CH99" s="932"/>
      <c r="CI99" s="932"/>
      <c r="CJ99" s="932"/>
      <c r="CK99" s="932"/>
      <c r="CL99" s="37"/>
      <c r="CM99" s="37"/>
      <c r="CN99" s="932"/>
      <c r="CO99" s="37"/>
      <c r="CP99" s="932"/>
      <c r="CQ99" s="37"/>
      <c r="CR99" s="932"/>
      <c r="CS99" s="37"/>
      <c r="CT99" s="932"/>
      <c r="CU99" s="37"/>
      <c r="CV99" s="932"/>
      <c r="CW99" s="932"/>
      <c r="CX99" s="932"/>
      <c r="CY99" s="932"/>
      <c r="CZ99" s="37"/>
      <c r="DA99" s="37"/>
      <c r="DB99" s="932"/>
      <c r="DC99" s="37"/>
      <c r="DD99" s="932"/>
      <c r="DE99" s="37"/>
      <c r="DF99" s="932"/>
      <c r="DG99" s="37"/>
      <c r="DH99" s="932"/>
      <c r="DI99" s="37"/>
      <c r="DJ99" s="932"/>
      <c r="DK99" s="932"/>
      <c r="DL99" s="932"/>
      <c r="DM99" s="932"/>
      <c r="DN99" s="37"/>
      <c r="DO99" s="37"/>
      <c r="DP99" s="932"/>
      <c r="DQ99" s="37"/>
      <c r="DR99" s="932"/>
      <c r="DS99" s="37"/>
      <c r="DT99" s="932"/>
      <c r="DU99" s="37"/>
      <c r="DV99" s="932"/>
      <c r="DW99" s="37"/>
      <c r="DX99" s="932"/>
      <c r="DY99" s="932"/>
      <c r="DZ99" s="932"/>
      <c r="EA99" s="932"/>
      <c r="EB99" s="37"/>
      <c r="EC99" s="37"/>
      <c r="EE99" s="937"/>
      <c r="EG99" s="938"/>
      <c r="EI99" s="938"/>
      <c r="EK99" s="938"/>
      <c r="EM99" s="938"/>
      <c r="EO99" s="938"/>
      <c r="EQ99" s="938"/>
      <c r="ES99" s="938"/>
      <c r="EU99" s="938"/>
      <c r="EW99" s="938"/>
      <c r="EY99" s="938"/>
      <c r="FA99" s="938"/>
      <c r="FC99" s="938"/>
      <c r="FE99" s="938"/>
      <c r="FG99" s="938"/>
      <c r="FI99" s="938"/>
      <c r="FK99" s="938"/>
      <c r="FM99" s="938"/>
      <c r="FO99" s="938"/>
      <c r="FQ99" s="938"/>
      <c r="FS99" s="938"/>
      <c r="FU99" s="938"/>
      <c r="FW99" s="938"/>
      <c r="FY99" s="938"/>
      <c r="GA99" s="938"/>
      <c r="GC99" s="938"/>
      <c r="GE99" s="938"/>
      <c r="GG99" s="938"/>
      <c r="GI99" s="938"/>
      <c r="GK99" s="938"/>
      <c r="GM99" s="938"/>
      <c r="GO99" s="938"/>
      <c r="GQ99" s="938"/>
      <c r="GS99" s="938"/>
      <c r="GU99" s="938"/>
      <c r="GW99" s="938"/>
      <c r="GY99" s="938"/>
      <c r="HA99" s="938"/>
      <c r="HC99" s="938"/>
      <c r="HE99" s="938"/>
      <c r="HG99" s="938"/>
      <c r="HI99" s="938"/>
      <c r="HK99" s="938"/>
      <c r="HM99" s="938"/>
      <c r="HO99" s="938"/>
      <c r="HQ99" s="938"/>
      <c r="HS99" s="938"/>
      <c r="HU99" s="938"/>
      <c r="HW99" s="938"/>
      <c r="HY99" s="938"/>
      <c r="IA99" s="938"/>
      <c r="IC99" s="938"/>
      <c r="IE99" s="938"/>
      <c r="IG99" s="938"/>
      <c r="II99" s="938"/>
      <c r="IK99" s="938"/>
      <c r="IM99" s="938"/>
      <c r="IO99" s="938"/>
      <c r="IQ99" s="938"/>
      <c r="IS99" s="938"/>
      <c r="IT99" s="932"/>
      <c r="IU99" s="938"/>
      <c r="IW99" s="939"/>
      <c r="IX99" s="938"/>
      <c r="IY99" s="938"/>
      <c r="IZ99" s="938"/>
      <c r="JB99" s="940"/>
      <c r="JC99" s="940"/>
      <c r="JD99" s="940"/>
      <c r="JE99" s="940"/>
      <c r="JF99" s="940"/>
      <c r="JG99" s="940"/>
      <c r="JH99" s="940"/>
      <c r="JI99" s="940"/>
      <c r="JJ99" s="940"/>
      <c r="JK99" s="940"/>
      <c r="JL99" s="940"/>
      <c r="JM99" s="940"/>
      <c r="JN99" s="940"/>
      <c r="JO99" s="940"/>
      <c r="JP99" s="940"/>
      <c r="JQ99" s="940"/>
      <c r="JR99" s="940"/>
      <c r="JS99" s="940"/>
      <c r="JT99" s="940"/>
      <c r="JU99" s="940"/>
      <c r="JV99" s="940"/>
      <c r="JW99" s="940"/>
      <c r="JX99" s="940"/>
      <c r="JY99" s="940"/>
      <c r="JZ99" s="940"/>
      <c r="KA99" s="940"/>
      <c r="KB99" s="940"/>
      <c r="KC99" s="940"/>
      <c r="KD99" s="940"/>
      <c r="KE99" s="940"/>
      <c r="KF99" s="940"/>
      <c r="KG99" s="940"/>
      <c r="KH99" s="940"/>
      <c r="KI99" s="940"/>
      <c r="KJ99" s="940"/>
      <c r="KK99" s="940"/>
      <c r="KL99" s="940"/>
      <c r="KM99" s="940"/>
      <c r="KN99" s="940"/>
      <c r="KO99" s="940"/>
      <c r="KP99" s="940"/>
      <c r="KQ99" s="940"/>
      <c r="KR99" s="940"/>
      <c r="KS99" s="940"/>
      <c r="KT99" s="940"/>
      <c r="KU99" s="940"/>
      <c r="KV99" s="940"/>
      <c r="KW99" s="940"/>
      <c r="KX99" s="940"/>
      <c r="KY99" s="940"/>
      <c r="KZ99" s="940"/>
      <c r="LA99" s="940"/>
      <c r="LB99" s="940"/>
      <c r="LC99" s="940"/>
      <c r="LD99" s="940"/>
      <c r="LE99" s="940"/>
      <c r="LF99" s="940"/>
      <c r="LG99" s="940"/>
      <c r="LH99" s="940"/>
    </row>
    <row r="100" spans="1:320" s="462" customFormat="1" ht="15" hidden="1" customHeight="1" outlineLevel="1" x14ac:dyDescent="0.25">
      <c r="A100" s="1205">
        <v>40858</v>
      </c>
      <c r="B100" s="1205"/>
      <c r="C100" s="463"/>
      <c r="D100" s="463"/>
      <c r="H100" s="932"/>
      <c r="I100" s="37"/>
      <c r="J100" s="932"/>
      <c r="K100" s="37"/>
      <c r="L100" s="932"/>
      <c r="M100" s="37"/>
      <c r="N100" s="932"/>
      <c r="O100" s="37"/>
      <c r="P100" s="932"/>
      <c r="Q100" s="37"/>
      <c r="R100" s="932"/>
      <c r="S100" s="37"/>
      <c r="T100" s="37"/>
      <c r="U100" s="37"/>
      <c r="V100" s="932"/>
      <c r="W100" s="37"/>
      <c r="X100" s="932"/>
      <c r="Y100" s="37"/>
      <c r="Z100" s="932"/>
      <c r="AA100" s="37"/>
      <c r="AB100" s="932"/>
      <c r="AC100" s="37"/>
      <c r="AD100" s="932"/>
      <c r="AE100" s="37"/>
      <c r="AF100" s="932"/>
      <c r="AG100" s="37"/>
      <c r="AH100" s="37"/>
      <c r="AI100" s="37"/>
      <c r="AJ100" s="932"/>
      <c r="AK100" s="37"/>
      <c r="AL100" s="932"/>
      <c r="AM100" s="37"/>
      <c r="AN100" s="932"/>
      <c r="AO100" s="37"/>
      <c r="AP100" s="932"/>
      <c r="AQ100" s="37"/>
      <c r="AR100" s="37"/>
      <c r="AS100" s="37"/>
      <c r="AT100" s="37"/>
      <c r="AU100" s="37"/>
      <c r="AV100" s="37"/>
      <c r="AW100" s="37"/>
      <c r="AX100" s="932"/>
      <c r="AY100" s="37"/>
      <c r="AZ100" s="932"/>
      <c r="BA100" s="37"/>
      <c r="BB100" s="932"/>
      <c r="BC100" s="37"/>
      <c r="BD100" s="932"/>
      <c r="BE100" s="37"/>
      <c r="BF100" s="932"/>
      <c r="BG100" s="37"/>
      <c r="BH100" s="37"/>
      <c r="BI100" s="37"/>
      <c r="BJ100" s="37"/>
      <c r="BK100" s="37"/>
      <c r="BL100" s="932"/>
      <c r="BM100" s="37"/>
      <c r="BN100" s="932"/>
      <c r="BO100" s="37"/>
      <c r="BP100" s="932"/>
      <c r="BQ100" s="37"/>
      <c r="BR100" s="932"/>
      <c r="BS100" s="37"/>
      <c r="BT100" s="932"/>
      <c r="BU100" s="932"/>
      <c r="BV100" s="932"/>
      <c r="BW100" s="932"/>
      <c r="BX100" s="37"/>
      <c r="BY100" s="37"/>
      <c r="BZ100" s="932"/>
      <c r="CA100" s="37"/>
      <c r="CB100" s="932"/>
      <c r="CC100" s="37"/>
      <c r="CD100" s="932"/>
      <c r="CE100" s="37"/>
      <c r="CF100" s="932"/>
      <c r="CG100" s="37"/>
      <c r="CH100" s="932"/>
      <c r="CI100" s="932"/>
      <c r="CJ100" s="932"/>
      <c r="CK100" s="932"/>
      <c r="CL100" s="37"/>
      <c r="CM100" s="37"/>
      <c r="CN100" s="932"/>
      <c r="CO100" s="37"/>
      <c r="CP100" s="932"/>
      <c r="CQ100" s="37"/>
      <c r="CR100" s="932"/>
      <c r="CS100" s="37"/>
      <c r="CT100" s="932"/>
      <c r="CU100" s="37"/>
      <c r="CV100" s="932"/>
      <c r="CW100" s="932"/>
      <c r="CX100" s="932"/>
      <c r="CY100" s="932"/>
      <c r="CZ100" s="37"/>
      <c r="DA100" s="37"/>
      <c r="DB100" s="932"/>
      <c r="DC100" s="37"/>
      <c r="DD100" s="932"/>
      <c r="DE100" s="37"/>
      <c r="DF100" s="932"/>
      <c r="DG100" s="37"/>
      <c r="DH100" s="932"/>
      <c r="DI100" s="37"/>
      <c r="DJ100" s="932"/>
      <c r="DK100" s="932"/>
      <c r="DL100" s="932"/>
      <c r="DM100" s="932"/>
      <c r="DN100" s="37"/>
      <c r="DO100" s="37"/>
      <c r="DP100" s="932"/>
      <c r="DQ100" s="37"/>
      <c r="DR100" s="932"/>
      <c r="DS100" s="37"/>
      <c r="DT100" s="932"/>
      <c r="DU100" s="37"/>
      <c r="DV100" s="932"/>
      <c r="DW100" s="37"/>
      <c r="DX100" s="932"/>
      <c r="DY100" s="932"/>
      <c r="DZ100" s="932"/>
      <c r="EA100" s="932"/>
      <c r="EB100" s="37"/>
      <c r="EC100" s="37"/>
      <c r="EE100" s="937"/>
      <c r="EG100" s="938"/>
      <c r="EI100" s="938"/>
      <c r="EK100" s="938"/>
      <c r="EM100" s="938"/>
      <c r="EO100" s="938"/>
      <c r="EQ100" s="938"/>
      <c r="ES100" s="938"/>
      <c r="EU100" s="938"/>
      <c r="EW100" s="938"/>
      <c r="EY100" s="938"/>
      <c r="FA100" s="938"/>
      <c r="FC100" s="938"/>
      <c r="FE100" s="938"/>
      <c r="FG100" s="938"/>
      <c r="FI100" s="938"/>
      <c r="FK100" s="938"/>
      <c r="FM100" s="938"/>
      <c r="FO100" s="938"/>
      <c r="FQ100" s="938"/>
      <c r="FS100" s="938"/>
      <c r="FU100" s="938"/>
      <c r="FW100" s="938"/>
      <c r="FY100" s="938"/>
      <c r="GA100" s="938"/>
      <c r="GC100" s="938"/>
      <c r="GE100" s="938"/>
      <c r="GG100" s="938"/>
      <c r="GI100" s="938"/>
      <c r="GK100" s="938"/>
      <c r="GM100" s="938"/>
      <c r="GO100" s="938"/>
      <c r="GQ100" s="938"/>
      <c r="GS100" s="938"/>
      <c r="GU100" s="938"/>
      <c r="GW100" s="938"/>
      <c r="GY100" s="938"/>
      <c r="HA100" s="938"/>
      <c r="HC100" s="938"/>
      <c r="HE100" s="938"/>
      <c r="HG100" s="938"/>
      <c r="HI100" s="938"/>
      <c r="HK100" s="938"/>
      <c r="HM100" s="938"/>
      <c r="HO100" s="938"/>
      <c r="HQ100" s="938"/>
      <c r="HS100" s="938"/>
      <c r="HU100" s="938"/>
      <c r="HW100" s="938"/>
      <c r="HY100" s="938"/>
      <c r="IA100" s="938"/>
      <c r="IC100" s="938"/>
      <c r="IE100" s="938"/>
      <c r="IG100" s="938"/>
      <c r="II100" s="938"/>
      <c r="IK100" s="938"/>
      <c r="IM100" s="938"/>
      <c r="IO100" s="938"/>
      <c r="IQ100" s="938"/>
      <c r="IS100" s="938"/>
      <c r="IT100" s="932"/>
      <c r="IU100" s="938"/>
      <c r="IW100" s="939"/>
      <c r="IX100" s="938"/>
      <c r="IY100" s="938"/>
      <c r="IZ100" s="938"/>
      <c r="JB100" s="940"/>
      <c r="JC100" s="940"/>
      <c r="JD100" s="940"/>
      <c r="JE100" s="940"/>
      <c r="JF100" s="940"/>
      <c r="JG100" s="940"/>
      <c r="JH100" s="940"/>
      <c r="JI100" s="940"/>
      <c r="JJ100" s="940"/>
      <c r="JK100" s="940"/>
      <c r="JL100" s="940"/>
      <c r="JM100" s="940"/>
      <c r="JN100" s="940"/>
      <c r="JO100" s="940"/>
      <c r="JP100" s="940"/>
      <c r="JQ100" s="940"/>
      <c r="JR100" s="940"/>
      <c r="JS100" s="940"/>
      <c r="JT100" s="940"/>
      <c r="JU100" s="940"/>
      <c r="JV100" s="940"/>
      <c r="JW100" s="940"/>
      <c r="JX100" s="940"/>
      <c r="JY100" s="940"/>
      <c r="JZ100" s="940"/>
      <c r="KA100" s="940"/>
      <c r="KB100" s="940"/>
      <c r="KC100" s="940"/>
      <c r="KD100" s="940"/>
      <c r="KE100" s="940"/>
      <c r="KF100" s="940"/>
      <c r="KG100" s="940"/>
      <c r="KH100" s="940"/>
      <c r="KI100" s="940"/>
      <c r="KJ100" s="940"/>
      <c r="KK100" s="940"/>
      <c r="KL100" s="940"/>
      <c r="KM100" s="940"/>
      <c r="KN100" s="940"/>
      <c r="KO100" s="940"/>
      <c r="KP100" s="940"/>
      <c r="KQ100" s="940"/>
      <c r="KR100" s="940"/>
      <c r="KS100" s="940"/>
      <c r="KT100" s="940"/>
      <c r="KU100" s="940"/>
      <c r="KV100" s="940"/>
      <c r="KW100" s="940"/>
      <c r="KX100" s="940"/>
      <c r="KY100" s="940"/>
      <c r="KZ100" s="940"/>
      <c r="LA100" s="940"/>
      <c r="LB100" s="940"/>
      <c r="LC100" s="940"/>
      <c r="LD100" s="940"/>
      <c r="LE100" s="940"/>
      <c r="LF100" s="940"/>
      <c r="LG100" s="940"/>
      <c r="LH100" s="940"/>
    </row>
    <row r="101" spans="1:320" s="462" customFormat="1" ht="15" hidden="1" customHeight="1" outlineLevel="1" x14ac:dyDescent="0.25">
      <c r="A101" s="1205">
        <v>40871</v>
      </c>
      <c r="B101" s="1205"/>
      <c r="C101" s="463"/>
      <c r="D101" s="463"/>
      <c r="H101" s="932"/>
      <c r="I101" s="37"/>
      <c r="J101" s="932"/>
      <c r="K101" s="37"/>
      <c r="L101" s="932"/>
      <c r="M101" s="37"/>
      <c r="N101" s="932"/>
      <c r="O101" s="37"/>
      <c r="P101" s="932"/>
      <c r="Q101" s="37"/>
      <c r="R101" s="932"/>
      <c r="S101" s="37"/>
      <c r="T101" s="37"/>
      <c r="U101" s="37"/>
      <c r="V101" s="932"/>
      <c r="W101" s="37"/>
      <c r="X101" s="932"/>
      <c r="Y101" s="37"/>
      <c r="Z101" s="932"/>
      <c r="AA101" s="37"/>
      <c r="AB101" s="932"/>
      <c r="AC101" s="37"/>
      <c r="AD101" s="932"/>
      <c r="AE101" s="37"/>
      <c r="AF101" s="932"/>
      <c r="AG101" s="37"/>
      <c r="AH101" s="37"/>
      <c r="AI101" s="37"/>
      <c r="AJ101" s="932"/>
      <c r="AK101" s="37"/>
      <c r="AL101" s="932"/>
      <c r="AM101" s="37"/>
      <c r="AN101" s="932"/>
      <c r="AO101" s="37"/>
      <c r="AP101" s="932"/>
      <c r="AQ101" s="37"/>
      <c r="AR101" s="37"/>
      <c r="AS101" s="37"/>
      <c r="AT101" s="37"/>
      <c r="AU101" s="37"/>
      <c r="AV101" s="37"/>
      <c r="AW101" s="37"/>
      <c r="AX101" s="932"/>
      <c r="AY101" s="37"/>
      <c r="AZ101" s="932"/>
      <c r="BA101" s="37"/>
      <c r="BB101" s="932"/>
      <c r="BC101" s="37"/>
      <c r="BD101" s="932"/>
      <c r="BE101" s="37"/>
      <c r="BF101" s="932"/>
      <c r="BG101" s="37"/>
      <c r="BH101" s="37"/>
      <c r="BI101" s="37"/>
      <c r="BJ101" s="37"/>
      <c r="BK101" s="37"/>
      <c r="BL101" s="932"/>
      <c r="BM101" s="37"/>
      <c r="BN101" s="932"/>
      <c r="BO101" s="37"/>
      <c r="BP101" s="932"/>
      <c r="BQ101" s="37"/>
      <c r="BR101" s="932"/>
      <c r="BS101" s="37"/>
      <c r="BT101" s="932"/>
      <c r="BU101" s="932"/>
      <c r="BV101" s="932"/>
      <c r="BW101" s="932"/>
      <c r="BX101" s="37"/>
      <c r="BY101" s="37"/>
      <c r="BZ101" s="932"/>
      <c r="CA101" s="37"/>
      <c r="CB101" s="932"/>
      <c r="CC101" s="37"/>
      <c r="CD101" s="932"/>
      <c r="CE101" s="37"/>
      <c r="CF101" s="932"/>
      <c r="CG101" s="37"/>
      <c r="CH101" s="932"/>
      <c r="CI101" s="932"/>
      <c r="CJ101" s="932"/>
      <c r="CK101" s="932"/>
      <c r="CL101" s="37"/>
      <c r="CM101" s="37"/>
      <c r="CN101" s="932"/>
      <c r="CO101" s="37"/>
      <c r="CP101" s="932"/>
      <c r="CQ101" s="37"/>
      <c r="CR101" s="932"/>
      <c r="CS101" s="37"/>
      <c r="CT101" s="932"/>
      <c r="CU101" s="37"/>
      <c r="CV101" s="932"/>
      <c r="CW101" s="932"/>
      <c r="CX101" s="932"/>
      <c r="CY101" s="932"/>
      <c r="CZ101" s="37"/>
      <c r="DA101" s="37"/>
      <c r="DB101" s="932"/>
      <c r="DC101" s="37"/>
      <c r="DD101" s="932"/>
      <c r="DE101" s="37"/>
      <c r="DF101" s="932"/>
      <c r="DG101" s="37"/>
      <c r="DH101" s="932"/>
      <c r="DI101" s="37"/>
      <c r="DJ101" s="932"/>
      <c r="DK101" s="932"/>
      <c r="DL101" s="932"/>
      <c r="DM101" s="932"/>
      <c r="DN101" s="37"/>
      <c r="DO101" s="37"/>
      <c r="DP101" s="932"/>
      <c r="DQ101" s="37"/>
      <c r="DR101" s="932"/>
      <c r="DS101" s="37"/>
      <c r="DT101" s="932"/>
      <c r="DU101" s="37"/>
      <c r="DV101" s="932"/>
      <c r="DW101" s="37"/>
      <c r="DX101" s="932"/>
      <c r="DY101" s="932"/>
      <c r="DZ101" s="932"/>
      <c r="EA101" s="932"/>
      <c r="EB101" s="37"/>
      <c r="EC101" s="37"/>
      <c r="EE101" s="937"/>
      <c r="EG101" s="938"/>
      <c r="EI101" s="938"/>
      <c r="EK101" s="938"/>
      <c r="EM101" s="938"/>
      <c r="EO101" s="938"/>
      <c r="EQ101" s="938"/>
      <c r="ES101" s="938"/>
      <c r="EU101" s="938"/>
      <c r="EW101" s="938"/>
      <c r="EY101" s="938"/>
      <c r="FA101" s="938"/>
      <c r="FC101" s="938"/>
      <c r="FE101" s="938"/>
      <c r="FG101" s="938"/>
      <c r="FI101" s="938"/>
      <c r="FK101" s="938"/>
      <c r="FM101" s="938"/>
      <c r="FO101" s="938"/>
      <c r="FQ101" s="938"/>
      <c r="FS101" s="938"/>
      <c r="FU101" s="938"/>
      <c r="FW101" s="938"/>
      <c r="FY101" s="938"/>
      <c r="GA101" s="938"/>
      <c r="GC101" s="938"/>
      <c r="GE101" s="938"/>
      <c r="GG101" s="938"/>
      <c r="GI101" s="938"/>
      <c r="GK101" s="938"/>
      <c r="GM101" s="938"/>
      <c r="GO101" s="938"/>
      <c r="GQ101" s="938"/>
      <c r="GS101" s="938"/>
      <c r="GU101" s="938"/>
      <c r="GW101" s="938"/>
      <c r="GY101" s="938"/>
      <c r="HA101" s="938"/>
      <c r="HC101" s="938"/>
      <c r="HE101" s="938"/>
      <c r="HG101" s="938"/>
      <c r="HI101" s="938"/>
      <c r="HK101" s="938"/>
      <c r="HM101" s="938"/>
      <c r="HO101" s="938"/>
      <c r="HQ101" s="938"/>
      <c r="HS101" s="938"/>
      <c r="HU101" s="938"/>
      <c r="HW101" s="938"/>
      <c r="HY101" s="938"/>
      <c r="IA101" s="938"/>
      <c r="IC101" s="938"/>
      <c r="IE101" s="938"/>
      <c r="IG101" s="938"/>
      <c r="II101" s="938"/>
      <c r="IK101" s="938"/>
      <c r="IM101" s="938"/>
      <c r="IO101" s="938"/>
      <c r="IQ101" s="938"/>
      <c r="IS101" s="938"/>
      <c r="IT101" s="932"/>
      <c r="IU101" s="938"/>
      <c r="IW101" s="939"/>
      <c r="IX101" s="938"/>
      <c r="IY101" s="938"/>
      <c r="IZ101" s="938"/>
      <c r="JB101" s="940"/>
      <c r="JC101" s="940"/>
      <c r="JD101" s="940"/>
      <c r="JE101" s="940"/>
      <c r="JF101" s="940"/>
      <c r="JG101" s="940"/>
      <c r="JH101" s="940"/>
      <c r="JI101" s="940"/>
      <c r="JJ101" s="940"/>
      <c r="JK101" s="940"/>
      <c r="JL101" s="940"/>
      <c r="JM101" s="940"/>
      <c r="JN101" s="940"/>
      <c r="JO101" s="940"/>
      <c r="JP101" s="940"/>
      <c r="JQ101" s="940"/>
      <c r="JR101" s="940"/>
      <c r="JS101" s="940"/>
      <c r="JT101" s="940"/>
      <c r="JU101" s="940"/>
      <c r="JV101" s="940"/>
      <c r="JW101" s="940"/>
      <c r="JX101" s="940"/>
      <c r="JY101" s="940"/>
      <c r="JZ101" s="940"/>
      <c r="KA101" s="940"/>
      <c r="KB101" s="940"/>
      <c r="KC101" s="940"/>
      <c r="KD101" s="940"/>
      <c r="KE101" s="940"/>
      <c r="KF101" s="940"/>
      <c r="KG101" s="940"/>
      <c r="KH101" s="940"/>
      <c r="KI101" s="940"/>
      <c r="KJ101" s="940"/>
      <c r="KK101" s="940"/>
      <c r="KL101" s="940"/>
      <c r="KM101" s="940"/>
      <c r="KN101" s="940"/>
      <c r="KO101" s="940"/>
      <c r="KP101" s="940"/>
      <c r="KQ101" s="940"/>
      <c r="KR101" s="940"/>
      <c r="KS101" s="940"/>
      <c r="KT101" s="940"/>
      <c r="KU101" s="940"/>
      <c r="KV101" s="940"/>
      <c r="KW101" s="940"/>
      <c r="KX101" s="940"/>
      <c r="KY101" s="940"/>
      <c r="KZ101" s="940"/>
      <c r="LA101" s="940"/>
      <c r="LB101" s="940"/>
      <c r="LC101" s="940"/>
      <c r="LD101" s="940"/>
      <c r="LE101" s="940"/>
      <c r="LF101" s="940"/>
      <c r="LG101" s="940"/>
      <c r="LH101" s="940"/>
    </row>
    <row r="102" spans="1:320" s="462" customFormat="1" ht="15" hidden="1" customHeight="1" outlineLevel="1" x14ac:dyDescent="0.25">
      <c r="A102" s="1205">
        <v>40872</v>
      </c>
      <c r="B102" s="1205"/>
      <c r="C102" s="463"/>
      <c r="D102" s="463"/>
      <c r="H102" s="932"/>
      <c r="I102" s="37"/>
      <c r="J102" s="932"/>
      <c r="K102" s="37"/>
      <c r="L102" s="932"/>
      <c r="M102" s="37"/>
      <c r="N102" s="932"/>
      <c r="O102" s="37"/>
      <c r="P102" s="932"/>
      <c r="Q102" s="37"/>
      <c r="R102" s="932"/>
      <c r="S102" s="37"/>
      <c r="T102" s="37"/>
      <c r="U102" s="37"/>
      <c r="V102" s="932"/>
      <c r="W102" s="37"/>
      <c r="X102" s="932"/>
      <c r="Y102" s="37"/>
      <c r="Z102" s="932"/>
      <c r="AA102" s="37"/>
      <c r="AB102" s="932"/>
      <c r="AC102" s="37"/>
      <c r="AD102" s="932"/>
      <c r="AE102" s="37"/>
      <c r="AF102" s="932"/>
      <c r="AG102" s="37"/>
      <c r="AH102" s="37"/>
      <c r="AI102" s="37"/>
      <c r="AJ102" s="932"/>
      <c r="AK102" s="37"/>
      <c r="AL102" s="932"/>
      <c r="AM102" s="37"/>
      <c r="AN102" s="932"/>
      <c r="AO102" s="37"/>
      <c r="AP102" s="932"/>
      <c r="AQ102" s="37"/>
      <c r="AR102" s="37"/>
      <c r="AS102" s="37"/>
      <c r="AT102" s="37"/>
      <c r="AU102" s="37"/>
      <c r="AV102" s="37"/>
      <c r="AW102" s="37"/>
      <c r="AX102" s="932"/>
      <c r="AY102" s="37"/>
      <c r="AZ102" s="932"/>
      <c r="BA102" s="37"/>
      <c r="BB102" s="932"/>
      <c r="BC102" s="37"/>
      <c r="BD102" s="932"/>
      <c r="BE102" s="37"/>
      <c r="BF102" s="932"/>
      <c r="BG102" s="37"/>
      <c r="BH102" s="37"/>
      <c r="BI102" s="37"/>
      <c r="BJ102" s="37"/>
      <c r="BK102" s="37"/>
      <c r="BL102" s="932"/>
      <c r="BM102" s="37"/>
      <c r="BN102" s="932"/>
      <c r="BO102" s="37"/>
      <c r="BP102" s="932"/>
      <c r="BQ102" s="37"/>
      <c r="BR102" s="932"/>
      <c r="BS102" s="37"/>
      <c r="BT102" s="932"/>
      <c r="BU102" s="932"/>
      <c r="BV102" s="932"/>
      <c r="BW102" s="932"/>
      <c r="BX102" s="37"/>
      <c r="BY102" s="37"/>
      <c r="BZ102" s="932"/>
      <c r="CA102" s="37"/>
      <c r="CB102" s="932"/>
      <c r="CC102" s="37"/>
      <c r="CD102" s="932"/>
      <c r="CE102" s="37"/>
      <c r="CF102" s="932"/>
      <c r="CG102" s="37"/>
      <c r="CH102" s="932"/>
      <c r="CI102" s="932"/>
      <c r="CJ102" s="932"/>
      <c r="CK102" s="932"/>
      <c r="CL102" s="37"/>
      <c r="CM102" s="37"/>
      <c r="CN102" s="932"/>
      <c r="CO102" s="37"/>
      <c r="CP102" s="932"/>
      <c r="CQ102" s="37"/>
      <c r="CR102" s="932"/>
      <c r="CS102" s="37"/>
      <c r="CT102" s="932"/>
      <c r="CU102" s="37"/>
      <c r="CV102" s="932"/>
      <c r="CW102" s="932"/>
      <c r="CX102" s="932"/>
      <c r="CY102" s="932"/>
      <c r="CZ102" s="37"/>
      <c r="DA102" s="37"/>
      <c r="DB102" s="932"/>
      <c r="DC102" s="37"/>
      <c r="DD102" s="932"/>
      <c r="DE102" s="37"/>
      <c r="DF102" s="932"/>
      <c r="DG102" s="37"/>
      <c r="DH102" s="932"/>
      <c r="DI102" s="37"/>
      <c r="DJ102" s="932"/>
      <c r="DK102" s="932"/>
      <c r="DL102" s="932"/>
      <c r="DM102" s="932"/>
      <c r="DN102" s="37"/>
      <c r="DO102" s="37"/>
      <c r="DP102" s="932"/>
      <c r="DQ102" s="37"/>
      <c r="DR102" s="932"/>
      <c r="DS102" s="37"/>
      <c r="DT102" s="932"/>
      <c r="DU102" s="37"/>
      <c r="DV102" s="932"/>
      <c r="DW102" s="37"/>
      <c r="DX102" s="932"/>
      <c r="DY102" s="932"/>
      <c r="DZ102" s="932"/>
      <c r="EA102" s="932"/>
      <c r="EB102" s="37"/>
      <c r="EC102" s="37"/>
      <c r="EE102" s="937"/>
      <c r="EG102" s="938"/>
      <c r="EI102" s="938"/>
      <c r="EK102" s="938"/>
      <c r="EM102" s="938"/>
      <c r="EO102" s="938"/>
      <c r="EQ102" s="938"/>
      <c r="ES102" s="938"/>
      <c r="EU102" s="938"/>
      <c r="EW102" s="938"/>
      <c r="EY102" s="938"/>
      <c r="FA102" s="938"/>
      <c r="FC102" s="938"/>
      <c r="FE102" s="938"/>
      <c r="FG102" s="938"/>
      <c r="FI102" s="938"/>
      <c r="FK102" s="938"/>
      <c r="FM102" s="938"/>
      <c r="FO102" s="938"/>
      <c r="FQ102" s="938"/>
      <c r="FS102" s="938"/>
      <c r="FU102" s="938"/>
      <c r="FW102" s="938"/>
      <c r="FY102" s="938"/>
      <c r="GA102" s="938"/>
      <c r="GC102" s="938"/>
      <c r="GE102" s="938"/>
      <c r="GG102" s="938"/>
      <c r="GI102" s="938"/>
      <c r="GK102" s="938"/>
      <c r="GM102" s="938"/>
      <c r="GO102" s="938"/>
      <c r="GQ102" s="938"/>
      <c r="GS102" s="938"/>
      <c r="GU102" s="938"/>
      <c r="GW102" s="938"/>
      <c r="GY102" s="938"/>
      <c r="HA102" s="938"/>
      <c r="HC102" s="938"/>
      <c r="HE102" s="938"/>
      <c r="HG102" s="938"/>
      <c r="HI102" s="938"/>
      <c r="HK102" s="938"/>
      <c r="HM102" s="938"/>
      <c r="HO102" s="938"/>
      <c r="HQ102" s="938"/>
      <c r="HS102" s="938"/>
      <c r="HU102" s="938"/>
      <c r="HW102" s="938"/>
      <c r="HY102" s="938"/>
      <c r="IA102" s="938"/>
      <c r="IC102" s="938"/>
      <c r="IE102" s="938"/>
      <c r="IG102" s="938"/>
      <c r="II102" s="938"/>
      <c r="IK102" s="938"/>
      <c r="IM102" s="938"/>
      <c r="IO102" s="938"/>
      <c r="IQ102" s="938"/>
      <c r="IS102" s="938"/>
      <c r="IT102" s="932"/>
      <c r="IU102" s="938"/>
      <c r="IW102" s="939"/>
      <c r="IX102" s="938"/>
      <c r="IY102" s="938"/>
      <c r="IZ102" s="938"/>
      <c r="JB102" s="940"/>
      <c r="JC102" s="940"/>
      <c r="JD102" s="940"/>
      <c r="JE102" s="940"/>
      <c r="JF102" s="940"/>
      <c r="JG102" s="940"/>
      <c r="JH102" s="940"/>
      <c r="JI102" s="940"/>
      <c r="JJ102" s="940"/>
      <c r="JK102" s="940"/>
      <c r="JL102" s="940"/>
      <c r="JM102" s="940"/>
      <c r="JN102" s="940"/>
      <c r="JO102" s="940"/>
      <c r="JP102" s="940"/>
      <c r="JQ102" s="940"/>
      <c r="JR102" s="940"/>
      <c r="JS102" s="940"/>
      <c r="JT102" s="940"/>
      <c r="JU102" s="940"/>
      <c r="JV102" s="940"/>
      <c r="JW102" s="940"/>
      <c r="JX102" s="940"/>
      <c r="JY102" s="940"/>
      <c r="JZ102" s="940"/>
      <c r="KA102" s="940"/>
      <c r="KB102" s="940"/>
      <c r="KC102" s="940"/>
      <c r="KD102" s="940"/>
      <c r="KE102" s="940"/>
      <c r="KF102" s="940"/>
      <c r="KG102" s="940"/>
      <c r="KH102" s="940"/>
      <c r="KI102" s="940"/>
      <c r="KJ102" s="940"/>
      <c r="KK102" s="940"/>
      <c r="KL102" s="940"/>
      <c r="KM102" s="940"/>
      <c r="KN102" s="940"/>
      <c r="KO102" s="940"/>
      <c r="KP102" s="940"/>
      <c r="KQ102" s="940"/>
      <c r="KR102" s="940"/>
      <c r="KS102" s="940"/>
      <c r="KT102" s="940"/>
      <c r="KU102" s="940"/>
      <c r="KV102" s="940"/>
      <c r="KW102" s="940"/>
      <c r="KX102" s="940"/>
      <c r="KY102" s="940"/>
      <c r="KZ102" s="940"/>
      <c r="LA102" s="940"/>
      <c r="LB102" s="940"/>
      <c r="LC102" s="940"/>
      <c r="LD102" s="940"/>
      <c r="LE102" s="940"/>
      <c r="LF102" s="940"/>
      <c r="LG102" s="940"/>
      <c r="LH102" s="940"/>
    </row>
    <row r="103" spans="1:320" s="462" customFormat="1" ht="15" hidden="1" customHeight="1" outlineLevel="1" x14ac:dyDescent="0.25">
      <c r="A103" s="1214">
        <v>40903</v>
      </c>
      <c r="B103" s="1205"/>
      <c r="C103" s="463"/>
      <c r="D103" s="463"/>
      <c r="H103" s="932"/>
      <c r="I103" s="37"/>
      <c r="J103" s="932"/>
      <c r="K103" s="37"/>
      <c r="L103" s="932"/>
      <c r="M103" s="37"/>
      <c r="N103" s="932"/>
      <c r="O103" s="37"/>
      <c r="P103" s="932"/>
      <c r="Q103" s="37"/>
      <c r="R103" s="932"/>
      <c r="S103" s="37"/>
      <c r="T103" s="37"/>
      <c r="U103" s="37"/>
      <c r="V103" s="932"/>
      <c r="W103" s="37"/>
      <c r="X103" s="932"/>
      <c r="Y103" s="37"/>
      <c r="Z103" s="932"/>
      <c r="AA103" s="37"/>
      <c r="AB103" s="932"/>
      <c r="AC103" s="37"/>
      <c r="AD103" s="932"/>
      <c r="AE103" s="37"/>
      <c r="AF103" s="932"/>
      <c r="AG103" s="37"/>
      <c r="AH103" s="37"/>
      <c r="AI103" s="37"/>
      <c r="AJ103" s="932"/>
      <c r="AK103" s="37"/>
      <c r="AL103" s="932"/>
      <c r="AM103" s="37"/>
      <c r="AN103" s="932"/>
      <c r="AO103" s="37"/>
      <c r="AP103" s="932"/>
      <c r="AQ103" s="37"/>
      <c r="AR103" s="37"/>
      <c r="AS103" s="37"/>
      <c r="AT103" s="37"/>
      <c r="AU103" s="37"/>
      <c r="AV103" s="37"/>
      <c r="AW103" s="37"/>
      <c r="AX103" s="932"/>
      <c r="AY103" s="37"/>
      <c r="AZ103" s="932"/>
      <c r="BA103" s="37"/>
      <c r="BB103" s="932"/>
      <c r="BC103" s="37"/>
      <c r="BD103" s="932"/>
      <c r="BE103" s="37"/>
      <c r="BF103" s="932"/>
      <c r="BG103" s="37"/>
      <c r="BH103" s="37"/>
      <c r="BI103" s="37"/>
      <c r="BJ103" s="37"/>
      <c r="BK103" s="37"/>
      <c r="BL103" s="932"/>
      <c r="BM103" s="37"/>
      <c r="BN103" s="932"/>
      <c r="BO103" s="37"/>
      <c r="BP103" s="932"/>
      <c r="BQ103" s="37"/>
      <c r="BR103" s="932"/>
      <c r="BS103" s="37"/>
      <c r="BT103" s="932"/>
      <c r="BU103" s="932"/>
      <c r="BV103" s="932"/>
      <c r="BW103" s="932"/>
      <c r="BX103" s="37"/>
      <c r="BY103" s="37"/>
      <c r="BZ103" s="932"/>
      <c r="CA103" s="37"/>
      <c r="CB103" s="932"/>
      <c r="CC103" s="37"/>
      <c r="CD103" s="932"/>
      <c r="CE103" s="37"/>
      <c r="CF103" s="932"/>
      <c r="CG103" s="37"/>
      <c r="CH103" s="932"/>
      <c r="CI103" s="932"/>
      <c r="CJ103" s="932"/>
      <c r="CK103" s="932"/>
      <c r="CL103" s="37"/>
      <c r="CM103" s="37"/>
      <c r="CN103" s="932"/>
      <c r="CO103" s="37"/>
      <c r="CP103" s="932"/>
      <c r="CQ103" s="37"/>
      <c r="CR103" s="932"/>
      <c r="CS103" s="37"/>
      <c r="CT103" s="932"/>
      <c r="CU103" s="37"/>
      <c r="CV103" s="932"/>
      <c r="CW103" s="932"/>
      <c r="CX103" s="932"/>
      <c r="CY103" s="932"/>
      <c r="CZ103" s="37"/>
      <c r="DA103" s="37"/>
      <c r="DB103" s="932"/>
      <c r="DC103" s="37"/>
      <c r="DD103" s="932"/>
      <c r="DE103" s="37"/>
      <c r="DF103" s="932"/>
      <c r="DG103" s="37"/>
      <c r="DH103" s="932"/>
      <c r="DI103" s="37"/>
      <c r="DJ103" s="932"/>
      <c r="DK103" s="932"/>
      <c r="DL103" s="932"/>
      <c r="DM103" s="932"/>
      <c r="DN103" s="37"/>
      <c r="DO103" s="37"/>
      <c r="DP103" s="932"/>
      <c r="DQ103" s="37"/>
      <c r="DR103" s="932"/>
      <c r="DS103" s="37"/>
      <c r="DT103" s="932"/>
      <c r="DU103" s="37"/>
      <c r="DV103" s="932"/>
      <c r="DW103" s="37"/>
      <c r="DX103" s="932"/>
      <c r="DY103" s="932"/>
      <c r="DZ103" s="932"/>
      <c r="EA103" s="932"/>
      <c r="EB103" s="37"/>
      <c r="EC103" s="37"/>
      <c r="EE103" s="937"/>
      <c r="EG103" s="938"/>
      <c r="EI103" s="938"/>
      <c r="EK103" s="938"/>
      <c r="EM103" s="938"/>
      <c r="EO103" s="938"/>
      <c r="EQ103" s="938"/>
      <c r="ES103" s="938"/>
      <c r="EU103" s="938"/>
      <c r="EW103" s="938"/>
      <c r="EY103" s="938"/>
      <c r="FA103" s="938"/>
      <c r="FC103" s="938"/>
      <c r="FE103" s="938"/>
      <c r="FG103" s="938"/>
      <c r="FI103" s="938"/>
      <c r="FK103" s="938"/>
      <c r="FM103" s="938"/>
      <c r="FO103" s="938"/>
      <c r="FQ103" s="938"/>
      <c r="FS103" s="938"/>
      <c r="FU103" s="938"/>
      <c r="FW103" s="938"/>
      <c r="FY103" s="938"/>
      <c r="GA103" s="938"/>
      <c r="GC103" s="938"/>
      <c r="GE103" s="938"/>
      <c r="GG103" s="938"/>
      <c r="GI103" s="938"/>
      <c r="GK103" s="938"/>
      <c r="GM103" s="938"/>
      <c r="GO103" s="938"/>
      <c r="GQ103" s="938"/>
      <c r="GS103" s="938"/>
      <c r="GU103" s="938"/>
      <c r="GW103" s="938"/>
      <c r="GY103" s="938"/>
      <c r="HA103" s="938"/>
      <c r="HC103" s="938"/>
      <c r="HE103" s="938"/>
      <c r="HG103" s="938"/>
      <c r="HI103" s="938"/>
      <c r="HK103" s="938"/>
      <c r="HM103" s="938"/>
      <c r="HO103" s="938"/>
      <c r="HQ103" s="938"/>
      <c r="HS103" s="938"/>
      <c r="HU103" s="938"/>
      <c r="HW103" s="938"/>
      <c r="HY103" s="938"/>
      <c r="IA103" s="938"/>
      <c r="IC103" s="938"/>
      <c r="IE103" s="938"/>
      <c r="IG103" s="938"/>
      <c r="II103" s="938"/>
      <c r="IK103" s="938"/>
      <c r="IM103" s="938"/>
      <c r="IO103" s="938"/>
      <c r="IQ103" s="938"/>
      <c r="IS103" s="938"/>
      <c r="IT103" s="932"/>
      <c r="IU103" s="938"/>
      <c r="IW103" s="939"/>
      <c r="IX103" s="938"/>
      <c r="IY103" s="938"/>
      <c r="IZ103" s="938"/>
      <c r="JB103" s="940"/>
      <c r="JC103" s="940"/>
      <c r="JD103" s="940"/>
      <c r="JE103" s="940"/>
      <c r="JF103" s="940"/>
      <c r="JG103" s="940"/>
      <c r="JH103" s="940"/>
      <c r="JI103" s="940"/>
      <c r="JJ103" s="940"/>
      <c r="JK103" s="940"/>
      <c r="JL103" s="940"/>
      <c r="JM103" s="940"/>
      <c r="JN103" s="940"/>
      <c r="JO103" s="940"/>
      <c r="JP103" s="940"/>
      <c r="JQ103" s="940"/>
      <c r="JR103" s="940"/>
      <c r="JS103" s="940"/>
      <c r="JT103" s="940"/>
      <c r="JU103" s="940"/>
      <c r="JV103" s="940"/>
      <c r="JW103" s="940"/>
      <c r="JX103" s="940"/>
      <c r="JY103" s="940"/>
      <c r="JZ103" s="940"/>
      <c r="KA103" s="940"/>
      <c r="KB103" s="940"/>
      <c r="KC103" s="940"/>
      <c r="KD103" s="940"/>
      <c r="KE103" s="940"/>
      <c r="KF103" s="940"/>
      <c r="KG103" s="940"/>
      <c r="KH103" s="940"/>
      <c r="KI103" s="940"/>
      <c r="KJ103" s="940"/>
      <c r="KK103" s="940"/>
      <c r="KL103" s="940"/>
      <c r="KM103" s="940"/>
      <c r="KN103" s="940"/>
      <c r="KO103" s="940"/>
      <c r="KP103" s="940"/>
      <c r="KQ103" s="940"/>
      <c r="KR103" s="940"/>
      <c r="KS103" s="940"/>
      <c r="KT103" s="940"/>
      <c r="KU103" s="940"/>
      <c r="KV103" s="940"/>
      <c r="KW103" s="940"/>
      <c r="KX103" s="940"/>
      <c r="KY103" s="940"/>
      <c r="KZ103" s="940"/>
      <c r="LA103" s="940"/>
      <c r="LB103" s="940"/>
      <c r="LC103" s="940"/>
      <c r="LD103" s="940"/>
      <c r="LE103" s="940"/>
      <c r="LF103" s="940"/>
      <c r="LG103" s="940"/>
      <c r="LH103" s="940"/>
    </row>
    <row r="104" spans="1:320" s="462" customFormat="1" ht="15" hidden="1" customHeight="1" outlineLevel="1" x14ac:dyDescent="0.25">
      <c r="A104" s="1205">
        <v>40904</v>
      </c>
      <c r="B104" s="1205"/>
      <c r="C104" s="463"/>
      <c r="D104" s="463"/>
      <c r="H104" s="932"/>
      <c r="I104" s="37"/>
      <c r="J104" s="932"/>
      <c r="K104" s="37"/>
      <c r="L104" s="932"/>
      <c r="M104" s="37"/>
      <c r="N104" s="932"/>
      <c r="O104" s="37"/>
      <c r="P104" s="932"/>
      <c r="Q104" s="37"/>
      <c r="R104" s="932"/>
      <c r="S104" s="37"/>
      <c r="T104" s="37"/>
      <c r="U104" s="37"/>
      <c r="V104" s="932"/>
      <c r="W104" s="37"/>
      <c r="X104" s="932"/>
      <c r="Y104" s="37"/>
      <c r="Z104" s="932"/>
      <c r="AA104" s="37"/>
      <c r="AB104" s="932"/>
      <c r="AC104" s="37"/>
      <c r="AD104" s="932"/>
      <c r="AE104" s="37"/>
      <c r="AF104" s="932"/>
      <c r="AG104" s="37"/>
      <c r="AH104" s="37"/>
      <c r="AI104" s="37"/>
      <c r="AJ104" s="932"/>
      <c r="AK104" s="37"/>
      <c r="AL104" s="932"/>
      <c r="AM104" s="37"/>
      <c r="AN104" s="932"/>
      <c r="AO104" s="37"/>
      <c r="AP104" s="932"/>
      <c r="AQ104" s="37"/>
      <c r="AR104" s="37"/>
      <c r="AS104" s="37"/>
      <c r="AT104" s="37"/>
      <c r="AU104" s="37"/>
      <c r="AV104" s="37"/>
      <c r="AW104" s="37"/>
      <c r="AX104" s="932"/>
      <c r="AY104" s="37"/>
      <c r="AZ104" s="932"/>
      <c r="BA104" s="37"/>
      <c r="BB104" s="932"/>
      <c r="BC104" s="37"/>
      <c r="BD104" s="932"/>
      <c r="BE104" s="37"/>
      <c r="BF104" s="932"/>
      <c r="BG104" s="37"/>
      <c r="BH104" s="37"/>
      <c r="BI104" s="37"/>
      <c r="BJ104" s="37"/>
      <c r="BK104" s="37"/>
      <c r="BL104" s="932"/>
      <c r="BM104" s="37"/>
      <c r="BN104" s="932"/>
      <c r="BO104" s="37"/>
      <c r="BP104" s="932"/>
      <c r="BQ104" s="37"/>
      <c r="BR104" s="932"/>
      <c r="BS104" s="37"/>
      <c r="BT104" s="932"/>
      <c r="BU104" s="932"/>
      <c r="BV104" s="932"/>
      <c r="BW104" s="932"/>
      <c r="BX104" s="37"/>
      <c r="BY104" s="37"/>
      <c r="BZ104" s="932"/>
      <c r="CA104" s="37"/>
      <c r="CB104" s="932"/>
      <c r="CC104" s="37"/>
      <c r="CD104" s="932"/>
      <c r="CE104" s="37"/>
      <c r="CF104" s="932"/>
      <c r="CG104" s="37"/>
      <c r="CH104" s="932"/>
      <c r="CI104" s="932"/>
      <c r="CJ104" s="932"/>
      <c r="CK104" s="932"/>
      <c r="CL104" s="37"/>
      <c r="CM104" s="37"/>
      <c r="CN104" s="932"/>
      <c r="CO104" s="37"/>
      <c r="CP104" s="932"/>
      <c r="CQ104" s="37"/>
      <c r="CR104" s="932"/>
      <c r="CS104" s="37"/>
      <c r="CT104" s="932"/>
      <c r="CU104" s="37"/>
      <c r="CV104" s="932"/>
      <c r="CW104" s="932"/>
      <c r="CX104" s="932"/>
      <c r="CY104" s="932"/>
      <c r="CZ104" s="37"/>
      <c r="DA104" s="37"/>
      <c r="DB104" s="932"/>
      <c r="DC104" s="37"/>
      <c r="DD104" s="932"/>
      <c r="DE104" s="37"/>
      <c r="DF104" s="932"/>
      <c r="DG104" s="37"/>
      <c r="DH104" s="932"/>
      <c r="DI104" s="37"/>
      <c r="DJ104" s="932"/>
      <c r="DK104" s="932"/>
      <c r="DL104" s="932"/>
      <c r="DM104" s="932"/>
      <c r="DN104" s="37"/>
      <c r="DO104" s="37"/>
      <c r="DP104" s="932"/>
      <c r="DQ104" s="37"/>
      <c r="DR104" s="932"/>
      <c r="DS104" s="37"/>
      <c r="DT104" s="932"/>
      <c r="DU104" s="37"/>
      <c r="DV104" s="932"/>
      <c r="DW104" s="37"/>
      <c r="DX104" s="932"/>
      <c r="DY104" s="932"/>
      <c r="DZ104" s="932"/>
      <c r="EA104" s="932"/>
      <c r="EB104" s="37"/>
      <c r="EC104" s="37"/>
      <c r="EE104" s="937"/>
      <c r="EG104" s="938"/>
      <c r="EI104" s="938"/>
      <c r="EK104" s="938"/>
      <c r="EM104" s="938"/>
      <c r="EO104" s="938"/>
      <c r="EQ104" s="938"/>
      <c r="ES104" s="938"/>
      <c r="EU104" s="938"/>
      <c r="EW104" s="938"/>
      <c r="EY104" s="938"/>
      <c r="FA104" s="938"/>
      <c r="FC104" s="938"/>
      <c r="FE104" s="938"/>
      <c r="FG104" s="938"/>
      <c r="FI104" s="938"/>
      <c r="FK104" s="938"/>
      <c r="FM104" s="938"/>
      <c r="FO104" s="938"/>
      <c r="FQ104" s="938"/>
      <c r="FS104" s="938"/>
      <c r="FU104" s="938"/>
      <c r="FW104" s="938"/>
      <c r="FY104" s="938"/>
      <c r="GA104" s="938"/>
      <c r="GC104" s="938"/>
      <c r="GE104" s="938"/>
      <c r="GG104" s="938"/>
      <c r="GI104" s="938"/>
      <c r="GK104" s="938"/>
      <c r="GM104" s="938"/>
      <c r="GO104" s="938"/>
      <c r="GQ104" s="938"/>
      <c r="GS104" s="938"/>
      <c r="GU104" s="938"/>
      <c r="GW104" s="938"/>
      <c r="GY104" s="938"/>
      <c r="HA104" s="938"/>
      <c r="HC104" s="938"/>
      <c r="HE104" s="938"/>
      <c r="HG104" s="938"/>
      <c r="HI104" s="938"/>
      <c r="HK104" s="938"/>
      <c r="HM104" s="938"/>
      <c r="HO104" s="938"/>
      <c r="HQ104" s="938"/>
      <c r="HS104" s="938"/>
      <c r="HU104" s="938"/>
      <c r="HW104" s="938"/>
      <c r="HY104" s="938"/>
      <c r="IA104" s="938"/>
      <c r="IC104" s="938"/>
      <c r="IE104" s="938"/>
      <c r="IG104" s="938"/>
      <c r="II104" s="938"/>
      <c r="IK104" s="938"/>
      <c r="IM104" s="938"/>
      <c r="IO104" s="938"/>
      <c r="IQ104" s="938"/>
      <c r="IS104" s="938"/>
      <c r="IT104" s="932"/>
      <c r="IU104" s="938"/>
      <c r="IW104" s="939"/>
      <c r="IX104" s="938"/>
      <c r="IY104" s="938"/>
      <c r="IZ104" s="938"/>
      <c r="JB104" s="940"/>
      <c r="JC104" s="940"/>
      <c r="JD104" s="940"/>
      <c r="JE104" s="940"/>
      <c r="JF104" s="940"/>
      <c r="JG104" s="940"/>
      <c r="JH104" s="940"/>
      <c r="JI104" s="940"/>
      <c r="JJ104" s="940"/>
      <c r="JK104" s="940"/>
      <c r="JL104" s="940"/>
      <c r="JM104" s="940"/>
      <c r="JN104" s="940"/>
      <c r="JO104" s="940"/>
      <c r="JP104" s="940"/>
      <c r="JQ104" s="940"/>
      <c r="JR104" s="940"/>
      <c r="JS104" s="940"/>
      <c r="JT104" s="940"/>
      <c r="JU104" s="940"/>
      <c r="JV104" s="940"/>
      <c r="JW104" s="940"/>
      <c r="JX104" s="940"/>
      <c r="JY104" s="940"/>
      <c r="JZ104" s="940"/>
      <c r="KA104" s="940"/>
      <c r="KB104" s="940"/>
      <c r="KC104" s="940"/>
      <c r="KD104" s="940"/>
      <c r="KE104" s="940"/>
      <c r="KF104" s="940"/>
      <c r="KG104" s="940"/>
      <c r="KH104" s="940"/>
      <c r="KI104" s="940"/>
      <c r="KJ104" s="940"/>
      <c r="KK104" s="940"/>
      <c r="KL104" s="940"/>
      <c r="KM104" s="940"/>
      <c r="KN104" s="940"/>
      <c r="KO104" s="940"/>
      <c r="KP104" s="940"/>
      <c r="KQ104" s="940"/>
      <c r="KR104" s="940"/>
      <c r="KS104" s="940"/>
      <c r="KT104" s="940"/>
      <c r="KU104" s="940"/>
      <c r="KV104" s="940"/>
      <c r="KW104" s="940"/>
      <c r="KX104" s="940"/>
      <c r="KY104" s="940"/>
      <c r="KZ104" s="940"/>
      <c r="LA104" s="940"/>
      <c r="LB104" s="940"/>
      <c r="LC104" s="940"/>
      <c r="LD104" s="940"/>
      <c r="LE104" s="940"/>
      <c r="LF104" s="940"/>
      <c r="LG104" s="940"/>
      <c r="LH104" s="940"/>
    </row>
    <row r="105" spans="1:320" s="462" customFormat="1" ht="15" hidden="1" customHeight="1" outlineLevel="1" x14ac:dyDescent="0.25">
      <c r="A105" s="1205">
        <v>40910</v>
      </c>
      <c r="B105" s="1205"/>
      <c r="C105" s="463"/>
      <c r="D105" s="463"/>
      <c r="H105" s="932"/>
      <c r="I105" s="37"/>
      <c r="J105" s="932"/>
      <c r="K105" s="37"/>
      <c r="L105" s="932"/>
      <c r="M105" s="37"/>
      <c r="N105" s="932"/>
      <c r="O105" s="37"/>
      <c r="P105" s="932"/>
      <c r="Q105" s="37"/>
      <c r="R105" s="932"/>
      <c r="S105" s="37"/>
      <c r="T105" s="37"/>
      <c r="U105" s="37"/>
      <c r="V105" s="932"/>
      <c r="W105" s="37"/>
      <c r="X105" s="932"/>
      <c r="Y105" s="37"/>
      <c r="Z105" s="932"/>
      <c r="AA105" s="37"/>
      <c r="AB105" s="932"/>
      <c r="AC105" s="37"/>
      <c r="AD105" s="932"/>
      <c r="AE105" s="37"/>
      <c r="AF105" s="932"/>
      <c r="AG105" s="37"/>
      <c r="AH105" s="37"/>
      <c r="AI105" s="37"/>
      <c r="AJ105" s="932"/>
      <c r="AK105" s="37"/>
      <c r="AL105" s="932"/>
      <c r="AM105" s="37"/>
      <c r="AN105" s="932"/>
      <c r="AO105" s="37"/>
      <c r="AP105" s="932"/>
      <c r="AQ105" s="37"/>
      <c r="AR105" s="37"/>
      <c r="AS105" s="37"/>
      <c r="AT105" s="37"/>
      <c r="AU105" s="37"/>
      <c r="AV105" s="37"/>
      <c r="AW105" s="37"/>
      <c r="AX105" s="932"/>
      <c r="AY105" s="37"/>
      <c r="AZ105" s="932"/>
      <c r="BA105" s="37"/>
      <c r="BB105" s="932"/>
      <c r="BC105" s="37"/>
      <c r="BD105" s="932"/>
      <c r="BE105" s="37"/>
      <c r="BF105" s="932"/>
      <c r="BG105" s="37"/>
      <c r="BH105" s="37"/>
      <c r="BI105" s="37"/>
      <c r="BJ105" s="37"/>
      <c r="BK105" s="37"/>
      <c r="BL105" s="932"/>
      <c r="BM105" s="37"/>
      <c r="BN105" s="932"/>
      <c r="BO105" s="37"/>
      <c r="BP105" s="932"/>
      <c r="BQ105" s="37"/>
      <c r="BR105" s="932"/>
      <c r="BS105" s="37"/>
      <c r="BT105" s="932"/>
      <c r="BU105" s="932"/>
      <c r="BV105" s="932"/>
      <c r="BW105" s="932"/>
      <c r="BX105" s="37"/>
      <c r="BY105" s="37"/>
      <c r="BZ105" s="932"/>
      <c r="CA105" s="37"/>
      <c r="CB105" s="932"/>
      <c r="CC105" s="37"/>
      <c r="CD105" s="932"/>
      <c r="CE105" s="37"/>
      <c r="CF105" s="932"/>
      <c r="CG105" s="37"/>
      <c r="CH105" s="932"/>
      <c r="CI105" s="932"/>
      <c r="CJ105" s="932"/>
      <c r="CK105" s="932"/>
      <c r="CL105" s="37"/>
      <c r="CM105" s="37"/>
      <c r="CN105" s="932"/>
      <c r="CO105" s="37"/>
      <c r="CP105" s="932"/>
      <c r="CQ105" s="37"/>
      <c r="CR105" s="932"/>
      <c r="CS105" s="37"/>
      <c r="CT105" s="932"/>
      <c r="CU105" s="37"/>
      <c r="CV105" s="932"/>
      <c r="CW105" s="932"/>
      <c r="CX105" s="932"/>
      <c r="CY105" s="932"/>
      <c r="CZ105" s="37"/>
      <c r="DA105" s="37"/>
      <c r="DB105" s="932"/>
      <c r="DC105" s="37"/>
      <c r="DD105" s="932"/>
      <c r="DE105" s="37"/>
      <c r="DF105" s="932"/>
      <c r="DG105" s="37"/>
      <c r="DH105" s="932"/>
      <c r="DI105" s="37"/>
      <c r="DJ105" s="932"/>
      <c r="DK105" s="932"/>
      <c r="DL105" s="932"/>
      <c r="DM105" s="932"/>
      <c r="DN105" s="37"/>
      <c r="DO105" s="37"/>
      <c r="DP105" s="932"/>
      <c r="DQ105" s="37"/>
      <c r="DR105" s="932"/>
      <c r="DS105" s="37"/>
      <c r="DT105" s="932"/>
      <c r="DU105" s="37"/>
      <c r="DV105" s="932"/>
      <c r="DW105" s="37"/>
      <c r="DX105" s="932"/>
      <c r="DY105" s="932"/>
      <c r="DZ105" s="932"/>
      <c r="EA105" s="932"/>
      <c r="EB105" s="37"/>
      <c r="EC105" s="37"/>
      <c r="EE105" s="937"/>
      <c r="EG105" s="938"/>
      <c r="EI105" s="938"/>
      <c r="EK105" s="938"/>
      <c r="EM105" s="938"/>
      <c r="EO105" s="938"/>
      <c r="EQ105" s="938"/>
      <c r="ES105" s="938"/>
      <c r="EU105" s="938"/>
      <c r="EW105" s="938"/>
      <c r="EY105" s="938"/>
      <c r="FA105" s="938"/>
      <c r="FC105" s="938"/>
      <c r="FE105" s="938"/>
      <c r="FG105" s="938"/>
      <c r="FI105" s="938"/>
      <c r="FK105" s="938"/>
      <c r="FM105" s="938"/>
      <c r="FO105" s="938"/>
      <c r="FQ105" s="938"/>
      <c r="FS105" s="938"/>
      <c r="FU105" s="938"/>
      <c r="FW105" s="938"/>
      <c r="FY105" s="938"/>
      <c r="GA105" s="938"/>
      <c r="GC105" s="938"/>
      <c r="GE105" s="938"/>
      <c r="GG105" s="938"/>
      <c r="GI105" s="938"/>
      <c r="GK105" s="938"/>
      <c r="GM105" s="938"/>
      <c r="GO105" s="938"/>
      <c r="GQ105" s="938"/>
      <c r="GS105" s="938"/>
      <c r="GU105" s="938"/>
      <c r="GW105" s="938"/>
      <c r="GY105" s="938"/>
      <c r="HA105" s="938"/>
      <c r="HC105" s="938"/>
      <c r="HE105" s="938"/>
      <c r="HG105" s="938"/>
      <c r="HI105" s="938"/>
      <c r="HK105" s="938"/>
      <c r="HM105" s="938"/>
      <c r="HO105" s="938"/>
      <c r="HQ105" s="938"/>
      <c r="HS105" s="938"/>
      <c r="HU105" s="938"/>
      <c r="HW105" s="938"/>
      <c r="HY105" s="938"/>
      <c r="IA105" s="938"/>
      <c r="IC105" s="938"/>
      <c r="IE105" s="938"/>
      <c r="IG105" s="938"/>
      <c r="II105" s="938"/>
      <c r="IK105" s="938"/>
      <c r="IM105" s="938"/>
      <c r="IO105" s="938"/>
      <c r="IQ105" s="938"/>
      <c r="IS105" s="938"/>
      <c r="IT105" s="932"/>
      <c r="IU105" s="938"/>
      <c r="IW105" s="939"/>
      <c r="IX105" s="938"/>
      <c r="IY105" s="938"/>
      <c r="IZ105" s="938"/>
      <c r="JB105" s="940"/>
      <c r="JC105" s="940"/>
      <c r="JD105" s="940"/>
      <c r="JE105" s="940"/>
      <c r="JF105" s="940"/>
      <c r="JG105" s="940"/>
      <c r="JH105" s="940"/>
      <c r="JI105" s="940"/>
      <c r="JJ105" s="940"/>
      <c r="JK105" s="940"/>
      <c r="JL105" s="940"/>
      <c r="JM105" s="940"/>
      <c r="JN105" s="940"/>
      <c r="JO105" s="940"/>
      <c r="JP105" s="940"/>
      <c r="JQ105" s="940"/>
      <c r="JR105" s="940"/>
      <c r="JS105" s="940"/>
      <c r="JT105" s="940"/>
      <c r="JU105" s="940"/>
      <c r="JV105" s="940"/>
      <c r="JW105" s="940"/>
      <c r="JX105" s="940"/>
      <c r="JY105" s="940"/>
      <c r="JZ105" s="940"/>
      <c r="KA105" s="940"/>
      <c r="KB105" s="940"/>
      <c r="KC105" s="940"/>
      <c r="KD105" s="940"/>
      <c r="KE105" s="940"/>
      <c r="KF105" s="940"/>
      <c r="KG105" s="940"/>
      <c r="KH105" s="940"/>
      <c r="KI105" s="940"/>
      <c r="KJ105" s="940"/>
      <c r="KK105" s="940"/>
      <c r="KL105" s="940"/>
      <c r="KM105" s="940"/>
      <c r="KN105" s="940"/>
      <c r="KO105" s="940"/>
      <c r="KP105" s="940"/>
      <c r="KQ105" s="940"/>
      <c r="KR105" s="940"/>
      <c r="KS105" s="940"/>
      <c r="KT105" s="940"/>
      <c r="KU105" s="940"/>
      <c r="KV105" s="940"/>
      <c r="KW105" s="940"/>
      <c r="KX105" s="940"/>
      <c r="KY105" s="940"/>
      <c r="KZ105" s="940"/>
      <c r="LA105" s="940"/>
      <c r="LB105" s="940"/>
      <c r="LC105" s="940"/>
      <c r="LD105" s="940"/>
      <c r="LE105" s="940"/>
      <c r="LF105" s="940"/>
      <c r="LG105" s="940"/>
      <c r="LH105" s="940"/>
    </row>
    <row r="106" spans="1:320" s="462" customFormat="1" ht="15" hidden="1" customHeight="1" outlineLevel="1" x14ac:dyDescent="0.25">
      <c r="A106" s="1205">
        <v>40924</v>
      </c>
      <c r="B106" s="1205"/>
      <c r="C106" s="463"/>
      <c r="D106" s="463"/>
      <c r="H106" s="932"/>
      <c r="I106" s="37"/>
      <c r="J106" s="932"/>
      <c r="K106" s="37"/>
      <c r="L106" s="932"/>
      <c r="M106" s="37"/>
      <c r="N106" s="932"/>
      <c r="O106" s="37"/>
      <c r="P106" s="932"/>
      <c r="Q106" s="37"/>
      <c r="R106" s="932"/>
      <c r="S106" s="37"/>
      <c r="T106" s="37"/>
      <c r="U106" s="37"/>
      <c r="V106" s="932"/>
      <c r="W106" s="37"/>
      <c r="X106" s="932"/>
      <c r="Y106" s="37"/>
      <c r="Z106" s="932"/>
      <c r="AA106" s="37"/>
      <c r="AB106" s="932"/>
      <c r="AC106" s="37"/>
      <c r="AD106" s="932"/>
      <c r="AE106" s="37"/>
      <c r="AF106" s="932"/>
      <c r="AG106" s="37"/>
      <c r="AH106" s="37"/>
      <c r="AI106" s="37"/>
      <c r="AJ106" s="932"/>
      <c r="AK106" s="37"/>
      <c r="AL106" s="932"/>
      <c r="AM106" s="37"/>
      <c r="AN106" s="932"/>
      <c r="AO106" s="37"/>
      <c r="AP106" s="932"/>
      <c r="AQ106" s="37"/>
      <c r="AR106" s="37"/>
      <c r="AS106" s="37"/>
      <c r="AT106" s="37"/>
      <c r="AU106" s="37"/>
      <c r="AV106" s="37"/>
      <c r="AW106" s="37"/>
      <c r="AX106" s="932"/>
      <c r="AY106" s="37"/>
      <c r="AZ106" s="932"/>
      <c r="BA106" s="37"/>
      <c r="BB106" s="932"/>
      <c r="BC106" s="37"/>
      <c r="BD106" s="932"/>
      <c r="BE106" s="37"/>
      <c r="BF106" s="932"/>
      <c r="BG106" s="37"/>
      <c r="BH106" s="37"/>
      <c r="BI106" s="37"/>
      <c r="BJ106" s="37"/>
      <c r="BK106" s="37"/>
      <c r="BL106" s="932"/>
      <c r="BM106" s="37"/>
      <c r="BN106" s="932"/>
      <c r="BO106" s="37"/>
      <c r="BP106" s="932"/>
      <c r="BQ106" s="37"/>
      <c r="BR106" s="932"/>
      <c r="BS106" s="37"/>
      <c r="BT106" s="932"/>
      <c r="BU106" s="932"/>
      <c r="BV106" s="932"/>
      <c r="BW106" s="932"/>
      <c r="BX106" s="37"/>
      <c r="BY106" s="37"/>
      <c r="BZ106" s="932"/>
      <c r="CA106" s="37"/>
      <c r="CB106" s="932"/>
      <c r="CC106" s="37"/>
      <c r="CD106" s="932"/>
      <c r="CE106" s="37"/>
      <c r="CF106" s="932"/>
      <c r="CG106" s="37"/>
      <c r="CH106" s="932"/>
      <c r="CI106" s="932"/>
      <c r="CJ106" s="932"/>
      <c r="CK106" s="932"/>
      <c r="CL106" s="37"/>
      <c r="CM106" s="37"/>
      <c r="CN106" s="932"/>
      <c r="CO106" s="37"/>
      <c r="CP106" s="932"/>
      <c r="CQ106" s="37"/>
      <c r="CR106" s="932"/>
      <c r="CS106" s="37"/>
      <c r="CT106" s="932"/>
      <c r="CU106" s="37"/>
      <c r="CV106" s="932"/>
      <c r="CW106" s="932"/>
      <c r="CX106" s="932"/>
      <c r="CY106" s="932"/>
      <c r="CZ106" s="37"/>
      <c r="DA106" s="37"/>
      <c r="DB106" s="932"/>
      <c r="DC106" s="37"/>
      <c r="DD106" s="932"/>
      <c r="DE106" s="37"/>
      <c r="DF106" s="932"/>
      <c r="DG106" s="37"/>
      <c r="DH106" s="932"/>
      <c r="DI106" s="37"/>
      <c r="DJ106" s="932"/>
      <c r="DK106" s="932"/>
      <c r="DL106" s="932"/>
      <c r="DM106" s="932"/>
      <c r="DN106" s="37"/>
      <c r="DO106" s="37"/>
      <c r="DP106" s="932"/>
      <c r="DQ106" s="37"/>
      <c r="DR106" s="932"/>
      <c r="DS106" s="37"/>
      <c r="DT106" s="932"/>
      <c r="DU106" s="37"/>
      <c r="DV106" s="932"/>
      <c r="DW106" s="37"/>
      <c r="DX106" s="932"/>
      <c r="DY106" s="932"/>
      <c r="DZ106" s="932"/>
      <c r="EA106" s="932"/>
      <c r="EB106" s="37"/>
      <c r="EC106" s="37"/>
      <c r="EE106" s="937"/>
      <c r="EG106" s="938"/>
      <c r="EI106" s="938"/>
      <c r="EK106" s="938"/>
      <c r="EM106" s="938"/>
      <c r="EO106" s="938"/>
      <c r="EQ106" s="938"/>
      <c r="ES106" s="938"/>
      <c r="EU106" s="938"/>
      <c r="EW106" s="938"/>
      <c r="EY106" s="938"/>
      <c r="FA106" s="938"/>
      <c r="FC106" s="938"/>
      <c r="FE106" s="938"/>
      <c r="FG106" s="938"/>
      <c r="FI106" s="938"/>
      <c r="FK106" s="938"/>
      <c r="FM106" s="938"/>
      <c r="FO106" s="938"/>
      <c r="FQ106" s="938"/>
      <c r="FS106" s="938"/>
      <c r="FU106" s="938"/>
      <c r="FW106" s="938"/>
      <c r="FY106" s="938"/>
      <c r="GA106" s="938"/>
      <c r="GC106" s="938"/>
      <c r="GE106" s="938"/>
      <c r="GG106" s="938"/>
      <c r="GI106" s="938"/>
      <c r="GK106" s="938"/>
      <c r="GM106" s="938"/>
      <c r="GO106" s="938"/>
      <c r="GQ106" s="938"/>
      <c r="GS106" s="938"/>
      <c r="GU106" s="938"/>
      <c r="GW106" s="938"/>
      <c r="GY106" s="938"/>
      <c r="HA106" s="938"/>
      <c r="HC106" s="938"/>
      <c r="HE106" s="938"/>
      <c r="HG106" s="938"/>
      <c r="HI106" s="938"/>
      <c r="HK106" s="938"/>
      <c r="HM106" s="938"/>
      <c r="HO106" s="938"/>
      <c r="HQ106" s="938"/>
      <c r="HS106" s="938"/>
      <c r="HU106" s="938"/>
      <c r="HW106" s="938"/>
      <c r="HY106" s="938"/>
      <c r="IA106" s="938"/>
      <c r="IC106" s="938"/>
      <c r="IE106" s="938"/>
      <c r="IG106" s="938"/>
      <c r="II106" s="938"/>
      <c r="IK106" s="938"/>
      <c r="IM106" s="938"/>
      <c r="IO106" s="938"/>
      <c r="IQ106" s="938"/>
      <c r="IS106" s="938"/>
      <c r="IT106" s="932"/>
      <c r="IU106" s="938"/>
      <c r="IW106" s="939"/>
      <c r="IX106" s="938"/>
      <c r="IY106" s="938"/>
      <c r="IZ106" s="938"/>
      <c r="JB106" s="940"/>
      <c r="JC106" s="940"/>
      <c r="JD106" s="940"/>
      <c r="JE106" s="940"/>
      <c r="JF106" s="940"/>
      <c r="JG106" s="940"/>
      <c r="JH106" s="940"/>
      <c r="JI106" s="940"/>
      <c r="JJ106" s="940"/>
      <c r="JK106" s="940"/>
      <c r="JL106" s="940"/>
      <c r="JM106" s="940"/>
      <c r="JN106" s="940"/>
      <c r="JO106" s="940"/>
      <c r="JP106" s="940"/>
      <c r="JQ106" s="940"/>
      <c r="JR106" s="940"/>
      <c r="JS106" s="940"/>
      <c r="JT106" s="940"/>
      <c r="JU106" s="940"/>
      <c r="JV106" s="940"/>
      <c r="JW106" s="940"/>
      <c r="JX106" s="940"/>
      <c r="JY106" s="940"/>
      <c r="JZ106" s="940"/>
      <c r="KA106" s="940"/>
      <c r="KB106" s="940"/>
      <c r="KC106" s="940"/>
      <c r="KD106" s="940"/>
      <c r="KE106" s="940"/>
      <c r="KF106" s="940"/>
      <c r="KG106" s="940"/>
      <c r="KH106" s="940"/>
      <c r="KI106" s="940"/>
      <c r="KJ106" s="940"/>
      <c r="KK106" s="940"/>
      <c r="KL106" s="940"/>
      <c r="KM106" s="940"/>
      <c r="KN106" s="940"/>
      <c r="KO106" s="940"/>
      <c r="KP106" s="940"/>
      <c r="KQ106" s="940"/>
      <c r="KR106" s="940"/>
      <c r="KS106" s="940"/>
      <c r="KT106" s="940"/>
      <c r="KU106" s="940"/>
      <c r="KV106" s="940"/>
      <c r="KW106" s="940"/>
      <c r="KX106" s="940"/>
      <c r="KY106" s="940"/>
      <c r="KZ106" s="940"/>
      <c r="LA106" s="940"/>
      <c r="LB106" s="940"/>
      <c r="LC106" s="940"/>
      <c r="LD106" s="940"/>
      <c r="LE106" s="940"/>
      <c r="LF106" s="940"/>
      <c r="LG106" s="940"/>
      <c r="LH106" s="940"/>
    </row>
    <row r="107" spans="1:320" s="462" customFormat="1" ht="15" hidden="1" customHeight="1" outlineLevel="1" x14ac:dyDescent="0.25">
      <c r="A107" s="1205">
        <v>41005</v>
      </c>
      <c r="B107" s="1205"/>
      <c r="C107" s="463"/>
      <c r="D107" s="463"/>
      <c r="H107" s="932"/>
      <c r="I107" s="37"/>
      <c r="J107" s="932"/>
      <c r="K107" s="37"/>
      <c r="L107" s="932"/>
      <c r="M107" s="37"/>
      <c r="N107" s="932"/>
      <c r="O107" s="37"/>
      <c r="P107" s="932"/>
      <c r="Q107" s="37"/>
      <c r="R107" s="932"/>
      <c r="S107" s="37"/>
      <c r="T107" s="37"/>
      <c r="U107" s="37"/>
      <c r="V107" s="932"/>
      <c r="W107" s="37"/>
      <c r="X107" s="932"/>
      <c r="Y107" s="37"/>
      <c r="Z107" s="932"/>
      <c r="AA107" s="37"/>
      <c r="AB107" s="932"/>
      <c r="AC107" s="37"/>
      <c r="AD107" s="932"/>
      <c r="AE107" s="37"/>
      <c r="AF107" s="932"/>
      <c r="AG107" s="37"/>
      <c r="AH107" s="37"/>
      <c r="AI107" s="37"/>
      <c r="AJ107" s="932"/>
      <c r="AK107" s="37"/>
      <c r="AL107" s="932"/>
      <c r="AM107" s="37"/>
      <c r="AN107" s="932"/>
      <c r="AO107" s="37"/>
      <c r="AP107" s="932"/>
      <c r="AQ107" s="37"/>
      <c r="AR107" s="37"/>
      <c r="AS107" s="37"/>
      <c r="AT107" s="37"/>
      <c r="AU107" s="37"/>
      <c r="AV107" s="37"/>
      <c r="AW107" s="37"/>
      <c r="AX107" s="932"/>
      <c r="AY107" s="37"/>
      <c r="AZ107" s="932"/>
      <c r="BA107" s="37"/>
      <c r="BB107" s="932"/>
      <c r="BC107" s="37"/>
      <c r="BD107" s="932"/>
      <c r="BE107" s="37"/>
      <c r="BF107" s="932"/>
      <c r="BG107" s="37"/>
      <c r="BH107" s="37"/>
      <c r="BI107" s="37"/>
      <c r="BJ107" s="37"/>
      <c r="BK107" s="37"/>
      <c r="BL107" s="932"/>
      <c r="BM107" s="37"/>
      <c r="BN107" s="932"/>
      <c r="BO107" s="37"/>
      <c r="BP107" s="932"/>
      <c r="BQ107" s="37"/>
      <c r="BR107" s="932"/>
      <c r="BS107" s="37"/>
      <c r="BT107" s="932"/>
      <c r="BU107" s="932"/>
      <c r="BV107" s="932"/>
      <c r="BW107" s="932"/>
      <c r="BX107" s="37"/>
      <c r="BY107" s="37"/>
      <c r="BZ107" s="932"/>
      <c r="CA107" s="37"/>
      <c r="CB107" s="932"/>
      <c r="CC107" s="37"/>
      <c r="CD107" s="932"/>
      <c r="CE107" s="37"/>
      <c r="CF107" s="932"/>
      <c r="CG107" s="37"/>
      <c r="CH107" s="932"/>
      <c r="CI107" s="932"/>
      <c r="CJ107" s="932"/>
      <c r="CK107" s="932"/>
      <c r="CL107" s="37"/>
      <c r="CM107" s="37"/>
      <c r="CN107" s="932"/>
      <c r="CO107" s="37"/>
      <c r="CP107" s="932"/>
      <c r="CQ107" s="37"/>
      <c r="CR107" s="932"/>
      <c r="CS107" s="37"/>
      <c r="CT107" s="932"/>
      <c r="CU107" s="37"/>
      <c r="CV107" s="932"/>
      <c r="CW107" s="932"/>
      <c r="CX107" s="932"/>
      <c r="CY107" s="932"/>
      <c r="CZ107" s="37"/>
      <c r="DA107" s="37"/>
      <c r="DB107" s="932"/>
      <c r="DC107" s="37"/>
      <c r="DD107" s="932"/>
      <c r="DE107" s="37"/>
      <c r="DF107" s="932"/>
      <c r="DG107" s="37"/>
      <c r="DH107" s="932"/>
      <c r="DI107" s="37"/>
      <c r="DJ107" s="932"/>
      <c r="DK107" s="932"/>
      <c r="DL107" s="932"/>
      <c r="DM107" s="932"/>
      <c r="DN107" s="37"/>
      <c r="DO107" s="37"/>
      <c r="DP107" s="932"/>
      <c r="DQ107" s="37"/>
      <c r="DR107" s="932"/>
      <c r="DS107" s="37"/>
      <c r="DT107" s="932"/>
      <c r="DU107" s="37"/>
      <c r="DV107" s="932"/>
      <c r="DW107" s="37"/>
      <c r="DX107" s="932"/>
      <c r="DY107" s="932"/>
      <c r="DZ107" s="932"/>
      <c r="EA107" s="932"/>
      <c r="EB107" s="37"/>
      <c r="EC107" s="37"/>
      <c r="EE107" s="937"/>
      <c r="EG107" s="938"/>
      <c r="EI107" s="938"/>
      <c r="EK107" s="938"/>
      <c r="EM107" s="938"/>
      <c r="EO107" s="938"/>
      <c r="EQ107" s="938"/>
      <c r="ES107" s="938"/>
      <c r="EU107" s="938"/>
      <c r="EW107" s="938"/>
      <c r="EY107" s="938"/>
      <c r="FA107" s="938"/>
      <c r="FC107" s="938"/>
      <c r="FE107" s="938"/>
      <c r="FG107" s="938"/>
      <c r="FI107" s="938"/>
      <c r="FK107" s="938"/>
      <c r="FM107" s="938"/>
      <c r="FO107" s="938"/>
      <c r="FQ107" s="938"/>
      <c r="FS107" s="938"/>
      <c r="FU107" s="938"/>
      <c r="FW107" s="938"/>
      <c r="FY107" s="938"/>
      <c r="GA107" s="938"/>
      <c r="GC107" s="938"/>
      <c r="GE107" s="938"/>
      <c r="GG107" s="938"/>
      <c r="GI107" s="938"/>
      <c r="GK107" s="938"/>
      <c r="GM107" s="938"/>
      <c r="GO107" s="938"/>
      <c r="GQ107" s="938"/>
      <c r="GS107" s="938"/>
      <c r="GU107" s="938"/>
      <c r="GW107" s="938"/>
      <c r="GY107" s="938"/>
      <c r="HA107" s="938"/>
      <c r="HC107" s="938"/>
      <c r="HE107" s="938"/>
      <c r="HG107" s="938"/>
      <c r="HI107" s="938"/>
      <c r="HK107" s="938"/>
      <c r="HM107" s="938"/>
      <c r="HO107" s="938"/>
      <c r="HQ107" s="938"/>
      <c r="HS107" s="938"/>
      <c r="HU107" s="938"/>
      <c r="HW107" s="938"/>
      <c r="HY107" s="938"/>
      <c r="IA107" s="938"/>
      <c r="IC107" s="938"/>
      <c r="IE107" s="938"/>
      <c r="IG107" s="938"/>
      <c r="II107" s="938"/>
      <c r="IK107" s="938"/>
      <c r="IM107" s="938"/>
      <c r="IO107" s="938"/>
      <c r="IQ107" s="938"/>
      <c r="IS107" s="938"/>
      <c r="IT107" s="932"/>
      <c r="IU107" s="938"/>
      <c r="IW107" s="939"/>
      <c r="IX107" s="938"/>
      <c r="IY107" s="938"/>
      <c r="IZ107" s="938"/>
      <c r="JB107" s="940"/>
      <c r="JC107" s="940"/>
      <c r="JD107" s="940"/>
      <c r="JE107" s="940"/>
      <c r="JF107" s="940"/>
      <c r="JG107" s="940"/>
      <c r="JH107" s="940"/>
      <c r="JI107" s="940"/>
      <c r="JJ107" s="940"/>
      <c r="JK107" s="940"/>
      <c r="JL107" s="940"/>
      <c r="JM107" s="940"/>
      <c r="JN107" s="940"/>
      <c r="JO107" s="940"/>
      <c r="JP107" s="940"/>
      <c r="JQ107" s="940"/>
      <c r="JR107" s="940"/>
      <c r="JS107" s="940"/>
      <c r="JT107" s="940"/>
      <c r="JU107" s="940"/>
      <c r="JV107" s="940"/>
      <c r="JW107" s="940"/>
      <c r="JX107" s="940"/>
      <c r="JY107" s="940"/>
      <c r="JZ107" s="940"/>
      <c r="KA107" s="940"/>
      <c r="KB107" s="940"/>
      <c r="KC107" s="940"/>
      <c r="KD107" s="940"/>
      <c r="KE107" s="940"/>
      <c r="KF107" s="940"/>
      <c r="KG107" s="940"/>
      <c r="KH107" s="940"/>
      <c r="KI107" s="940"/>
      <c r="KJ107" s="940"/>
      <c r="KK107" s="940"/>
      <c r="KL107" s="940"/>
      <c r="KM107" s="940"/>
      <c r="KN107" s="940"/>
      <c r="KO107" s="940"/>
      <c r="KP107" s="940"/>
      <c r="KQ107" s="940"/>
      <c r="KR107" s="940"/>
      <c r="KS107" s="940"/>
      <c r="KT107" s="940"/>
      <c r="KU107" s="940"/>
      <c r="KV107" s="940"/>
      <c r="KW107" s="940"/>
      <c r="KX107" s="940"/>
      <c r="KY107" s="940"/>
      <c r="KZ107" s="940"/>
      <c r="LA107" s="940"/>
      <c r="LB107" s="940"/>
      <c r="LC107" s="940"/>
      <c r="LD107" s="940"/>
      <c r="LE107" s="940"/>
      <c r="LF107" s="940"/>
      <c r="LG107" s="940"/>
      <c r="LH107" s="940"/>
    </row>
    <row r="108" spans="1:320" s="462" customFormat="1" ht="15" hidden="1" customHeight="1" outlineLevel="1" x14ac:dyDescent="0.25">
      <c r="A108" s="1205">
        <v>41057</v>
      </c>
      <c r="B108" s="1205"/>
      <c r="C108" s="463"/>
      <c r="D108" s="463"/>
      <c r="H108" s="932"/>
      <c r="I108" s="37"/>
      <c r="J108" s="932"/>
      <c r="K108" s="37"/>
      <c r="L108" s="932"/>
      <c r="M108" s="37"/>
      <c r="N108" s="932"/>
      <c r="O108" s="37"/>
      <c r="P108" s="932"/>
      <c r="Q108" s="37"/>
      <c r="R108" s="932"/>
      <c r="S108" s="37"/>
      <c r="T108" s="37"/>
      <c r="U108" s="37"/>
      <c r="V108" s="932"/>
      <c r="W108" s="37"/>
      <c r="X108" s="932"/>
      <c r="Y108" s="37"/>
      <c r="Z108" s="932"/>
      <c r="AA108" s="37"/>
      <c r="AB108" s="932"/>
      <c r="AC108" s="37"/>
      <c r="AD108" s="932"/>
      <c r="AE108" s="37"/>
      <c r="AF108" s="932"/>
      <c r="AG108" s="37"/>
      <c r="AH108" s="37"/>
      <c r="AI108" s="37"/>
      <c r="AJ108" s="932"/>
      <c r="AK108" s="37"/>
      <c r="AL108" s="932"/>
      <c r="AM108" s="37"/>
      <c r="AN108" s="932"/>
      <c r="AO108" s="37"/>
      <c r="AP108" s="932"/>
      <c r="AQ108" s="37"/>
      <c r="AR108" s="37"/>
      <c r="AS108" s="37"/>
      <c r="AT108" s="37"/>
      <c r="AU108" s="37"/>
      <c r="AV108" s="37"/>
      <c r="AW108" s="37"/>
      <c r="AX108" s="932"/>
      <c r="AY108" s="37"/>
      <c r="AZ108" s="932"/>
      <c r="BA108" s="37"/>
      <c r="BB108" s="932"/>
      <c r="BC108" s="37"/>
      <c r="BD108" s="932"/>
      <c r="BE108" s="37"/>
      <c r="BF108" s="932"/>
      <c r="BG108" s="37"/>
      <c r="BH108" s="37"/>
      <c r="BI108" s="37"/>
      <c r="BJ108" s="37"/>
      <c r="BK108" s="37"/>
      <c r="BL108" s="932"/>
      <c r="BM108" s="37"/>
      <c r="BN108" s="932"/>
      <c r="BO108" s="37"/>
      <c r="BP108" s="932"/>
      <c r="BQ108" s="37"/>
      <c r="BR108" s="932"/>
      <c r="BS108" s="37"/>
      <c r="BT108" s="932"/>
      <c r="BU108" s="932"/>
      <c r="BV108" s="932"/>
      <c r="BW108" s="932"/>
      <c r="BX108" s="37"/>
      <c r="BY108" s="37"/>
      <c r="BZ108" s="932"/>
      <c r="CA108" s="37"/>
      <c r="CB108" s="932"/>
      <c r="CC108" s="37"/>
      <c r="CD108" s="932"/>
      <c r="CE108" s="37"/>
      <c r="CF108" s="932"/>
      <c r="CG108" s="37"/>
      <c r="CH108" s="932"/>
      <c r="CI108" s="932"/>
      <c r="CJ108" s="932"/>
      <c r="CK108" s="932"/>
      <c r="CL108" s="37"/>
      <c r="CM108" s="37"/>
      <c r="CN108" s="932"/>
      <c r="CO108" s="37"/>
      <c r="CP108" s="932"/>
      <c r="CQ108" s="37"/>
      <c r="CR108" s="932"/>
      <c r="CS108" s="37"/>
      <c r="CT108" s="932"/>
      <c r="CU108" s="37"/>
      <c r="CV108" s="932"/>
      <c r="CW108" s="932"/>
      <c r="CX108" s="932"/>
      <c r="CY108" s="932"/>
      <c r="CZ108" s="37"/>
      <c r="DA108" s="37"/>
      <c r="DB108" s="932"/>
      <c r="DC108" s="37"/>
      <c r="DD108" s="932"/>
      <c r="DE108" s="37"/>
      <c r="DF108" s="932"/>
      <c r="DG108" s="37"/>
      <c r="DH108" s="932"/>
      <c r="DI108" s="37"/>
      <c r="DJ108" s="932"/>
      <c r="DK108" s="932"/>
      <c r="DL108" s="932"/>
      <c r="DM108" s="932"/>
      <c r="DN108" s="37"/>
      <c r="DO108" s="37"/>
      <c r="DP108" s="932"/>
      <c r="DQ108" s="37"/>
      <c r="DR108" s="932"/>
      <c r="DS108" s="37"/>
      <c r="DT108" s="932"/>
      <c r="DU108" s="37"/>
      <c r="DV108" s="932"/>
      <c r="DW108" s="37"/>
      <c r="DX108" s="932"/>
      <c r="DY108" s="932"/>
      <c r="DZ108" s="932"/>
      <c r="EA108" s="932"/>
      <c r="EB108" s="37"/>
      <c r="EC108" s="37"/>
      <c r="EE108" s="937"/>
      <c r="EG108" s="938"/>
      <c r="EI108" s="938"/>
      <c r="EK108" s="938"/>
      <c r="EM108" s="938"/>
      <c r="EO108" s="938"/>
      <c r="EQ108" s="938"/>
      <c r="ES108" s="938"/>
      <c r="EU108" s="938"/>
      <c r="EW108" s="938"/>
      <c r="EY108" s="938"/>
      <c r="FA108" s="938"/>
      <c r="FC108" s="938"/>
      <c r="FE108" s="938"/>
      <c r="FG108" s="938"/>
      <c r="FI108" s="938"/>
      <c r="FK108" s="938"/>
      <c r="FM108" s="938"/>
      <c r="FO108" s="938"/>
      <c r="FQ108" s="938"/>
      <c r="FS108" s="938"/>
      <c r="FU108" s="938"/>
      <c r="FW108" s="938"/>
      <c r="FY108" s="938"/>
      <c r="GA108" s="938"/>
      <c r="GC108" s="938"/>
      <c r="GE108" s="938"/>
      <c r="GG108" s="938"/>
      <c r="GI108" s="938"/>
      <c r="GK108" s="938"/>
      <c r="GM108" s="938"/>
      <c r="GO108" s="938"/>
      <c r="GQ108" s="938"/>
      <c r="GS108" s="938"/>
      <c r="GU108" s="938"/>
      <c r="GW108" s="938"/>
      <c r="GY108" s="938"/>
      <c r="HA108" s="938"/>
      <c r="HC108" s="938"/>
      <c r="HE108" s="938"/>
      <c r="HG108" s="938"/>
      <c r="HI108" s="938"/>
      <c r="HK108" s="938"/>
      <c r="HM108" s="938"/>
      <c r="HO108" s="938"/>
      <c r="HQ108" s="938"/>
      <c r="HS108" s="938"/>
      <c r="HU108" s="938"/>
      <c r="HW108" s="938"/>
      <c r="HY108" s="938"/>
      <c r="IA108" s="938"/>
      <c r="IC108" s="938"/>
      <c r="IE108" s="938"/>
      <c r="IG108" s="938"/>
      <c r="II108" s="938"/>
      <c r="IK108" s="938"/>
      <c r="IM108" s="938"/>
      <c r="IO108" s="938"/>
      <c r="IQ108" s="938"/>
      <c r="IS108" s="938"/>
      <c r="IT108" s="932"/>
      <c r="IU108" s="938"/>
      <c r="IW108" s="939"/>
      <c r="IX108" s="938"/>
      <c r="IY108" s="938"/>
      <c r="IZ108" s="938"/>
      <c r="JB108" s="940"/>
      <c r="JC108" s="940"/>
      <c r="JD108" s="940"/>
      <c r="JE108" s="940"/>
      <c r="JF108" s="940"/>
      <c r="JG108" s="940"/>
      <c r="JH108" s="940"/>
      <c r="JI108" s="940"/>
      <c r="JJ108" s="940"/>
      <c r="JK108" s="940"/>
      <c r="JL108" s="940"/>
      <c r="JM108" s="940"/>
      <c r="JN108" s="940"/>
      <c r="JO108" s="940"/>
      <c r="JP108" s="940"/>
      <c r="JQ108" s="940"/>
      <c r="JR108" s="940"/>
      <c r="JS108" s="940"/>
      <c r="JT108" s="940"/>
      <c r="JU108" s="940"/>
      <c r="JV108" s="940"/>
      <c r="JW108" s="940"/>
      <c r="JX108" s="940"/>
      <c r="JY108" s="940"/>
      <c r="JZ108" s="940"/>
      <c r="KA108" s="940"/>
      <c r="KB108" s="940"/>
      <c r="KC108" s="940"/>
      <c r="KD108" s="940"/>
      <c r="KE108" s="940"/>
      <c r="KF108" s="940"/>
      <c r="KG108" s="940"/>
      <c r="KH108" s="940"/>
      <c r="KI108" s="940"/>
      <c r="KJ108" s="940"/>
      <c r="KK108" s="940"/>
      <c r="KL108" s="940"/>
      <c r="KM108" s="940"/>
      <c r="KN108" s="940"/>
      <c r="KO108" s="940"/>
      <c r="KP108" s="940"/>
      <c r="KQ108" s="940"/>
      <c r="KR108" s="940"/>
      <c r="KS108" s="940"/>
      <c r="KT108" s="940"/>
      <c r="KU108" s="940"/>
      <c r="KV108" s="940"/>
      <c r="KW108" s="940"/>
      <c r="KX108" s="940"/>
      <c r="KY108" s="940"/>
      <c r="KZ108" s="940"/>
      <c r="LA108" s="940"/>
      <c r="LB108" s="940"/>
      <c r="LC108" s="940"/>
      <c r="LD108" s="940"/>
      <c r="LE108" s="940"/>
      <c r="LF108" s="940"/>
      <c r="LG108" s="940"/>
      <c r="LH108" s="940"/>
    </row>
    <row r="109" spans="1:320" s="462" customFormat="1" ht="15" hidden="1" customHeight="1" outlineLevel="1" x14ac:dyDescent="0.25">
      <c r="A109" s="1205">
        <v>41094</v>
      </c>
      <c r="B109" s="1205"/>
      <c r="C109" s="463"/>
      <c r="D109" s="463"/>
      <c r="H109" s="932"/>
      <c r="I109" s="37"/>
      <c r="J109" s="932"/>
      <c r="K109" s="37"/>
      <c r="L109" s="932"/>
      <c r="M109" s="37"/>
      <c r="N109" s="932"/>
      <c r="O109" s="37"/>
      <c r="P109" s="932"/>
      <c r="Q109" s="37"/>
      <c r="R109" s="932"/>
      <c r="S109" s="37"/>
      <c r="T109" s="37"/>
      <c r="U109" s="37"/>
      <c r="V109" s="932"/>
      <c r="W109" s="37"/>
      <c r="X109" s="932"/>
      <c r="Y109" s="37"/>
      <c r="Z109" s="932"/>
      <c r="AA109" s="37"/>
      <c r="AB109" s="932"/>
      <c r="AC109" s="37"/>
      <c r="AD109" s="932"/>
      <c r="AE109" s="37"/>
      <c r="AF109" s="932"/>
      <c r="AG109" s="37"/>
      <c r="AH109" s="37"/>
      <c r="AI109" s="37"/>
      <c r="AJ109" s="932"/>
      <c r="AK109" s="37"/>
      <c r="AL109" s="932"/>
      <c r="AM109" s="37"/>
      <c r="AN109" s="932"/>
      <c r="AO109" s="37"/>
      <c r="AP109" s="932"/>
      <c r="AQ109" s="37"/>
      <c r="AR109" s="37"/>
      <c r="AS109" s="37"/>
      <c r="AT109" s="37"/>
      <c r="AU109" s="37"/>
      <c r="AV109" s="37"/>
      <c r="AW109" s="37"/>
      <c r="AX109" s="932"/>
      <c r="AY109" s="37"/>
      <c r="AZ109" s="932"/>
      <c r="BA109" s="37"/>
      <c r="BB109" s="932"/>
      <c r="BC109" s="37"/>
      <c r="BD109" s="932"/>
      <c r="BE109" s="37"/>
      <c r="BF109" s="932"/>
      <c r="BG109" s="37"/>
      <c r="BH109" s="37"/>
      <c r="BI109" s="37"/>
      <c r="BJ109" s="37"/>
      <c r="BK109" s="37"/>
      <c r="BL109" s="932"/>
      <c r="BM109" s="37"/>
      <c r="BN109" s="932"/>
      <c r="BO109" s="37"/>
      <c r="BP109" s="932"/>
      <c r="BQ109" s="37"/>
      <c r="BR109" s="932"/>
      <c r="BS109" s="37"/>
      <c r="BT109" s="932"/>
      <c r="BU109" s="932"/>
      <c r="BV109" s="932"/>
      <c r="BW109" s="932"/>
      <c r="BX109" s="37"/>
      <c r="BY109" s="37"/>
      <c r="BZ109" s="932"/>
      <c r="CA109" s="37"/>
      <c r="CB109" s="932"/>
      <c r="CC109" s="37"/>
      <c r="CD109" s="932"/>
      <c r="CE109" s="37"/>
      <c r="CF109" s="932"/>
      <c r="CG109" s="37"/>
      <c r="CH109" s="932"/>
      <c r="CI109" s="932"/>
      <c r="CJ109" s="932"/>
      <c r="CK109" s="932"/>
      <c r="CL109" s="37"/>
      <c r="CM109" s="37"/>
      <c r="CN109" s="932"/>
      <c r="CO109" s="37"/>
      <c r="CP109" s="932"/>
      <c r="CQ109" s="37"/>
      <c r="CR109" s="932"/>
      <c r="CS109" s="37"/>
      <c r="CT109" s="932"/>
      <c r="CU109" s="37"/>
      <c r="CV109" s="932"/>
      <c r="CW109" s="932"/>
      <c r="CX109" s="932"/>
      <c r="CY109" s="932"/>
      <c r="CZ109" s="37"/>
      <c r="DA109" s="37"/>
      <c r="DB109" s="932"/>
      <c r="DC109" s="37"/>
      <c r="DD109" s="932"/>
      <c r="DE109" s="37"/>
      <c r="DF109" s="932"/>
      <c r="DG109" s="37"/>
      <c r="DH109" s="932"/>
      <c r="DI109" s="37"/>
      <c r="DJ109" s="932"/>
      <c r="DK109" s="932"/>
      <c r="DL109" s="932"/>
      <c r="DM109" s="932"/>
      <c r="DN109" s="37"/>
      <c r="DO109" s="37"/>
      <c r="DP109" s="932"/>
      <c r="DQ109" s="37"/>
      <c r="DR109" s="932"/>
      <c r="DS109" s="37"/>
      <c r="DT109" s="932"/>
      <c r="DU109" s="37"/>
      <c r="DV109" s="932"/>
      <c r="DW109" s="37"/>
      <c r="DX109" s="932"/>
      <c r="DY109" s="932"/>
      <c r="DZ109" s="932"/>
      <c r="EA109" s="932"/>
      <c r="EB109" s="37"/>
      <c r="EC109" s="37"/>
      <c r="EE109" s="937"/>
      <c r="EG109" s="938"/>
      <c r="EI109" s="938"/>
      <c r="EK109" s="938"/>
      <c r="EM109" s="938"/>
      <c r="EO109" s="938"/>
      <c r="EQ109" s="938"/>
      <c r="ES109" s="938"/>
      <c r="EU109" s="938"/>
      <c r="EW109" s="938"/>
      <c r="EY109" s="938"/>
      <c r="FA109" s="938"/>
      <c r="FC109" s="938"/>
      <c r="FE109" s="938"/>
      <c r="FG109" s="938"/>
      <c r="FI109" s="938"/>
      <c r="FK109" s="938"/>
      <c r="FM109" s="938"/>
      <c r="FO109" s="938"/>
      <c r="FQ109" s="938"/>
      <c r="FS109" s="938"/>
      <c r="FU109" s="938"/>
      <c r="FW109" s="938"/>
      <c r="FY109" s="938"/>
      <c r="GA109" s="938"/>
      <c r="GC109" s="938"/>
      <c r="GE109" s="938"/>
      <c r="GG109" s="938"/>
      <c r="GI109" s="938"/>
      <c r="GK109" s="938"/>
      <c r="GM109" s="938"/>
      <c r="GO109" s="938"/>
      <c r="GQ109" s="938"/>
      <c r="GS109" s="938"/>
      <c r="GU109" s="938"/>
      <c r="GW109" s="938"/>
      <c r="GY109" s="938"/>
      <c r="HA109" s="938"/>
      <c r="HC109" s="938"/>
      <c r="HE109" s="938"/>
      <c r="HG109" s="938"/>
      <c r="HI109" s="938"/>
      <c r="HK109" s="938"/>
      <c r="HM109" s="938"/>
      <c r="HO109" s="938"/>
      <c r="HQ109" s="938"/>
      <c r="HS109" s="938"/>
      <c r="HU109" s="938"/>
      <c r="HW109" s="938"/>
      <c r="HY109" s="938"/>
      <c r="IA109" s="938"/>
      <c r="IC109" s="938"/>
      <c r="IE109" s="938"/>
      <c r="IG109" s="938"/>
      <c r="II109" s="938"/>
      <c r="IK109" s="938"/>
      <c r="IM109" s="938"/>
      <c r="IO109" s="938"/>
      <c r="IQ109" s="938"/>
      <c r="IS109" s="938"/>
      <c r="IT109" s="932"/>
      <c r="IU109" s="938"/>
      <c r="IW109" s="939"/>
      <c r="IX109" s="938"/>
      <c r="IY109" s="938"/>
      <c r="IZ109" s="938"/>
      <c r="JB109" s="940"/>
      <c r="JC109" s="940"/>
      <c r="JD109" s="940"/>
      <c r="JE109" s="940"/>
      <c r="JF109" s="940"/>
      <c r="JG109" s="940"/>
      <c r="JH109" s="940"/>
      <c r="JI109" s="940"/>
      <c r="JJ109" s="940"/>
      <c r="JK109" s="940"/>
      <c r="JL109" s="940"/>
      <c r="JM109" s="940"/>
      <c r="JN109" s="940"/>
      <c r="JO109" s="940"/>
      <c r="JP109" s="940"/>
      <c r="JQ109" s="940"/>
      <c r="JR109" s="940"/>
      <c r="JS109" s="940"/>
      <c r="JT109" s="940"/>
      <c r="JU109" s="940"/>
      <c r="JV109" s="940"/>
      <c r="JW109" s="940"/>
      <c r="JX109" s="940"/>
      <c r="JY109" s="940"/>
      <c r="JZ109" s="940"/>
      <c r="KA109" s="940"/>
      <c r="KB109" s="940"/>
      <c r="KC109" s="940"/>
      <c r="KD109" s="940"/>
      <c r="KE109" s="940"/>
      <c r="KF109" s="940"/>
      <c r="KG109" s="940"/>
      <c r="KH109" s="940"/>
      <c r="KI109" s="940"/>
      <c r="KJ109" s="940"/>
      <c r="KK109" s="940"/>
      <c r="KL109" s="940"/>
      <c r="KM109" s="940"/>
      <c r="KN109" s="940"/>
      <c r="KO109" s="940"/>
      <c r="KP109" s="940"/>
      <c r="KQ109" s="940"/>
      <c r="KR109" s="940"/>
      <c r="KS109" s="940"/>
      <c r="KT109" s="940"/>
      <c r="KU109" s="940"/>
      <c r="KV109" s="940"/>
      <c r="KW109" s="940"/>
      <c r="KX109" s="940"/>
      <c r="KY109" s="940"/>
      <c r="KZ109" s="940"/>
      <c r="LA109" s="940"/>
      <c r="LB109" s="940"/>
      <c r="LC109" s="940"/>
      <c r="LD109" s="940"/>
      <c r="LE109" s="940"/>
      <c r="LF109" s="940"/>
      <c r="LG109" s="940"/>
      <c r="LH109" s="940"/>
    </row>
    <row r="110" spans="1:320" s="462" customFormat="1" ht="15" hidden="1" customHeight="1" outlineLevel="1" x14ac:dyDescent="0.25">
      <c r="A110" s="1205">
        <v>41155</v>
      </c>
      <c r="B110" s="1205"/>
      <c r="C110" s="463"/>
      <c r="D110" s="463"/>
      <c r="H110" s="932"/>
      <c r="I110" s="37"/>
      <c r="J110" s="932"/>
      <c r="K110" s="37"/>
      <c r="L110" s="932"/>
      <c r="M110" s="37"/>
      <c r="N110" s="932"/>
      <c r="O110" s="37"/>
      <c r="P110" s="932"/>
      <c r="Q110" s="37"/>
      <c r="R110" s="932"/>
      <c r="S110" s="37"/>
      <c r="T110" s="37"/>
      <c r="U110" s="37"/>
      <c r="V110" s="932"/>
      <c r="W110" s="37"/>
      <c r="X110" s="932"/>
      <c r="Y110" s="37"/>
      <c r="Z110" s="932"/>
      <c r="AA110" s="37"/>
      <c r="AB110" s="932"/>
      <c r="AC110" s="37"/>
      <c r="AD110" s="932"/>
      <c r="AE110" s="37"/>
      <c r="AF110" s="932"/>
      <c r="AG110" s="37"/>
      <c r="AH110" s="37"/>
      <c r="AI110" s="37"/>
      <c r="AJ110" s="932"/>
      <c r="AK110" s="37"/>
      <c r="AL110" s="932"/>
      <c r="AM110" s="37"/>
      <c r="AN110" s="932"/>
      <c r="AO110" s="37"/>
      <c r="AP110" s="932"/>
      <c r="AQ110" s="37"/>
      <c r="AR110" s="37"/>
      <c r="AS110" s="37"/>
      <c r="AT110" s="37"/>
      <c r="AU110" s="37"/>
      <c r="AV110" s="37"/>
      <c r="AW110" s="37"/>
      <c r="AX110" s="932"/>
      <c r="AY110" s="37"/>
      <c r="AZ110" s="932"/>
      <c r="BA110" s="37"/>
      <c r="BB110" s="932"/>
      <c r="BC110" s="37"/>
      <c r="BD110" s="932"/>
      <c r="BE110" s="37"/>
      <c r="BF110" s="932"/>
      <c r="BG110" s="37"/>
      <c r="BH110" s="37"/>
      <c r="BI110" s="37"/>
      <c r="BJ110" s="37"/>
      <c r="BK110" s="37"/>
      <c r="BL110" s="932"/>
      <c r="BM110" s="37"/>
      <c r="BN110" s="932"/>
      <c r="BO110" s="37"/>
      <c r="BP110" s="932"/>
      <c r="BQ110" s="37"/>
      <c r="BR110" s="932"/>
      <c r="BS110" s="37"/>
      <c r="BT110" s="932"/>
      <c r="BU110" s="932"/>
      <c r="BV110" s="932"/>
      <c r="BW110" s="932"/>
      <c r="BX110" s="37"/>
      <c r="BY110" s="37"/>
      <c r="BZ110" s="932"/>
      <c r="CA110" s="37"/>
      <c r="CB110" s="932"/>
      <c r="CC110" s="37"/>
      <c r="CD110" s="932"/>
      <c r="CE110" s="37"/>
      <c r="CF110" s="932"/>
      <c r="CG110" s="37"/>
      <c r="CH110" s="932"/>
      <c r="CI110" s="932"/>
      <c r="CJ110" s="932"/>
      <c r="CK110" s="932"/>
      <c r="CL110" s="37"/>
      <c r="CM110" s="37"/>
      <c r="CN110" s="932"/>
      <c r="CO110" s="37"/>
      <c r="CP110" s="932"/>
      <c r="CQ110" s="37"/>
      <c r="CR110" s="932"/>
      <c r="CS110" s="37"/>
      <c r="CT110" s="932"/>
      <c r="CU110" s="37"/>
      <c r="CV110" s="932"/>
      <c r="CW110" s="932"/>
      <c r="CX110" s="932"/>
      <c r="CY110" s="932"/>
      <c r="CZ110" s="37"/>
      <c r="DA110" s="37"/>
      <c r="DB110" s="932"/>
      <c r="DC110" s="37"/>
      <c r="DD110" s="932"/>
      <c r="DE110" s="37"/>
      <c r="DF110" s="932"/>
      <c r="DG110" s="37"/>
      <c r="DH110" s="932"/>
      <c r="DI110" s="37"/>
      <c r="DJ110" s="932"/>
      <c r="DK110" s="932"/>
      <c r="DL110" s="932"/>
      <c r="DM110" s="932"/>
      <c r="DN110" s="37"/>
      <c r="DO110" s="37"/>
      <c r="DP110" s="932"/>
      <c r="DQ110" s="37"/>
      <c r="DR110" s="932"/>
      <c r="DS110" s="37"/>
      <c r="DT110" s="932"/>
      <c r="DU110" s="37"/>
      <c r="DV110" s="932"/>
      <c r="DW110" s="37"/>
      <c r="DX110" s="932"/>
      <c r="DY110" s="932"/>
      <c r="DZ110" s="932"/>
      <c r="EA110" s="932"/>
      <c r="EB110" s="37"/>
      <c r="EC110" s="37"/>
      <c r="EE110" s="937"/>
      <c r="EG110" s="938"/>
      <c r="EI110" s="938"/>
      <c r="EK110" s="938"/>
      <c r="EM110" s="938"/>
      <c r="EO110" s="938"/>
      <c r="EQ110" s="938"/>
      <c r="ES110" s="938"/>
      <c r="EU110" s="938"/>
      <c r="EW110" s="938"/>
      <c r="EY110" s="938"/>
      <c r="FA110" s="938"/>
      <c r="FC110" s="938"/>
      <c r="FE110" s="938"/>
      <c r="FG110" s="938"/>
      <c r="FI110" s="938"/>
      <c r="FK110" s="938"/>
      <c r="FM110" s="938"/>
      <c r="FO110" s="938"/>
      <c r="FQ110" s="938"/>
      <c r="FS110" s="938"/>
      <c r="FU110" s="938"/>
      <c r="FW110" s="938"/>
      <c r="FY110" s="938"/>
      <c r="GA110" s="938"/>
      <c r="GC110" s="938"/>
      <c r="GE110" s="938"/>
      <c r="GG110" s="938"/>
      <c r="GI110" s="938"/>
      <c r="GK110" s="938"/>
      <c r="GM110" s="938"/>
      <c r="GO110" s="938"/>
      <c r="GQ110" s="938"/>
      <c r="GS110" s="938"/>
      <c r="GU110" s="938"/>
      <c r="GW110" s="938"/>
      <c r="GY110" s="938"/>
      <c r="HA110" s="938"/>
      <c r="HC110" s="938"/>
      <c r="HE110" s="938"/>
      <c r="HG110" s="938"/>
      <c r="HI110" s="938"/>
      <c r="HK110" s="938"/>
      <c r="HM110" s="938"/>
      <c r="HO110" s="938"/>
      <c r="HQ110" s="938"/>
      <c r="HS110" s="938"/>
      <c r="HU110" s="938"/>
      <c r="HW110" s="938"/>
      <c r="HY110" s="938"/>
      <c r="IA110" s="938"/>
      <c r="IC110" s="938"/>
      <c r="IE110" s="938"/>
      <c r="IG110" s="938"/>
      <c r="II110" s="938"/>
      <c r="IK110" s="938"/>
      <c r="IM110" s="938"/>
      <c r="IO110" s="938"/>
      <c r="IQ110" s="938"/>
      <c r="IS110" s="938"/>
      <c r="IT110" s="932"/>
      <c r="IU110" s="938"/>
      <c r="IW110" s="939"/>
      <c r="IX110" s="938"/>
      <c r="IY110" s="938"/>
      <c r="IZ110" s="938"/>
      <c r="JB110" s="940"/>
      <c r="JC110" s="940"/>
      <c r="JD110" s="940"/>
      <c r="JE110" s="940"/>
      <c r="JF110" s="940"/>
      <c r="JG110" s="940"/>
      <c r="JH110" s="940"/>
      <c r="JI110" s="940"/>
      <c r="JJ110" s="940"/>
      <c r="JK110" s="940"/>
      <c r="JL110" s="940"/>
      <c r="JM110" s="940"/>
      <c r="JN110" s="940"/>
      <c r="JO110" s="940"/>
      <c r="JP110" s="940"/>
      <c r="JQ110" s="940"/>
      <c r="JR110" s="940"/>
      <c r="JS110" s="940"/>
      <c r="JT110" s="940"/>
      <c r="JU110" s="940"/>
      <c r="JV110" s="940"/>
      <c r="JW110" s="940"/>
      <c r="JX110" s="940"/>
      <c r="JY110" s="940"/>
      <c r="JZ110" s="940"/>
      <c r="KA110" s="940"/>
      <c r="KB110" s="940"/>
      <c r="KC110" s="940"/>
      <c r="KD110" s="940"/>
      <c r="KE110" s="940"/>
      <c r="KF110" s="940"/>
      <c r="KG110" s="940"/>
      <c r="KH110" s="940"/>
      <c r="KI110" s="940"/>
      <c r="KJ110" s="940"/>
      <c r="KK110" s="940"/>
      <c r="KL110" s="940"/>
      <c r="KM110" s="940"/>
      <c r="KN110" s="940"/>
      <c r="KO110" s="940"/>
      <c r="KP110" s="940"/>
      <c r="KQ110" s="940"/>
      <c r="KR110" s="940"/>
      <c r="KS110" s="940"/>
      <c r="KT110" s="940"/>
      <c r="KU110" s="940"/>
      <c r="KV110" s="940"/>
      <c r="KW110" s="940"/>
      <c r="KX110" s="940"/>
      <c r="KY110" s="940"/>
      <c r="KZ110" s="940"/>
      <c r="LA110" s="940"/>
      <c r="LB110" s="940"/>
      <c r="LC110" s="940"/>
      <c r="LD110" s="940"/>
      <c r="LE110" s="940"/>
      <c r="LF110" s="940"/>
      <c r="LG110" s="940"/>
      <c r="LH110" s="940"/>
    </row>
    <row r="111" spans="1:320" s="462" customFormat="1" ht="15" hidden="1" customHeight="1" outlineLevel="1" x14ac:dyDescent="0.25">
      <c r="A111" s="1205">
        <v>41225</v>
      </c>
      <c r="B111" s="1205"/>
      <c r="C111" s="463"/>
      <c r="D111" s="463"/>
      <c r="H111" s="932"/>
      <c r="I111" s="37"/>
      <c r="J111" s="932"/>
      <c r="K111" s="37"/>
      <c r="L111" s="932"/>
      <c r="M111" s="37"/>
      <c r="N111" s="932"/>
      <c r="O111" s="37"/>
      <c r="P111" s="932"/>
      <c r="Q111" s="37"/>
      <c r="R111" s="932"/>
      <c r="S111" s="37"/>
      <c r="T111" s="37"/>
      <c r="U111" s="37"/>
      <c r="V111" s="932"/>
      <c r="W111" s="37"/>
      <c r="X111" s="932"/>
      <c r="Y111" s="37"/>
      <c r="Z111" s="932"/>
      <c r="AA111" s="37"/>
      <c r="AB111" s="932"/>
      <c r="AC111" s="37"/>
      <c r="AD111" s="932"/>
      <c r="AE111" s="37"/>
      <c r="AF111" s="932"/>
      <c r="AG111" s="37"/>
      <c r="AH111" s="37"/>
      <c r="AI111" s="37"/>
      <c r="AJ111" s="932"/>
      <c r="AK111" s="37"/>
      <c r="AL111" s="932"/>
      <c r="AM111" s="37"/>
      <c r="AN111" s="932"/>
      <c r="AO111" s="37"/>
      <c r="AP111" s="932"/>
      <c r="AQ111" s="37"/>
      <c r="AR111" s="37"/>
      <c r="AS111" s="37"/>
      <c r="AT111" s="37"/>
      <c r="AU111" s="37"/>
      <c r="AV111" s="37"/>
      <c r="AW111" s="37"/>
      <c r="AX111" s="932"/>
      <c r="AY111" s="37"/>
      <c r="AZ111" s="932"/>
      <c r="BA111" s="37"/>
      <c r="BB111" s="932"/>
      <c r="BC111" s="37"/>
      <c r="BD111" s="932"/>
      <c r="BE111" s="37"/>
      <c r="BF111" s="932"/>
      <c r="BG111" s="37"/>
      <c r="BH111" s="37"/>
      <c r="BI111" s="37"/>
      <c r="BJ111" s="37"/>
      <c r="BK111" s="37"/>
      <c r="BL111" s="932"/>
      <c r="BM111" s="37"/>
      <c r="BN111" s="932"/>
      <c r="BO111" s="37"/>
      <c r="BP111" s="932"/>
      <c r="BQ111" s="37"/>
      <c r="BR111" s="932"/>
      <c r="BS111" s="37"/>
      <c r="BT111" s="932"/>
      <c r="BU111" s="932"/>
      <c r="BV111" s="932"/>
      <c r="BW111" s="932"/>
      <c r="BX111" s="37"/>
      <c r="BY111" s="37"/>
      <c r="BZ111" s="932"/>
      <c r="CA111" s="37"/>
      <c r="CB111" s="932"/>
      <c r="CC111" s="37"/>
      <c r="CD111" s="932"/>
      <c r="CE111" s="37"/>
      <c r="CF111" s="932"/>
      <c r="CG111" s="37"/>
      <c r="CH111" s="932"/>
      <c r="CI111" s="932"/>
      <c r="CJ111" s="932"/>
      <c r="CK111" s="932"/>
      <c r="CL111" s="37"/>
      <c r="CM111" s="37"/>
      <c r="CN111" s="932"/>
      <c r="CO111" s="37"/>
      <c r="CP111" s="932"/>
      <c r="CQ111" s="37"/>
      <c r="CR111" s="932"/>
      <c r="CS111" s="37"/>
      <c r="CT111" s="932"/>
      <c r="CU111" s="37"/>
      <c r="CV111" s="932"/>
      <c r="CW111" s="932"/>
      <c r="CX111" s="932"/>
      <c r="CY111" s="932"/>
      <c r="CZ111" s="37"/>
      <c r="DA111" s="37"/>
      <c r="DB111" s="932"/>
      <c r="DC111" s="37"/>
      <c r="DD111" s="932"/>
      <c r="DE111" s="37"/>
      <c r="DF111" s="932"/>
      <c r="DG111" s="37"/>
      <c r="DH111" s="932"/>
      <c r="DI111" s="37"/>
      <c r="DJ111" s="932"/>
      <c r="DK111" s="932"/>
      <c r="DL111" s="932"/>
      <c r="DM111" s="932"/>
      <c r="DN111" s="37"/>
      <c r="DO111" s="37"/>
      <c r="DP111" s="932"/>
      <c r="DQ111" s="37"/>
      <c r="DR111" s="932"/>
      <c r="DS111" s="37"/>
      <c r="DT111" s="932"/>
      <c r="DU111" s="37"/>
      <c r="DV111" s="932"/>
      <c r="DW111" s="37"/>
      <c r="DX111" s="932"/>
      <c r="DY111" s="932"/>
      <c r="DZ111" s="932"/>
      <c r="EA111" s="932"/>
      <c r="EB111" s="37"/>
      <c r="EC111" s="37"/>
      <c r="EE111" s="937"/>
      <c r="EG111" s="938"/>
      <c r="EI111" s="938"/>
      <c r="EK111" s="938"/>
      <c r="EM111" s="938"/>
      <c r="EO111" s="938"/>
      <c r="EQ111" s="938"/>
      <c r="ES111" s="938"/>
      <c r="EU111" s="938"/>
      <c r="EW111" s="938"/>
      <c r="EY111" s="938"/>
      <c r="FA111" s="938"/>
      <c r="FC111" s="938"/>
      <c r="FE111" s="938"/>
      <c r="FG111" s="938"/>
      <c r="FI111" s="938"/>
      <c r="FK111" s="938"/>
      <c r="FM111" s="938"/>
      <c r="FO111" s="938"/>
      <c r="FQ111" s="938"/>
      <c r="FS111" s="938"/>
      <c r="FU111" s="938"/>
      <c r="FW111" s="938"/>
      <c r="FY111" s="938"/>
      <c r="GA111" s="938"/>
      <c r="GC111" s="938"/>
      <c r="GE111" s="938"/>
      <c r="GG111" s="938"/>
      <c r="GI111" s="938"/>
      <c r="GK111" s="938"/>
      <c r="GM111" s="938"/>
      <c r="GO111" s="938"/>
      <c r="GQ111" s="938"/>
      <c r="GS111" s="938"/>
      <c r="GU111" s="938"/>
      <c r="GW111" s="938"/>
      <c r="GY111" s="938"/>
      <c r="HA111" s="938"/>
      <c r="HC111" s="938"/>
      <c r="HE111" s="938"/>
      <c r="HG111" s="938"/>
      <c r="HI111" s="938"/>
      <c r="HK111" s="938"/>
      <c r="HM111" s="938"/>
      <c r="HO111" s="938"/>
      <c r="HQ111" s="938"/>
      <c r="HS111" s="938"/>
      <c r="HU111" s="938"/>
      <c r="HW111" s="938"/>
      <c r="HY111" s="938"/>
      <c r="IA111" s="938"/>
      <c r="IC111" s="938"/>
      <c r="IE111" s="938"/>
      <c r="IG111" s="938"/>
      <c r="II111" s="938"/>
      <c r="IK111" s="938"/>
      <c r="IM111" s="938"/>
      <c r="IO111" s="938"/>
      <c r="IQ111" s="938"/>
      <c r="IS111" s="938"/>
      <c r="IT111" s="932"/>
      <c r="IU111" s="938"/>
      <c r="IW111" s="939"/>
      <c r="IX111" s="938"/>
      <c r="IY111" s="938"/>
      <c r="IZ111" s="938"/>
      <c r="JB111" s="940"/>
      <c r="JC111" s="940"/>
      <c r="JD111" s="940"/>
      <c r="JE111" s="940"/>
      <c r="JF111" s="940"/>
      <c r="JG111" s="940"/>
      <c r="JH111" s="940"/>
      <c r="JI111" s="940"/>
      <c r="JJ111" s="940"/>
      <c r="JK111" s="940"/>
      <c r="JL111" s="940"/>
      <c r="JM111" s="940"/>
      <c r="JN111" s="940"/>
      <c r="JO111" s="940"/>
      <c r="JP111" s="940"/>
      <c r="JQ111" s="940"/>
      <c r="JR111" s="940"/>
      <c r="JS111" s="940"/>
      <c r="JT111" s="940"/>
      <c r="JU111" s="940"/>
      <c r="JV111" s="940"/>
      <c r="JW111" s="940"/>
      <c r="JX111" s="940"/>
      <c r="JY111" s="940"/>
      <c r="JZ111" s="940"/>
      <c r="KA111" s="940"/>
      <c r="KB111" s="940"/>
      <c r="KC111" s="940"/>
      <c r="KD111" s="940"/>
      <c r="KE111" s="940"/>
      <c r="KF111" s="940"/>
      <c r="KG111" s="940"/>
      <c r="KH111" s="940"/>
      <c r="KI111" s="940"/>
      <c r="KJ111" s="940"/>
      <c r="KK111" s="940"/>
      <c r="KL111" s="940"/>
      <c r="KM111" s="940"/>
      <c r="KN111" s="940"/>
      <c r="KO111" s="940"/>
      <c r="KP111" s="940"/>
      <c r="KQ111" s="940"/>
      <c r="KR111" s="940"/>
      <c r="KS111" s="940"/>
      <c r="KT111" s="940"/>
      <c r="KU111" s="940"/>
      <c r="KV111" s="940"/>
      <c r="KW111" s="940"/>
      <c r="KX111" s="940"/>
      <c r="KY111" s="940"/>
      <c r="KZ111" s="940"/>
      <c r="LA111" s="940"/>
      <c r="LB111" s="940"/>
      <c r="LC111" s="940"/>
      <c r="LD111" s="940"/>
      <c r="LE111" s="940"/>
      <c r="LF111" s="940"/>
      <c r="LG111" s="940"/>
      <c r="LH111" s="940"/>
    </row>
    <row r="112" spans="1:320" s="462" customFormat="1" ht="15" hidden="1" customHeight="1" outlineLevel="1" x14ac:dyDescent="0.25">
      <c r="A112" s="1205">
        <v>41235</v>
      </c>
      <c r="B112" s="1205"/>
      <c r="C112" s="463"/>
      <c r="D112" s="463"/>
      <c r="H112" s="932"/>
      <c r="I112" s="37"/>
      <c r="J112" s="932"/>
      <c r="K112" s="37"/>
      <c r="L112" s="932"/>
      <c r="M112" s="37"/>
      <c r="N112" s="932"/>
      <c r="O112" s="37"/>
      <c r="P112" s="932"/>
      <c r="Q112" s="37"/>
      <c r="R112" s="932"/>
      <c r="S112" s="37"/>
      <c r="T112" s="37"/>
      <c r="U112" s="37"/>
      <c r="V112" s="932"/>
      <c r="W112" s="37"/>
      <c r="X112" s="932"/>
      <c r="Y112" s="37"/>
      <c r="Z112" s="932"/>
      <c r="AA112" s="37"/>
      <c r="AB112" s="932"/>
      <c r="AC112" s="37"/>
      <c r="AD112" s="932"/>
      <c r="AE112" s="37"/>
      <c r="AF112" s="932"/>
      <c r="AG112" s="37"/>
      <c r="AH112" s="37"/>
      <c r="AI112" s="37"/>
      <c r="AJ112" s="932"/>
      <c r="AK112" s="37"/>
      <c r="AL112" s="932"/>
      <c r="AM112" s="37"/>
      <c r="AN112" s="932"/>
      <c r="AO112" s="37"/>
      <c r="AP112" s="932"/>
      <c r="AQ112" s="37"/>
      <c r="AR112" s="37"/>
      <c r="AS112" s="37"/>
      <c r="AT112" s="37"/>
      <c r="AU112" s="37"/>
      <c r="AV112" s="37"/>
      <c r="AW112" s="37"/>
      <c r="AX112" s="932"/>
      <c r="AY112" s="37"/>
      <c r="AZ112" s="932"/>
      <c r="BA112" s="37"/>
      <c r="BB112" s="932"/>
      <c r="BC112" s="37"/>
      <c r="BD112" s="932"/>
      <c r="BE112" s="37"/>
      <c r="BF112" s="932"/>
      <c r="BG112" s="37"/>
      <c r="BH112" s="37"/>
      <c r="BI112" s="37"/>
      <c r="BJ112" s="37"/>
      <c r="BK112" s="37"/>
      <c r="BL112" s="932"/>
      <c r="BM112" s="37"/>
      <c r="BN112" s="932"/>
      <c r="BO112" s="37"/>
      <c r="BP112" s="932"/>
      <c r="BQ112" s="37"/>
      <c r="BR112" s="932"/>
      <c r="BS112" s="37"/>
      <c r="BT112" s="932"/>
      <c r="BU112" s="932"/>
      <c r="BV112" s="932"/>
      <c r="BW112" s="932"/>
      <c r="BX112" s="37"/>
      <c r="BY112" s="37"/>
      <c r="BZ112" s="932"/>
      <c r="CA112" s="37"/>
      <c r="CB112" s="932"/>
      <c r="CC112" s="37"/>
      <c r="CD112" s="932"/>
      <c r="CE112" s="37"/>
      <c r="CF112" s="932"/>
      <c r="CG112" s="37"/>
      <c r="CH112" s="932"/>
      <c r="CI112" s="932"/>
      <c r="CJ112" s="932"/>
      <c r="CK112" s="932"/>
      <c r="CL112" s="37"/>
      <c r="CM112" s="37"/>
      <c r="CN112" s="932"/>
      <c r="CO112" s="37"/>
      <c r="CP112" s="932"/>
      <c r="CQ112" s="37"/>
      <c r="CR112" s="932"/>
      <c r="CS112" s="37"/>
      <c r="CT112" s="932"/>
      <c r="CU112" s="37"/>
      <c r="CV112" s="932"/>
      <c r="CW112" s="932"/>
      <c r="CX112" s="932"/>
      <c r="CY112" s="932"/>
      <c r="CZ112" s="37"/>
      <c r="DA112" s="37"/>
      <c r="DB112" s="932"/>
      <c r="DC112" s="37"/>
      <c r="DD112" s="932"/>
      <c r="DE112" s="37"/>
      <c r="DF112" s="932"/>
      <c r="DG112" s="37"/>
      <c r="DH112" s="932"/>
      <c r="DI112" s="37"/>
      <c r="DJ112" s="932"/>
      <c r="DK112" s="932"/>
      <c r="DL112" s="932"/>
      <c r="DM112" s="932"/>
      <c r="DN112" s="37"/>
      <c r="DO112" s="37"/>
      <c r="DP112" s="932"/>
      <c r="DQ112" s="37"/>
      <c r="DR112" s="932"/>
      <c r="DS112" s="37"/>
      <c r="DT112" s="932"/>
      <c r="DU112" s="37"/>
      <c r="DV112" s="932"/>
      <c r="DW112" s="37"/>
      <c r="DX112" s="932"/>
      <c r="DY112" s="932"/>
      <c r="DZ112" s="932"/>
      <c r="EA112" s="932"/>
      <c r="EB112" s="37"/>
      <c r="EC112" s="37"/>
      <c r="EE112" s="937"/>
      <c r="EG112" s="938"/>
      <c r="EI112" s="938"/>
      <c r="EK112" s="938"/>
      <c r="EM112" s="938"/>
      <c r="EO112" s="938"/>
      <c r="EQ112" s="938"/>
      <c r="ES112" s="938"/>
      <c r="EU112" s="938"/>
      <c r="EW112" s="938"/>
      <c r="EY112" s="938"/>
      <c r="FA112" s="938"/>
      <c r="FC112" s="938"/>
      <c r="FE112" s="938"/>
      <c r="FG112" s="938"/>
      <c r="FI112" s="938"/>
      <c r="FK112" s="938"/>
      <c r="FM112" s="938"/>
      <c r="FO112" s="938"/>
      <c r="FQ112" s="938"/>
      <c r="FS112" s="938"/>
      <c r="FU112" s="938"/>
      <c r="FW112" s="938"/>
      <c r="FY112" s="938"/>
      <c r="GA112" s="938"/>
      <c r="GC112" s="938"/>
      <c r="GE112" s="938"/>
      <c r="GG112" s="938"/>
      <c r="GI112" s="938"/>
      <c r="GK112" s="938"/>
      <c r="GM112" s="938"/>
      <c r="GO112" s="938"/>
      <c r="GQ112" s="938"/>
      <c r="GS112" s="938"/>
      <c r="GU112" s="938"/>
      <c r="GW112" s="938"/>
      <c r="GY112" s="938"/>
      <c r="HA112" s="938"/>
      <c r="HC112" s="938"/>
      <c r="HE112" s="938"/>
      <c r="HG112" s="938"/>
      <c r="HI112" s="938"/>
      <c r="HK112" s="938"/>
      <c r="HM112" s="938"/>
      <c r="HO112" s="938"/>
      <c r="HQ112" s="938"/>
      <c r="HS112" s="938"/>
      <c r="HU112" s="938"/>
      <c r="HW112" s="938"/>
      <c r="HY112" s="938"/>
      <c r="IA112" s="938"/>
      <c r="IC112" s="938"/>
      <c r="IE112" s="938"/>
      <c r="IG112" s="938"/>
      <c r="II112" s="938"/>
      <c r="IK112" s="938"/>
      <c r="IM112" s="938"/>
      <c r="IO112" s="938"/>
      <c r="IQ112" s="938"/>
      <c r="IS112" s="938"/>
      <c r="IT112" s="932"/>
      <c r="IU112" s="938"/>
      <c r="IW112" s="939"/>
      <c r="IX112" s="938"/>
      <c r="IY112" s="938"/>
      <c r="IZ112" s="938"/>
      <c r="JB112" s="940"/>
      <c r="JC112" s="940"/>
      <c r="JD112" s="940"/>
      <c r="JE112" s="940"/>
      <c r="JF112" s="940"/>
      <c r="JG112" s="940"/>
      <c r="JH112" s="940"/>
      <c r="JI112" s="940"/>
      <c r="JJ112" s="940"/>
      <c r="JK112" s="940"/>
      <c r="JL112" s="940"/>
      <c r="JM112" s="940"/>
      <c r="JN112" s="940"/>
      <c r="JO112" s="940"/>
      <c r="JP112" s="940"/>
      <c r="JQ112" s="940"/>
      <c r="JR112" s="940"/>
      <c r="JS112" s="940"/>
      <c r="JT112" s="940"/>
      <c r="JU112" s="940"/>
      <c r="JV112" s="940"/>
      <c r="JW112" s="940"/>
      <c r="JX112" s="940"/>
      <c r="JY112" s="940"/>
      <c r="JZ112" s="940"/>
      <c r="KA112" s="940"/>
      <c r="KB112" s="940"/>
      <c r="KC112" s="940"/>
      <c r="KD112" s="940"/>
      <c r="KE112" s="940"/>
      <c r="KF112" s="940"/>
      <c r="KG112" s="940"/>
      <c r="KH112" s="940"/>
      <c r="KI112" s="940"/>
      <c r="KJ112" s="940"/>
      <c r="KK112" s="940"/>
      <c r="KL112" s="940"/>
      <c r="KM112" s="940"/>
      <c r="KN112" s="940"/>
      <c r="KO112" s="940"/>
      <c r="KP112" s="940"/>
      <c r="KQ112" s="940"/>
      <c r="KR112" s="940"/>
      <c r="KS112" s="940"/>
      <c r="KT112" s="940"/>
      <c r="KU112" s="940"/>
      <c r="KV112" s="940"/>
      <c r="KW112" s="940"/>
      <c r="KX112" s="940"/>
      <c r="KY112" s="940"/>
      <c r="KZ112" s="940"/>
      <c r="LA112" s="940"/>
      <c r="LB112" s="940"/>
      <c r="LC112" s="940"/>
      <c r="LD112" s="940"/>
      <c r="LE112" s="940"/>
      <c r="LF112" s="940"/>
      <c r="LG112" s="940"/>
      <c r="LH112" s="940"/>
    </row>
    <row r="113" spans="1:320" s="462" customFormat="1" ht="15" hidden="1" customHeight="1" outlineLevel="1" x14ac:dyDescent="0.25">
      <c r="A113" s="1205">
        <v>41236</v>
      </c>
      <c r="B113" s="1205"/>
      <c r="C113" s="463"/>
      <c r="D113" s="463"/>
      <c r="H113" s="932"/>
      <c r="I113" s="37"/>
      <c r="J113" s="932"/>
      <c r="K113" s="37"/>
      <c r="L113" s="932"/>
      <c r="M113" s="37"/>
      <c r="N113" s="932"/>
      <c r="O113" s="37"/>
      <c r="P113" s="932"/>
      <c r="Q113" s="37"/>
      <c r="R113" s="932"/>
      <c r="S113" s="37"/>
      <c r="T113" s="37"/>
      <c r="U113" s="37"/>
      <c r="V113" s="932"/>
      <c r="W113" s="37"/>
      <c r="X113" s="932"/>
      <c r="Y113" s="37"/>
      <c r="Z113" s="932"/>
      <c r="AA113" s="37"/>
      <c r="AB113" s="932"/>
      <c r="AC113" s="37"/>
      <c r="AD113" s="932"/>
      <c r="AE113" s="37"/>
      <c r="AF113" s="932"/>
      <c r="AG113" s="37"/>
      <c r="AH113" s="37"/>
      <c r="AI113" s="37"/>
      <c r="AJ113" s="932"/>
      <c r="AK113" s="37"/>
      <c r="AL113" s="932"/>
      <c r="AM113" s="37"/>
      <c r="AN113" s="932"/>
      <c r="AO113" s="37"/>
      <c r="AP113" s="932"/>
      <c r="AQ113" s="37"/>
      <c r="AR113" s="37"/>
      <c r="AS113" s="37"/>
      <c r="AT113" s="37"/>
      <c r="AU113" s="37"/>
      <c r="AV113" s="37"/>
      <c r="AW113" s="37"/>
      <c r="AX113" s="932"/>
      <c r="AY113" s="37"/>
      <c r="AZ113" s="932"/>
      <c r="BA113" s="37"/>
      <c r="BB113" s="932"/>
      <c r="BC113" s="37"/>
      <c r="BD113" s="932"/>
      <c r="BE113" s="37"/>
      <c r="BF113" s="932"/>
      <c r="BG113" s="37"/>
      <c r="BH113" s="37"/>
      <c r="BI113" s="37"/>
      <c r="BJ113" s="37"/>
      <c r="BK113" s="37"/>
      <c r="BL113" s="932"/>
      <c r="BM113" s="37"/>
      <c r="BN113" s="932"/>
      <c r="BO113" s="37"/>
      <c r="BP113" s="932"/>
      <c r="BQ113" s="37"/>
      <c r="BR113" s="932"/>
      <c r="BS113" s="37"/>
      <c r="BT113" s="932"/>
      <c r="BU113" s="932"/>
      <c r="BV113" s="932"/>
      <c r="BW113" s="932"/>
      <c r="BX113" s="37"/>
      <c r="BY113" s="37"/>
      <c r="BZ113" s="932"/>
      <c r="CA113" s="37"/>
      <c r="CB113" s="932"/>
      <c r="CC113" s="37"/>
      <c r="CD113" s="932"/>
      <c r="CE113" s="37"/>
      <c r="CF113" s="932"/>
      <c r="CG113" s="37"/>
      <c r="CH113" s="932"/>
      <c r="CI113" s="932"/>
      <c r="CJ113" s="932"/>
      <c r="CK113" s="932"/>
      <c r="CL113" s="37"/>
      <c r="CM113" s="37"/>
      <c r="CN113" s="932"/>
      <c r="CO113" s="37"/>
      <c r="CP113" s="932"/>
      <c r="CQ113" s="37"/>
      <c r="CR113" s="932"/>
      <c r="CS113" s="37"/>
      <c r="CT113" s="932"/>
      <c r="CU113" s="37"/>
      <c r="CV113" s="932"/>
      <c r="CW113" s="932"/>
      <c r="CX113" s="932"/>
      <c r="CY113" s="932"/>
      <c r="CZ113" s="37"/>
      <c r="DA113" s="37"/>
      <c r="DB113" s="932"/>
      <c r="DC113" s="37"/>
      <c r="DD113" s="932"/>
      <c r="DE113" s="37"/>
      <c r="DF113" s="932"/>
      <c r="DG113" s="37"/>
      <c r="DH113" s="932"/>
      <c r="DI113" s="37"/>
      <c r="DJ113" s="932"/>
      <c r="DK113" s="932"/>
      <c r="DL113" s="932"/>
      <c r="DM113" s="932"/>
      <c r="DN113" s="37"/>
      <c r="DO113" s="37"/>
      <c r="DP113" s="932"/>
      <c r="DQ113" s="37"/>
      <c r="DR113" s="932"/>
      <c r="DS113" s="37"/>
      <c r="DT113" s="932"/>
      <c r="DU113" s="37"/>
      <c r="DV113" s="932"/>
      <c r="DW113" s="37"/>
      <c r="DX113" s="932"/>
      <c r="DY113" s="932"/>
      <c r="DZ113" s="932"/>
      <c r="EA113" s="932"/>
      <c r="EB113" s="37"/>
      <c r="EC113" s="37"/>
      <c r="EE113" s="937"/>
      <c r="EG113" s="938"/>
      <c r="EI113" s="938"/>
      <c r="EK113" s="938"/>
      <c r="EM113" s="938"/>
      <c r="EO113" s="938"/>
      <c r="EQ113" s="938"/>
      <c r="ES113" s="938"/>
      <c r="EU113" s="938"/>
      <c r="EW113" s="938"/>
      <c r="EY113" s="938"/>
      <c r="FA113" s="938"/>
      <c r="FC113" s="938"/>
      <c r="FE113" s="938"/>
      <c r="FG113" s="938"/>
      <c r="FI113" s="938"/>
      <c r="FK113" s="938"/>
      <c r="FM113" s="938"/>
      <c r="FO113" s="938"/>
      <c r="FQ113" s="938"/>
      <c r="FS113" s="938"/>
      <c r="FU113" s="938"/>
      <c r="FW113" s="938"/>
      <c r="FY113" s="938"/>
      <c r="GA113" s="938"/>
      <c r="GC113" s="938"/>
      <c r="GE113" s="938"/>
      <c r="GG113" s="938"/>
      <c r="GI113" s="938"/>
      <c r="GK113" s="938"/>
      <c r="GM113" s="938"/>
      <c r="GO113" s="938"/>
      <c r="GQ113" s="938"/>
      <c r="GS113" s="938"/>
      <c r="GU113" s="938"/>
      <c r="GW113" s="938"/>
      <c r="GY113" s="938"/>
      <c r="HA113" s="938"/>
      <c r="HC113" s="938"/>
      <c r="HE113" s="938"/>
      <c r="HG113" s="938"/>
      <c r="HI113" s="938"/>
      <c r="HK113" s="938"/>
      <c r="HM113" s="938"/>
      <c r="HO113" s="938"/>
      <c r="HQ113" s="938"/>
      <c r="HS113" s="938"/>
      <c r="HU113" s="938"/>
      <c r="HW113" s="938"/>
      <c r="HY113" s="938"/>
      <c r="IA113" s="938"/>
      <c r="IC113" s="938"/>
      <c r="IE113" s="938"/>
      <c r="IG113" s="938"/>
      <c r="II113" s="938"/>
      <c r="IK113" s="938"/>
      <c r="IM113" s="938"/>
      <c r="IO113" s="938"/>
      <c r="IQ113" s="938"/>
      <c r="IS113" s="938"/>
      <c r="IT113" s="932"/>
      <c r="IU113" s="938"/>
      <c r="IW113" s="939"/>
      <c r="IX113" s="938"/>
      <c r="IY113" s="938"/>
      <c r="IZ113" s="938"/>
      <c r="JB113" s="940"/>
      <c r="JC113" s="940"/>
      <c r="JD113" s="940"/>
      <c r="JE113" s="940"/>
      <c r="JF113" s="940"/>
      <c r="JG113" s="940"/>
      <c r="JH113" s="940"/>
      <c r="JI113" s="940"/>
      <c r="JJ113" s="940"/>
      <c r="JK113" s="940"/>
      <c r="JL113" s="940"/>
      <c r="JM113" s="940"/>
      <c r="JN113" s="940"/>
      <c r="JO113" s="940"/>
      <c r="JP113" s="940"/>
      <c r="JQ113" s="940"/>
      <c r="JR113" s="940"/>
      <c r="JS113" s="940"/>
      <c r="JT113" s="940"/>
      <c r="JU113" s="940"/>
      <c r="JV113" s="940"/>
      <c r="JW113" s="940"/>
      <c r="JX113" s="940"/>
      <c r="JY113" s="940"/>
      <c r="JZ113" s="940"/>
      <c r="KA113" s="940"/>
      <c r="KB113" s="940"/>
      <c r="KC113" s="940"/>
      <c r="KD113" s="940"/>
      <c r="KE113" s="940"/>
      <c r="KF113" s="940"/>
      <c r="KG113" s="940"/>
      <c r="KH113" s="940"/>
      <c r="KI113" s="940"/>
      <c r="KJ113" s="940"/>
      <c r="KK113" s="940"/>
      <c r="KL113" s="940"/>
      <c r="KM113" s="940"/>
      <c r="KN113" s="940"/>
      <c r="KO113" s="940"/>
      <c r="KP113" s="940"/>
      <c r="KQ113" s="940"/>
      <c r="KR113" s="940"/>
      <c r="KS113" s="940"/>
      <c r="KT113" s="940"/>
      <c r="KU113" s="940"/>
      <c r="KV113" s="940"/>
      <c r="KW113" s="940"/>
      <c r="KX113" s="940"/>
      <c r="KY113" s="940"/>
      <c r="KZ113" s="940"/>
      <c r="LA113" s="940"/>
      <c r="LB113" s="940"/>
      <c r="LC113" s="940"/>
      <c r="LD113" s="940"/>
      <c r="LE113" s="940"/>
      <c r="LF113" s="940"/>
      <c r="LG113" s="940"/>
      <c r="LH113" s="940"/>
    </row>
    <row r="114" spans="1:320" s="462" customFormat="1" ht="15" hidden="1" customHeight="1" outlineLevel="1" x14ac:dyDescent="0.25">
      <c r="A114" s="1205">
        <v>41267</v>
      </c>
      <c r="B114" s="1205"/>
      <c r="C114" s="463"/>
      <c r="D114" s="463"/>
      <c r="H114" s="932"/>
      <c r="I114" s="37"/>
      <c r="J114" s="932"/>
      <c r="K114" s="37"/>
      <c r="L114" s="932"/>
      <c r="M114" s="37"/>
      <c r="N114" s="932"/>
      <c r="O114" s="37"/>
      <c r="P114" s="932"/>
      <c r="Q114" s="37"/>
      <c r="R114" s="932"/>
      <c r="S114" s="37"/>
      <c r="T114" s="37"/>
      <c r="U114" s="37"/>
      <c r="V114" s="932"/>
      <c r="W114" s="37"/>
      <c r="X114" s="932"/>
      <c r="Y114" s="37"/>
      <c r="Z114" s="932"/>
      <c r="AA114" s="37"/>
      <c r="AB114" s="932"/>
      <c r="AC114" s="37"/>
      <c r="AD114" s="932"/>
      <c r="AE114" s="37"/>
      <c r="AF114" s="932"/>
      <c r="AG114" s="37"/>
      <c r="AH114" s="37"/>
      <c r="AI114" s="37"/>
      <c r="AJ114" s="932"/>
      <c r="AK114" s="37"/>
      <c r="AL114" s="932"/>
      <c r="AM114" s="37"/>
      <c r="AN114" s="932"/>
      <c r="AO114" s="37"/>
      <c r="AP114" s="932"/>
      <c r="AQ114" s="37"/>
      <c r="AR114" s="37"/>
      <c r="AS114" s="37"/>
      <c r="AT114" s="37"/>
      <c r="AU114" s="37"/>
      <c r="AV114" s="37"/>
      <c r="AW114" s="37"/>
      <c r="AX114" s="932"/>
      <c r="AY114" s="37"/>
      <c r="AZ114" s="932"/>
      <c r="BA114" s="37"/>
      <c r="BB114" s="932"/>
      <c r="BC114" s="37"/>
      <c r="BD114" s="932"/>
      <c r="BE114" s="37"/>
      <c r="BF114" s="932"/>
      <c r="BG114" s="37"/>
      <c r="BH114" s="37"/>
      <c r="BI114" s="37"/>
      <c r="BJ114" s="37"/>
      <c r="BK114" s="37"/>
      <c r="BL114" s="932"/>
      <c r="BM114" s="37"/>
      <c r="BN114" s="932"/>
      <c r="BO114" s="37"/>
      <c r="BP114" s="932"/>
      <c r="BQ114" s="37"/>
      <c r="BR114" s="932"/>
      <c r="BS114" s="37"/>
      <c r="BT114" s="932"/>
      <c r="BU114" s="932"/>
      <c r="BV114" s="932"/>
      <c r="BW114" s="932"/>
      <c r="BX114" s="37"/>
      <c r="BY114" s="37"/>
      <c r="BZ114" s="932"/>
      <c r="CA114" s="37"/>
      <c r="CB114" s="932"/>
      <c r="CC114" s="37"/>
      <c r="CD114" s="932"/>
      <c r="CE114" s="37"/>
      <c r="CF114" s="932"/>
      <c r="CG114" s="37"/>
      <c r="CH114" s="932"/>
      <c r="CI114" s="932"/>
      <c r="CJ114" s="932"/>
      <c r="CK114" s="932"/>
      <c r="CL114" s="37"/>
      <c r="CM114" s="37"/>
      <c r="CN114" s="932"/>
      <c r="CO114" s="37"/>
      <c r="CP114" s="932"/>
      <c r="CQ114" s="37"/>
      <c r="CR114" s="932"/>
      <c r="CS114" s="37"/>
      <c r="CT114" s="932"/>
      <c r="CU114" s="37"/>
      <c r="CV114" s="932"/>
      <c r="CW114" s="932"/>
      <c r="CX114" s="932"/>
      <c r="CY114" s="932"/>
      <c r="CZ114" s="37"/>
      <c r="DA114" s="37"/>
      <c r="DB114" s="932"/>
      <c r="DC114" s="37"/>
      <c r="DD114" s="932"/>
      <c r="DE114" s="37"/>
      <c r="DF114" s="932"/>
      <c r="DG114" s="37"/>
      <c r="DH114" s="932"/>
      <c r="DI114" s="37"/>
      <c r="DJ114" s="932"/>
      <c r="DK114" s="932"/>
      <c r="DL114" s="932"/>
      <c r="DM114" s="932"/>
      <c r="DN114" s="37"/>
      <c r="DO114" s="37"/>
      <c r="DP114" s="932"/>
      <c r="DQ114" s="37"/>
      <c r="DR114" s="932"/>
      <c r="DS114" s="37"/>
      <c r="DT114" s="932"/>
      <c r="DU114" s="37"/>
      <c r="DV114" s="932"/>
      <c r="DW114" s="37"/>
      <c r="DX114" s="932"/>
      <c r="DY114" s="932"/>
      <c r="DZ114" s="932"/>
      <c r="EA114" s="932"/>
      <c r="EB114" s="37"/>
      <c r="EC114" s="37"/>
      <c r="EE114" s="937"/>
      <c r="EG114" s="938"/>
      <c r="EI114" s="938"/>
      <c r="EK114" s="938"/>
      <c r="EM114" s="938"/>
      <c r="EO114" s="938"/>
      <c r="EQ114" s="938"/>
      <c r="ES114" s="938"/>
      <c r="EU114" s="938"/>
      <c r="EW114" s="938"/>
      <c r="EY114" s="938"/>
      <c r="FA114" s="938"/>
      <c r="FC114" s="938"/>
      <c r="FE114" s="938"/>
      <c r="FG114" s="938"/>
      <c r="FI114" s="938"/>
      <c r="FK114" s="938"/>
      <c r="FM114" s="938"/>
      <c r="FO114" s="938"/>
      <c r="FQ114" s="938"/>
      <c r="FS114" s="938"/>
      <c r="FU114" s="938"/>
      <c r="FW114" s="938"/>
      <c r="FY114" s="938"/>
      <c r="GA114" s="938"/>
      <c r="GC114" s="938"/>
      <c r="GE114" s="938"/>
      <c r="GG114" s="938"/>
      <c r="GI114" s="938"/>
      <c r="GK114" s="938"/>
      <c r="GM114" s="938"/>
      <c r="GO114" s="938"/>
      <c r="GQ114" s="938"/>
      <c r="GS114" s="938"/>
      <c r="GU114" s="938"/>
      <c r="GW114" s="938"/>
      <c r="GY114" s="938"/>
      <c r="HA114" s="938"/>
      <c r="HC114" s="938"/>
      <c r="HE114" s="938"/>
      <c r="HG114" s="938"/>
      <c r="HI114" s="938"/>
      <c r="HK114" s="938"/>
      <c r="HM114" s="938"/>
      <c r="HO114" s="938"/>
      <c r="HQ114" s="938"/>
      <c r="HS114" s="938"/>
      <c r="HU114" s="938"/>
      <c r="HW114" s="938"/>
      <c r="HY114" s="938"/>
      <c r="IA114" s="938"/>
      <c r="IC114" s="938"/>
      <c r="IE114" s="938"/>
      <c r="IG114" s="938"/>
      <c r="II114" s="938"/>
      <c r="IK114" s="938"/>
      <c r="IM114" s="938"/>
      <c r="IO114" s="938"/>
      <c r="IQ114" s="938"/>
      <c r="IS114" s="938"/>
      <c r="IT114" s="932"/>
      <c r="IU114" s="938"/>
      <c r="IW114" s="939"/>
      <c r="IX114" s="938"/>
      <c r="IY114" s="938"/>
      <c r="IZ114" s="938"/>
      <c r="JB114" s="940"/>
      <c r="JC114" s="940"/>
      <c r="JD114" s="940"/>
      <c r="JE114" s="940"/>
      <c r="JF114" s="940"/>
      <c r="JG114" s="940"/>
      <c r="JH114" s="940"/>
      <c r="JI114" s="940"/>
      <c r="JJ114" s="940"/>
      <c r="JK114" s="940"/>
      <c r="JL114" s="940"/>
      <c r="JM114" s="940"/>
      <c r="JN114" s="940"/>
      <c r="JO114" s="940"/>
      <c r="JP114" s="940"/>
      <c r="JQ114" s="940"/>
      <c r="JR114" s="940"/>
      <c r="JS114" s="940"/>
      <c r="JT114" s="940"/>
      <c r="JU114" s="940"/>
      <c r="JV114" s="940"/>
      <c r="JW114" s="940"/>
      <c r="JX114" s="940"/>
      <c r="JY114" s="940"/>
      <c r="JZ114" s="940"/>
      <c r="KA114" s="940"/>
      <c r="KB114" s="940"/>
      <c r="KC114" s="940"/>
      <c r="KD114" s="940"/>
      <c r="KE114" s="940"/>
      <c r="KF114" s="940"/>
      <c r="KG114" s="940"/>
      <c r="KH114" s="940"/>
      <c r="KI114" s="940"/>
      <c r="KJ114" s="940"/>
      <c r="KK114" s="940"/>
      <c r="KL114" s="940"/>
      <c r="KM114" s="940"/>
      <c r="KN114" s="940"/>
      <c r="KO114" s="940"/>
      <c r="KP114" s="940"/>
      <c r="KQ114" s="940"/>
      <c r="KR114" s="940"/>
      <c r="KS114" s="940"/>
      <c r="KT114" s="940"/>
      <c r="KU114" s="940"/>
      <c r="KV114" s="940"/>
      <c r="KW114" s="940"/>
      <c r="KX114" s="940"/>
      <c r="KY114" s="940"/>
      <c r="KZ114" s="940"/>
      <c r="LA114" s="940"/>
      <c r="LB114" s="940"/>
      <c r="LC114" s="940"/>
      <c r="LD114" s="940"/>
      <c r="LE114" s="940"/>
      <c r="LF114" s="940"/>
      <c r="LG114" s="940"/>
      <c r="LH114" s="940"/>
    </row>
    <row r="115" spans="1:320" s="462" customFormat="1" ht="15" hidden="1" customHeight="1" outlineLevel="1" x14ac:dyDescent="0.25">
      <c r="A115" s="1205">
        <v>41268</v>
      </c>
      <c r="B115" s="1205"/>
      <c r="C115" s="463"/>
      <c r="D115" s="463"/>
      <c r="H115" s="932"/>
      <c r="I115" s="37"/>
      <c r="J115" s="932"/>
      <c r="K115" s="37"/>
      <c r="L115" s="932"/>
      <c r="M115" s="37"/>
      <c r="N115" s="932"/>
      <c r="O115" s="37"/>
      <c r="P115" s="932"/>
      <c r="Q115" s="37"/>
      <c r="R115" s="932"/>
      <c r="S115" s="37"/>
      <c r="T115" s="37"/>
      <c r="U115" s="37"/>
      <c r="V115" s="932"/>
      <c r="W115" s="37"/>
      <c r="X115" s="932"/>
      <c r="Y115" s="37"/>
      <c r="Z115" s="932"/>
      <c r="AA115" s="37"/>
      <c r="AB115" s="932"/>
      <c r="AC115" s="37"/>
      <c r="AD115" s="932"/>
      <c r="AE115" s="37"/>
      <c r="AF115" s="932"/>
      <c r="AG115" s="37"/>
      <c r="AH115" s="37"/>
      <c r="AI115" s="37"/>
      <c r="AJ115" s="932"/>
      <c r="AK115" s="37"/>
      <c r="AL115" s="932"/>
      <c r="AM115" s="37"/>
      <c r="AN115" s="932"/>
      <c r="AO115" s="37"/>
      <c r="AP115" s="932"/>
      <c r="AQ115" s="37"/>
      <c r="AR115" s="37"/>
      <c r="AS115" s="37"/>
      <c r="AT115" s="37"/>
      <c r="AU115" s="37"/>
      <c r="AV115" s="37"/>
      <c r="AW115" s="37"/>
      <c r="AX115" s="932"/>
      <c r="AY115" s="37"/>
      <c r="AZ115" s="932"/>
      <c r="BA115" s="37"/>
      <c r="BB115" s="932"/>
      <c r="BC115" s="37"/>
      <c r="BD115" s="932"/>
      <c r="BE115" s="37"/>
      <c r="BF115" s="932"/>
      <c r="BG115" s="37"/>
      <c r="BH115" s="37"/>
      <c r="BI115" s="37"/>
      <c r="BJ115" s="37"/>
      <c r="BK115" s="37"/>
      <c r="BL115" s="932"/>
      <c r="BM115" s="37"/>
      <c r="BN115" s="932"/>
      <c r="BO115" s="37"/>
      <c r="BP115" s="932"/>
      <c r="BQ115" s="37"/>
      <c r="BR115" s="932"/>
      <c r="BS115" s="37"/>
      <c r="BT115" s="932"/>
      <c r="BU115" s="932"/>
      <c r="BV115" s="932"/>
      <c r="BW115" s="932"/>
      <c r="BX115" s="37"/>
      <c r="BY115" s="37"/>
      <c r="BZ115" s="932"/>
      <c r="CA115" s="37"/>
      <c r="CB115" s="932"/>
      <c r="CC115" s="37"/>
      <c r="CD115" s="932"/>
      <c r="CE115" s="37"/>
      <c r="CF115" s="932"/>
      <c r="CG115" s="37"/>
      <c r="CH115" s="932"/>
      <c r="CI115" s="932"/>
      <c r="CJ115" s="932"/>
      <c r="CK115" s="932"/>
      <c r="CL115" s="37"/>
      <c r="CM115" s="37"/>
      <c r="CN115" s="932"/>
      <c r="CO115" s="37"/>
      <c r="CP115" s="932"/>
      <c r="CQ115" s="37"/>
      <c r="CR115" s="932"/>
      <c r="CS115" s="37"/>
      <c r="CT115" s="932"/>
      <c r="CU115" s="37"/>
      <c r="CV115" s="932"/>
      <c r="CW115" s="932"/>
      <c r="CX115" s="932"/>
      <c r="CY115" s="932"/>
      <c r="CZ115" s="37"/>
      <c r="DA115" s="37"/>
      <c r="DB115" s="932"/>
      <c r="DC115" s="37"/>
      <c r="DD115" s="932"/>
      <c r="DE115" s="37"/>
      <c r="DF115" s="932"/>
      <c r="DG115" s="37"/>
      <c r="DH115" s="932"/>
      <c r="DI115" s="37"/>
      <c r="DJ115" s="932"/>
      <c r="DK115" s="932"/>
      <c r="DL115" s="932"/>
      <c r="DM115" s="932"/>
      <c r="DN115" s="37"/>
      <c r="DO115" s="37"/>
      <c r="DP115" s="932"/>
      <c r="DQ115" s="37"/>
      <c r="DR115" s="932"/>
      <c r="DS115" s="37"/>
      <c r="DT115" s="932"/>
      <c r="DU115" s="37"/>
      <c r="DV115" s="932"/>
      <c r="DW115" s="37"/>
      <c r="DX115" s="932"/>
      <c r="DY115" s="932"/>
      <c r="DZ115" s="932"/>
      <c r="EA115" s="932"/>
      <c r="EB115" s="37"/>
      <c r="EC115" s="37"/>
      <c r="EE115" s="937"/>
      <c r="EG115" s="938"/>
      <c r="EI115" s="938"/>
      <c r="EK115" s="938"/>
      <c r="EM115" s="938"/>
      <c r="EO115" s="938"/>
      <c r="EQ115" s="938"/>
      <c r="ES115" s="938"/>
      <c r="EU115" s="938"/>
      <c r="EW115" s="938"/>
      <c r="EY115" s="938"/>
      <c r="FA115" s="938"/>
      <c r="FC115" s="938"/>
      <c r="FE115" s="938"/>
      <c r="FG115" s="938"/>
      <c r="FI115" s="938"/>
      <c r="FK115" s="938"/>
      <c r="FM115" s="938"/>
      <c r="FO115" s="938"/>
      <c r="FQ115" s="938"/>
      <c r="FS115" s="938"/>
      <c r="FU115" s="938"/>
      <c r="FW115" s="938"/>
      <c r="FY115" s="938"/>
      <c r="GA115" s="938"/>
      <c r="GC115" s="938"/>
      <c r="GE115" s="938"/>
      <c r="GG115" s="938"/>
      <c r="GI115" s="938"/>
      <c r="GK115" s="938"/>
      <c r="GM115" s="938"/>
      <c r="GO115" s="938"/>
      <c r="GQ115" s="938"/>
      <c r="GS115" s="938"/>
      <c r="GU115" s="938"/>
      <c r="GW115" s="938"/>
      <c r="GY115" s="938"/>
      <c r="HA115" s="938"/>
      <c r="HC115" s="938"/>
      <c r="HE115" s="938"/>
      <c r="HG115" s="938"/>
      <c r="HI115" s="938"/>
      <c r="HK115" s="938"/>
      <c r="HM115" s="938"/>
      <c r="HO115" s="938"/>
      <c r="HQ115" s="938"/>
      <c r="HS115" s="938"/>
      <c r="HU115" s="938"/>
      <c r="HW115" s="938"/>
      <c r="HY115" s="938"/>
      <c r="IA115" s="938"/>
      <c r="IC115" s="938"/>
      <c r="IE115" s="938"/>
      <c r="IG115" s="938"/>
      <c r="II115" s="938"/>
      <c r="IK115" s="938"/>
      <c r="IM115" s="938"/>
      <c r="IO115" s="938"/>
      <c r="IQ115" s="938"/>
      <c r="IS115" s="938"/>
      <c r="IT115" s="932"/>
      <c r="IU115" s="938"/>
      <c r="IW115" s="939"/>
      <c r="IX115" s="938"/>
      <c r="IY115" s="938"/>
      <c r="IZ115" s="938"/>
      <c r="JB115" s="940"/>
      <c r="JC115" s="940"/>
      <c r="JD115" s="940"/>
      <c r="JE115" s="940"/>
      <c r="JF115" s="940"/>
      <c r="JG115" s="940"/>
      <c r="JH115" s="940"/>
      <c r="JI115" s="940"/>
      <c r="JJ115" s="940"/>
      <c r="JK115" s="940"/>
      <c r="JL115" s="940"/>
      <c r="JM115" s="940"/>
      <c r="JN115" s="940"/>
      <c r="JO115" s="940"/>
      <c r="JP115" s="940"/>
      <c r="JQ115" s="940"/>
      <c r="JR115" s="940"/>
      <c r="JS115" s="940"/>
      <c r="JT115" s="940"/>
      <c r="JU115" s="940"/>
      <c r="JV115" s="940"/>
      <c r="JW115" s="940"/>
      <c r="JX115" s="940"/>
      <c r="JY115" s="940"/>
      <c r="JZ115" s="940"/>
      <c r="KA115" s="940"/>
      <c r="KB115" s="940"/>
      <c r="KC115" s="940"/>
      <c r="KD115" s="940"/>
      <c r="KE115" s="940"/>
      <c r="KF115" s="940"/>
      <c r="KG115" s="940"/>
      <c r="KH115" s="940"/>
      <c r="KI115" s="940"/>
      <c r="KJ115" s="940"/>
      <c r="KK115" s="940"/>
      <c r="KL115" s="940"/>
      <c r="KM115" s="940"/>
      <c r="KN115" s="940"/>
      <c r="KO115" s="940"/>
      <c r="KP115" s="940"/>
      <c r="KQ115" s="940"/>
      <c r="KR115" s="940"/>
      <c r="KS115" s="940"/>
      <c r="KT115" s="940"/>
      <c r="KU115" s="940"/>
      <c r="KV115" s="940"/>
      <c r="KW115" s="940"/>
      <c r="KX115" s="940"/>
      <c r="KY115" s="940"/>
      <c r="KZ115" s="940"/>
      <c r="LA115" s="940"/>
      <c r="LB115" s="940"/>
      <c r="LC115" s="940"/>
      <c r="LD115" s="940"/>
      <c r="LE115" s="940"/>
      <c r="LF115" s="940"/>
      <c r="LG115" s="940"/>
      <c r="LH115" s="940"/>
    </row>
    <row r="116" spans="1:320" s="462" customFormat="1" ht="15" hidden="1" customHeight="1" outlineLevel="1" x14ac:dyDescent="0.25">
      <c r="A116" s="1205">
        <v>41269</v>
      </c>
      <c r="B116" s="1205"/>
      <c r="C116" s="463"/>
      <c r="D116" s="463"/>
      <c r="H116" s="932"/>
      <c r="I116" s="37"/>
      <c r="J116" s="932"/>
      <c r="K116" s="37"/>
      <c r="L116" s="932"/>
      <c r="M116" s="37"/>
      <c r="N116" s="932"/>
      <c r="O116" s="37"/>
      <c r="P116" s="932"/>
      <c r="Q116" s="37"/>
      <c r="R116" s="932"/>
      <c r="S116" s="37"/>
      <c r="T116" s="37"/>
      <c r="U116" s="37"/>
      <c r="V116" s="932"/>
      <c r="W116" s="37"/>
      <c r="X116" s="932"/>
      <c r="Y116" s="37"/>
      <c r="Z116" s="932"/>
      <c r="AA116" s="37"/>
      <c r="AB116" s="932"/>
      <c r="AC116" s="37"/>
      <c r="AD116" s="932"/>
      <c r="AE116" s="37"/>
      <c r="AF116" s="932"/>
      <c r="AG116" s="37"/>
      <c r="AH116" s="37"/>
      <c r="AI116" s="37"/>
      <c r="AJ116" s="932"/>
      <c r="AK116" s="37"/>
      <c r="AL116" s="932"/>
      <c r="AM116" s="37"/>
      <c r="AN116" s="932"/>
      <c r="AO116" s="37"/>
      <c r="AP116" s="932"/>
      <c r="AQ116" s="37"/>
      <c r="AR116" s="37"/>
      <c r="AS116" s="37"/>
      <c r="AT116" s="37"/>
      <c r="AU116" s="37"/>
      <c r="AV116" s="37"/>
      <c r="AW116" s="37"/>
      <c r="AX116" s="932"/>
      <c r="AY116" s="37"/>
      <c r="AZ116" s="932"/>
      <c r="BA116" s="37"/>
      <c r="BB116" s="932"/>
      <c r="BC116" s="37"/>
      <c r="BD116" s="932"/>
      <c r="BE116" s="37"/>
      <c r="BF116" s="932"/>
      <c r="BG116" s="37"/>
      <c r="BH116" s="37"/>
      <c r="BI116" s="37"/>
      <c r="BJ116" s="37"/>
      <c r="BK116" s="37"/>
      <c r="BL116" s="932"/>
      <c r="BM116" s="37"/>
      <c r="BN116" s="932"/>
      <c r="BO116" s="37"/>
      <c r="BP116" s="932"/>
      <c r="BQ116" s="37"/>
      <c r="BR116" s="932"/>
      <c r="BS116" s="37"/>
      <c r="BT116" s="932"/>
      <c r="BU116" s="932"/>
      <c r="BV116" s="932"/>
      <c r="BW116" s="932"/>
      <c r="BX116" s="37"/>
      <c r="BY116" s="37"/>
      <c r="BZ116" s="932"/>
      <c r="CA116" s="37"/>
      <c r="CB116" s="932"/>
      <c r="CC116" s="37"/>
      <c r="CD116" s="932"/>
      <c r="CE116" s="37"/>
      <c r="CF116" s="932"/>
      <c r="CG116" s="37"/>
      <c r="CH116" s="932"/>
      <c r="CI116" s="932"/>
      <c r="CJ116" s="932"/>
      <c r="CK116" s="932"/>
      <c r="CL116" s="37"/>
      <c r="CM116" s="37"/>
      <c r="CN116" s="932"/>
      <c r="CO116" s="37"/>
      <c r="CP116" s="932"/>
      <c r="CQ116" s="37"/>
      <c r="CR116" s="932"/>
      <c r="CS116" s="37"/>
      <c r="CT116" s="932"/>
      <c r="CU116" s="37"/>
      <c r="CV116" s="932"/>
      <c r="CW116" s="932"/>
      <c r="CX116" s="932"/>
      <c r="CY116" s="932"/>
      <c r="CZ116" s="37"/>
      <c r="DA116" s="37"/>
      <c r="DB116" s="932"/>
      <c r="DC116" s="37"/>
      <c r="DD116" s="932"/>
      <c r="DE116" s="37"/>
      <c r="DF116" s="932"/>
      <c r="DG116" s="37"/>
      <c r="DH116" s="932"/>
      <c r="DI116" s="37"/>
      <c r="DJ116" s="932"/>
      <c r="DK116" s="932"/>
      <c r="DL116" s="932"/>
      <c r="DM116" s="932"/>
      <c r="DN116" s="37"/>
      <c r="DO116" s="37"/>
      <c r="DP116" s="932"/>
      <c r="DQ116" s="37"/>
      <c r="DR116" s="932"/>
      <c r="DS116" s="37"/>
      <c r="DT116" s="932"/>
      <c r="DU116" s="37"/>
      <c r="DV116" s="932"/>
      <c r="DW116" s="37"/>
      <c r="DX116" s="932"/>
      <c r="DY116" s="932"/>
      <c r="DZ116" s="932"/>
      <c r="EA116" s="932"/>
      <c r="EB116" s="37"/>
      <c r="EC116" s="37"/>
      <c r="EE116" s="937"/>
      <c r="EG116" s="938"/>
      <c r="EI116" s="938"/>
      <c r="EK116" s="938"/>
      <c r="EM116" s="938"/>
      <c r="EO116" s="938"/>
      <c r="EQ116" s="938"/>
      <c r="ES116" s="938"/>
      <c r="EU116" s="938"/>
      <c r="EW116" s="938"/>
      <c r="EY116" s="938"/>
      <c r="FA116" s="938"/>
      <c r="FC116" s="938"/>
      <c r="FE116" s="938"/>
      <c r="FG116" s="938"/>
      <c r="FI116" s="938"/>
      <c r="FK116" s="938"/>
      <c r="FM116" s="938"/>
      <c r="FO116" s="938"/>
      <c r="FQ116" s="938"/>
      <c r="FS116" s="938"/>
      <c r="FU116" s="938"/>
      <c r="FW116" s="938"/>
      <c r="FY116" s="938"/>
      <c r="GA116" s="938"/>
      <c r="GC116" s="938"/>
      <c r="GE116" s="938"/>
      <c r="GG116" s="938"/>
      <c r="GI116" s="938"/>
      <c r="GK116" s="938"/>
      <c r="GM116" s="938"/>
      <c r="GO116" s="938"/>
      <c r="GQ116" s="938"/>
      <c r="GS116" s="938"/>
      <c r="GU116" s="938"/>
      <c r="GW116" s="938"/>
      <c r="GY116" s="938"/>
      <c r="HA116" s="938"/>
      <c r="HC116" s="938"/>
      <c r="HE116" s="938"/>
      <c r="HG116" s="938"/>
      <c r="HI116" s="938"/>
      <c r="HK116" s="938"/>
      <c r="HM116" s="938"/>
      <c r="HO116" s="938"/>
      <c r="HQ116" s="938"/>
      <c r="HS116" s="938"/>
      <c r="HU116" s="938"/>
      <c r="HW116" s="938"/>
      <c r="HY116" s="938"/>
      <c r="IA116" s="938"/>
      <c r="IC116" s="938"/>
      <c r="IE116" s="938"/>
      <c r="IG116" s="938"/>
      <c r="II116" s="938"/>
      <c r="IK116" s="938"/>
      <c r="IM116" s="938"/>
      <c r="IO116" s="938"/>
      <c r="IQ116" s="938"/>
      <c r="IS116" s="938"/>
      <c r="IT116" s="932"/>
      <c r="IU116" s="938"/>
      <c r="IW116" s="939"/>
      <c r="IX116" s="938"/>
      <c r="IY116" s="938"/>
      <c r="IZ116" s="938"/>
      <c r="JB116" s="940"/>
      <c r="JC116" s="940"/>
      <c r="JD116" s="940"/>
      <c r="JE116" s="940"/>
      <c r="JF116" s="940"/>
      <c r="JG116" s="940"/>
      <c r="JH116" s="940"/>
      <c r="JI116" s="940"/>
      <c r="JJ116" s="940"/>
      <c r="JK116" s="940"/>
      <c r="JL116" s="940"/>
      <c r="JM116" s="940"/>
      <c r="JN116" s="940"/>
      <c r="JO116" s="940"/>
      <c r="JP116" s="940"/>
      <c r="JQ116" s="940"/>
      <c r="JR116" s="940"/>
      <c r="JS116" s="940"/>
      <c r="JT116" s="940"/>
      <c r="JU116" s="940"/>
      <c r="JV116" s="940"/>
      <c r="JW116" s="940"/>
      <c r="JX116" s="940"/>
      <c r="JY116" s="940"/>
      <c r="JZ116" s="940"/>
      <c r="KA116" s="940"/>
      <c r="KB116" s="940"/>
      <c r="KC116" s="940"/>
      <c r="KD116" s="940"/>
      <c r="KE116" s="940"/>
      <c r="KF116" s="940"/>
      <c r="KG116" s="940"/>
      <c r="KH116" s="940"/>
      <c r="KI116" s="940"/>
      <c r="KJ116" s="940"/>
      <c r="KK116" s="940"/>
      <c r="KL116" s="940"/>
      <c r="KM116" s="940"/>
      <c r="KN116" s="940"/>
      <c r="KO116" s="940"/>
      <c r="KP116" s="940"/>
      <c r="KQ116" s="940"/>
      <c r="KR116" s="940"/>
      <c r="KS116" s="940"/>
      <c r="KT116" s="940"/>
      <c r="KU116" s="940"/>
      <c r="KV116" s="940"/>
      <c r="KW116" s="940"/>
      <c r="KX116" s="940"/>
      <c r="KY116" s="940"/>
      <c r="KZ116" s="940"/>
      <c r="LA116" s="940"/>
      <c r="LB116" s="940"/>
      <c r="LC116" s="940"/>
      <c r="LD116" s="940"/>
      <c r="LE116" s="940"/>
      <c r="LF116" s="940"/>
      <c r="LG116" s="940"/>
      <c r="LH116" s="940"/>
    </row>
    <row r="117" spans="1:320" s="462" customFormat="1" ht="15" hidden="1" customHeight="1" outlineLevel="1" x14ac:dyDescent="0.25">
      <c r="A117" s="1205">
        <v>41275</v>
      </c>
      <c r="B117" s="1205"/>
      <c r="C117" s="463"/>
      <c r="D117" s="463"/>
      <c r="H117" s="932"/>
      <c r="I117" s="37"/>
      <c r="J117" s="932"/>
      <c r="K117" s="37"/>
      <c r="L117" s="932"/>
      <c r="M117" s="37"/>
      <c r="N117" s="932"/>
      <c r="O117" s="37"/>
      <c r="P117" s="932"/>
      <c r="Q117" s="37"/>
      <c r="R117" s="932"/>
      <c r="S117" s="37"/>
      <c r="T117" s="37"/>
      <c r="U117" s="37"/>
      <c r="V117" s="932"/>
      <c r="W117" s="37"/>
      <c r="X117" s="932"/>
      <c r="Y117" s="37"/>
      <c r="Z117" s="932"/>
      <c r="AA117" s="37"/>
      <c r="AB117" s="932"/>
      <c r="AC117" s="37"/>
      <c r="AD117" s="932"/>
      <c r="AE117" s="37"/>
      <c r="AF117" s="932"/>
      <c r="AG117" s="37"/>
      <c r="AH117" s="37"/>
      <c r="AI117" s="37"/>
      <c r="AJ117" s="932"/>
      <c r="AK117" s="37"/>
      <c r="AL117" s="932"/>
      <c r="AM117" s="37"/>
      <c r="AN117" s="932"/>
      <c r="AO117" s="37"/>
      <c r="AP117" s="932"/>
      <c r="AQ117" s="37"/>
      <c r="AR117" s="37"/>
      <c r="AS117" s="37"/>
      <c r="AT117" s="37"/>
      <c r="AU117" s="37"/>
      <c r="AV117" s="37"/>
      <c r="AW117" s="37"/>
      <c r="AX117" s="932"/>
      <c r="AY117" s="37"/>
      <c r="AZ117" s="932"/>
      <c r="BA117" s="37"/>
      <c r="BB117" s="932"/>
      <c r="BC117" s="37"/>
      <c r="BD117" s="932"/>
      <c r="BE117" s="37"/>
      <c r="BF117" s="932"/>
      <c r="BG117" s="37"/>
      <c r="BH117" s="37"/>
      <c r="BI117" s="37"/>
      <c r="BJ117" s="37"/>
      <c r="BK117" s="37"/>
      <c r="BL117" s="932"/>
      <c r="BM117" s="37"/>
      <c r="BN117" s="932"/>
      <c r="BO117" s="37"/>
      <c r="BP117" s="932"/>
      <c r="BQ117" s="37"/>
      <c r="BR117" s="932"/>
      <c r="BS117" s="37"/>
      <c r="BT117" s="932"/>
      <c r="BU117" s="932"/>
      <c r="BV117" s="932"/>
      <c r="BW117" s="932"/>
      <c r="BX117" s="37"/>
      <c r="BY117" s="37"/>
      <c r="BZ117" s="932"/>
      <c r="CA117" s="37"/>
      <c r="CB117" s="932"/>
      <c r="CC117" s="37"/>
      <c r="CD117" s="932"/>
      <c r="CE117" s="37"/>
      <c r="CF117" s="932"/>
      <c r="CG117" s="37"/>
      <c r="CH117" s="932"/>
      <c r="CI117" s="932"/>
      <c r="CJ117" s="932"/>
      <c r="CK117" s="932"/>
      <c r="CL117" s="37"/>
      <c r="CM117" s="37"/>
      <c r="CN117" s="932"/>
      <c r="CO117" s="37"/>
      <c r="CP117" s="932"/>
      <c r="CQ117" s="37"/>
      <c r="CR117" s="932"/>
      <c r="CS117" s="37"/>
      <c r="CT117" s="932"/>
      <c r="CU117" s="37"/>
      <c r="CV117" s="932"/>
      <c r="CW117" s="932"/>
      <c r="CX117" s="932"/>
      <c r="CY117" s="932"/>
      <c r="CZ117" s="37"/>
      <c r="DA117" s="37"/>
      <c r="DB117" s="932"/>
      <c r="DC117" s="37"/>
      <c r="DD117" s="932"/>
      <c r="DE117" s="37"/>
      <c r="DF117" s="932"/>
      <c r="DG117" s="37"/>
      <c r="DH117" s="932"/>
      <c r="DI117" s="37"/>
      <c r="DJ117" s="932"/>
      <c r="DK117" s="932"/>
      <c r="DL117" s="932"/>
      <c r="DM117" s="932"/>
      <c r="DN117" s="37"/>
      <c r="DO117" s="37"/>
      <c r="DP117" s="932"/>
      <c r="DQ117" s="37"/>
      <c r="DR117" s="932"/>
      <c r="DS117" s="37"/>
      <c r="DT117" s="932"/>
      <c r="DU117" s="37"/>
      <c r="DV117" s="932"/>
      <c r="DW117" s="37"/>
      <c r="DX117" s="932"/>
      <c r="DY117" s="932"/>
      <c r="DZ117" s="932"/>
      <c r="EA117" s="932"/>
      <c r="EB117" s="37"/>
      <c r="EC117" s="37"/>
      <c r="EE117" s="937"/>
      <c r="EG117" s="938"/>
      <c r="EI117" s="938"/>
      <c r="EK117" s="938"/>
      <c r="EM117" s="938"/>
      <c r="EO117" s="938"/>
      <c r="EQ117" s="938"/>
      <c r="ES117" s="938"/>
      <c r="EU117" s="938"/>
      <c r="EW117" s="938"/>
      <c r="EY117" s="938"/>
      <c r="FA117" s="938"/>
      <c r="FC117" s="938"/>
      <c r="FE117" s="938"/>
      <c r="FG117" s="938"/>
      <c r="FI117" s="938"/>
      <c r="FK117" s="938"/>
      <c r="FM117" s="938"/>
      <c r="FO117" s="938"/>
      <c r="FQ117" s="938"/>
      <c r="FS117" s="938"/>
      <c r="FU117" s="938"/>
      <c r="FW117" s="938"/>
      <c r="FY117" s="938"/>
      <c r="GA117" s="938"/>
      <c r="GC117" s="938"/>
      <c r="GE117" s="938"/>
      <c r="GG117" s="938"/>
      <c r="GI117" s="938"/>
      <c r="GK117" s="938"/>
      <c r="GM117" s="938"/>
      <c r="GO117" s="938"/>
      <c r="GQ117" s="938"/>
      <c r="GS117" s="938"/>
      <c r="GU117" s="938"/>
      <c r="GW117" s="938"/>
      <c r="GY117" s="938"/>
      <c r="HA117" s="938"/>
      <c r="HC117" s="938"/>
      <c r="HE117" s="938"/>
      <c r="HG117" s="938"/>
      <c r="HI117" s="938"/>
      <c r="HK117" s="938"/>
      <c r="HM117" s="938"/>
      <c r="HO117" s="938"/>
      <c r="HQ117" s="938"/>
      <c r="HS117" s="938"/>
      <c r="HU117" s="938"/>
      <c r="HW117" s="938"/>
      <c r="HY117" s="938"/>
      <c r="IA117" s="938"/>
      <c r="IC117" s="938"/>
      <c r="IE117" s="938"/>
      <c r="IG117" s="938"/>
      <c r="II117" s="938"/>
      <c r="IK117" s="938"/>
      <c r="IM117" s="938"/>
      <c r="IO117" s="938"/>
      <c r="IQ117" s="938"/>
      <c r="IS117" s="938"/>
      <c r="IT117" s="932"/>
      <c r="IU117" s="938"/>
      <c r="IW117" s="939"/>
      <c r="IX117" s="938"/>
      <c r="IY117" s="938"/>
      <c r="IZ117" s="938"/>
      <c r="JB117" s="940"/>
      <c r="JC117" s="940"/>
      <c r="JD117" s="940"/>
      <c r="JE117" s="940"/>
      <c r="JF117" s="940"/>
      <c r="JG117" s="940"/>
      <c r="JH117" s="940"/>
      <c r="JI117" s="940"/>
      <c r="JJ117" s="940"/>
      <c r="JK117" s="940"/>
      <c r="JL117" s="940"/>
      <c r="JM117" s="940"/>
      <c r="JN117" s="940"/>
      <c r="JO117" s="940"/>
      <c r="JP117" s="940"/>
      <c r="JQ117" s="940"/>
      <c r="JR117" s="940"/>
      <c r="JS117" s="940"/>
      <c r="JT117" s="940"/>
      <c r="JU117" s="940"/>
      <c r="JV117" s="940"/>
      <c r="JW117" s="940"/>
      <c r="JX117" s="940"/>
      <c r="JY117" s="940"/>
      <c r="JZ117" s="940"/>
      <c r="KA117" s="940"/>
      <c r="KB117" s="940"/>
      <c r="KC117" s="940"/>
      <c r="KD117" s="940"/>
      <c r="KE117" s="940"/>
      <c r="KF117" s="940"/>
      <c r="KG117" s="940"/>
      <c r="KH117" s="940"/>
      <c r="KI117" s="940"/>
      <c r="KJ117" s="940"/>
      <c r="KK117" s="940"/>
      <c r="KL117" s="940"/>
      <c r="KM117" s="940"/>
      <c r="KN117" s="940"/>
      <c r="KO117" s="940"/>
      <c r="KP117" s="940"/>
      <c r="KQ117" s="940"/>
      <c r="KR117" s="940"/>
      <c r="KS117" s="940"/>
      <c r="KT117" s="940"/>
      <c r="KU117" s="940"/>
      <c r="KV117" s="940"/>
      <c r="KW117" s="940"/>
      <c r="KX117" s="940"/>
      <c r="KY117" s="940"/>
      <c r="KZ117" s="940"/>
      <c r="LA117" s="940"/>
      <c r="LB117" s="940"/>
      <c r="LC117" s="940"/>
      <c r="LD117" s="940"/>
      <c r="LE117" s="940"/>
      <c r="LF117" s="940"/>
      <c r="LG117" s="940"/>
      <c r="LH117" s="940"/>
    </row>
    <row r="118" spans="1:320" s="462" customFormat="1" ht="15" hidden="1" customHeight="1" outlineLevel="1" x14ac:dyDescent="0.25">
      <c r="A118" s="1205">
        <v>41295</v>
      </c>
      <c r="B118" s="1205"/>
      <c r="C118" s="463"/>
      <c r="D118" s="463"/>
      <c r="H118" s="932"/>
      <c r="I118" s="37"/>
      <c r="J118" s="932"/>
      <c r="K118" s="37"/>
      <c r="L118" s="932"/>
      <c r="M118" s="37"/>
      <c r="N118" s="932"/>
      <c r="O118" s="37"/>
      <c r="P118" s="932"/>
      <c r="Q118" s="37"/>
      <c r="R118" s="932"/>
      <c r="S118" s="37"/>
      <c r="T118" s="37"/>
      <c r="U118" s="37"/>
      <c r="V118" s="932"/>
      <c r="W118" s="37"/>
      <c r="X118" s="932"/>
      <c r="Y118" s="37"/>
      <c r="Z118" s="932"/>
      <c r="AA118" s="37"/>
      <c r="AB118" s="932"/>
      <c r="AC118" s="37"/>
      <c r="AD118" s="932"/>
      <c r="AE118" s="37"/>
      <c r="AF118" s="932"/>
      <c r="AG118" s="37"/>
      <c r="AH118" s="37"/>
      <c r="AI118" s="37"/>
      <c r="AJ118" s="932"/>
      <c r="AK118" s="37"/>
      <c r="AL118" s="932"/>
      <c r="AM118" s="37"/>
      <c r="AN118" s="932"/>
      <c r="AO118" s="37"/>
      <c r="AP118" s="932"/>
      <c r="AQ118" s="37"/>
      <c r="AR118" s="37"/>
      <c r="AS118" s="37"/>
      <c r="AT118" s="37"/>
      <c r="AU118" s="37"/>
      <c r="AV118" s="37"/>
      <c r="AW118" s="37"/>
      <c r="AX118" s="932"/>
      <c r="AY118" s="37"/>
      <c r="AZ118" s="932"/>
      <c r="BA118" s="37"/>
      <c r="BB118" s="932"/>
      <c r="BC118" s="37"/>
      <c r="BD118" s="932"/>
      <c r="BE118" s="37"/>
      <c r="BF118" s="932"/>
      <c r="BG118" s="37"/>
      <c r="BH118" s="37"/>
      <c r="BI118" s="37"/>
      <c r="BJ118" s="37"/>
      <c r="BK118" s="37"/>
      <c r="BL118" s="932"/>
      <c r="BM118" s="37"/>
      <c r="BN118" s="932"/>
      <c r="BO118" s="37"/>
      <c r="BP118" s="932"/>
      <c r="BQ118" s="37"/>
      <c r="BR118" s="932"/>
      <c r="BS118" s="37"/>
      <c r="BT118" s="932"/>
      <c r="BU118" s="932"/>
      <c r="BV118" s="932"/>
      <c r="BW118" s="932"/>
      <c r="BX118" s="37"/>
      <c r="BY118" s="37"/>
      <c r="BZ118" s="932"/>
      <c r="CA118" s="37"/>
      <c r="CB118" s="932"/>
      <c r="CC118" s="37"/>
      <c r="CD118" s="932"/>
      <c r="CE118" s="37"/>
      <c r="CF118" s="932"/>
      <c r="CG118" s="37"/>
      <c r="CH118" s="932"/>
      <c r="CI118" s="932"/>
      <c r="CJ118" s="932"/>
      <c r="CK118" s="932"/>
      <c r="CL118" s="37"/>
      <c r="CM118" s="37"/>
      <c r="CN118" s="932"/>
      <c r="CO118" s="37"/>
      <c r="CP118" s="932"/>
      <c r="CQ118" s="37"/>
      <c r="CR118" s="932"/>
      <c r="CS118" s="37"/>
      <c r="CT118" s="932"/>
      <c r="CU118" s="37"/>
      <c r="CV118" s="932"/>
      <c r="CW118" s="932"/>
      <c r="CX118" s="932"/>
      <c r="CY118" s="932"/>
      <c r="CZ118" s="37"/>
      <c r="DA118" s="37"/>
      <c r="DB118" s="932"/>
      <c r="DC118" s="37"/>
      <c r="DD118" s="932"/>
      <c r="DE118" s="37"/>
      <c r="DF118" s="932"/>
      <c r="DG118" s="37"/>
      <c r="DH118" s="932"/>
      <c r="DI118" s="37"/>
      <c r="DJ118" s="932"/>
      <c r="DK118" s="932"/>
      <c r="DL118" s="932"/>
      <c r="DM118" s="932"/>
      <c r="DN118" s="37"/>
      <c r="DO118" s="37"/>
      <c r="DP118" s="932"/>
      <c r="DQ118" s="37"/>
      <c r="DR118" s="932"/>
      <c r="DS118" s="37"/>
      <c r="DT118" s="932"/>
      <c r="DU118" s="37"/>
      <c r="DV118" s="932"/>
      <c r="DW118" s="37"/>
      <c r="DX118" s="932"/>
      <c r="DY118" s="932"/>
      <c r="DZ118" s="932"/>
      <c r="EA118" s="932"/>
      <c r="EB118" s="37"/>
      <c r="EC118" s="37"/>
      <c r="EE118" s="937"/>
      <c r="EG118" s="938"/>
      <c r="EI118" s="938"/>
      <c r="EK118" s="938"/>
      <c r="EM118" s="938"/>
      <c r="EO118" s="938"/>
      <c r="EQ118" s="938"/>
      <c r="ES118" s="938"/>
      <c r="EU118" s="938"/>
      <c r="EW118" s="938"/>
      <c r="EY118" s="938"/>
      <c r="FA118" s="938"/>
      <c r="FC118" s="938"/>
      <c r="FE118" s="938"/>
      <c r="FG118" s="938"/>
      <c r="FI118" s="938"/>
      <c r="FK118" s="938"/>
      <c r="FM118" s="938"/>
      <c r="FO118" s="938"/>
      <c r="FQ118" s="938"/>
      <c r="FS118" s="938"/>
      <c r="FU118" s="938"/>
      <c r="FW118" s="938"/>
      <c r="FY118" s="938"/>
      <c r="GA118" s="938"/>
      <c r="GC118" s="938"/>
      <c r="GE118" s="938"/>
      <c r="GG118" s="938"/>
      <c r="GI118" s="938"/>
      <c r="GK118" s="938"/>
      <c r="GM118" s="938"/>
      <c r="GO118" s="938"/>
      <c r="GQ118" s="938"/>
      <c r="GS118" s="938"/>
      <c r="GU118" s="938"/>
      <c r="GW118" s="938"/>
      <c r="GY118" s="938"/>
      <c r="HA118" s="938"/>
      <c r="HC118" s="938"/>
      <c r="HE118" s="938"/>
      <c r="HG118" s="938"/>
      <c r="HI118" s="938"/>
      <c r="HK118" s="938"/>
      <c r="HM118" s="938"/>
      <c r="HO118" s="938"/>
      <c r="HQ118" s="938"/>
      <c r="HS118" s="938"/>
      <c r="HU118" s="938"/>
      <c r="HW118" s="938"/>
      <c r="HY118" s="938"/>
      <c r="IA118" s="938"/>
      <c r="IC118" s="938"/>
      <c r="IE118" s="938"/>
      <c r="IG118" s="938"/>
      <c r="II118" s="938"/>
      <c r="IK118" s="938"/>
      <c r="IM118" s="938"/>
      <c r="IO118" s="938"/>
      <c r="IQ118" s="938"/>
      <c r="IS118" s="938"/>
      <c r="IT118" s="932"/>
      <c r="IU118" s="938"/>
      <c r="IW118" s="939"/>
      <c r="IX118" s="938"/>
      <c r="IY118" s="938"/>
      <c r="IZ118" s="938"/>
      <c r="JB118" s="940"/>
      <c r="JC118" s="940"/>
      <c r="JD118" s="940"/>
      <c r="JE118" s="940"/>
      <c r="JF118" s="940"/>
      <c r="JG118" s="940"/>
      <c r="JH118" s="940"/>
      <c r="JI118" s="940"/>
      <c r="JJ118" s="940"/>
      <c r="JK118" s="940"/>
      <c r="JL118" s="940"/>
      <c r="JM118" s="940"/>
      <c r="JN118" s="940"/>
      <c r="JO118" s="940"/>
      <c r="JP118" s="940"/>
      <c r="JQ118" s="940"/>
      <c r="JR118" s="940"/>
      <c r="JS118" s="940"/>
      <c r="JT118" s="940"/>
      <c r="JU118" s="940"/>
      <c r="JV118" s="940"/>
      <c r="JW118" s="940"/>
      <c r="JX118" s="940"/>
      <c r="JY118" s="940"/>
      <c r="JZ118" s="940"/>
      <c r="KA118" s="940"/>
      <c r="KB118" s="940"/>
      <c r="KC118" s="940"/>
      <c r="KD118" s="940"/>
      <c r="KE118" s="940"/>
      <c r="KF118" s="940"/>
      <c r="KG118" s="940"/>
      <c r="KH118" s="940"/>
      <c r="KI118" s="940"/>
      <c r="KJ118" s="940"/>
      <c r="KK118" s="940"/>
      <c r="KL118" s="940"/>
      <c r="KM118" s="940"/>
      <c r="KN118" s="940"/>
      <c r="KO118" s="940"/>
      <c r="KP118" s="940"/>
      <c r="KQ118" s="940"/>
      <c r="KR118" s="940"/>
      <c r="KS118" s="940"/>
      <c r="KT118" s="940"/>
      <c r="KU118" s="940"/>
      <c r="KV118" s="940"/>
      <c r="KW118" s="940"/>
      <c r="KX118" s="940"/>
      <c r="KY118" s="940"/>
      <c r="KZ118" s="940"/>
      <c r="LA118" s="940"/>
      <c r="LB118" s="940"/>
      <c r="LC118" s="940"/>
      <c r="LD118" s="940"/>
      <c r="LE118" s="940"/>
      <c r="LF118" s="940"/>
      <c r="LG118" s="940"/>
      <c r="LH118" s="940"/>
    </row>
    <row r="119" spans="1:320" s="462" customFormat="1" ht="15" hidden="1" customHeight="1" outlineLevel="1" x14ac:dyDescent="0.25">
      <c r="A119" s="1205">
        <v>41362</v>
      </c>
      <c r="B119" s="1205"/>
      <c r="C119" s="463"/>
      <c r="D119" s="463"/>
      <c r="H119" s="932"/>
      <c r="I119" s="37"/>
      <c r="J119" s="932"/>
      <c r="K119" s="37"/>
      <c r="L119" s="932"/>
      <c r="M119" s="37"/>
      <c r="N119" s="932"/>
      <c r="O119" s="37"/>
      <c r="P119" s="932"/>
      <c r="Q119" s="37"/>
      <c r="R119" s="932"/>
      <c r="S119" s="37"/>
      <c r="T119" s="37"/>
      <c r="U119" s="37"/>
      <c r="V119" s="932"/>
      <c r="W119" s="37"/>
      <c r="X119" s="932"/>
      <c r="Y119" s="37"/>
      <c r="Z119" s="932"/>
      <c r="AA119" s="37"/>
      <c r="AB119" s="932"/>
      <c r="AC119" s="37"/>
      <c r="AD119" s="932"/>
      <c r="AE119" s="37"/>
      <c r="AF119" s="932"/>
      <c r="AG119" s="37"/>
      <c r="AH119" s="37"/>
      <c r="AI119" s="37"/>
      <c r="AJ119" s="932"/>
      <c r="AK119" s="37"/>
      <c r="AL119" s="932"/>
      <c r="AM119" s="37"/>
      <c r="AN119" s="932"/>
      <c r="AO119" s="37"/>
      <c r="AP119" s="932"/>
      <c r="AQ119" s="37"/>
      <c r="AR119" s="37"/>
      <c r="AS119" s="37"/>
      <c r="AT119" s="37"/>
      <c r="AU119" s="37"/>
      <c r="AV119" s="37"/>
      <c r="AW119" s="37"/>
      <c r="AX119" s="932"/>
      <c r="AY119" s="37"/>
      <c r="AZ119" s="932"/>
      <c r="BA119" s="37"/>
      <c r="BB119" s="932"/>
      <c r="BC119" s="37"/>
      <c r="BD119" s="932"/>
      <c r="BE119" s="37"/>
      <c r="BF119" s="932"/>
      <c r="BG119" s="37"/>
      <c r="BH119" s="37"/>
      <c r="BI119" s="37"/>
      <c r="BJ119" s="37"/>
      <c r="BK119" s="37"/>
      <c r="BL119" s="932"/>
      <c r="BM119" s="37"/>
      <c r="BN119" s="932"/>
      <c r="BO119" s="37"/>
      <c r="BP119" s="932"/>
      <c r="BQ119" s="37"/>
      <c r="BR119" s="932"/>
      <c r="BS119" s="37"/>
      <c r="BT119" s="932"/>
      <c r="BU119" s="932"/>
      <c r="BV119" s="932"/>
      <c r="BW119" s="932"/>
      <c r="BX119" s="37"/>
      <c r="BY119" s="37"/>
      <c r="BZ119" s="932"/>
      <c r="CA119" s="37"/>
      <c r="CB119" s="932"/>
      <c r="CC119" s="37"/>
      <c r="CD119" s="932"/>
      <c r="CE119" s="37"/>
      <c r="CF119" s="932"/>
      <c r="CG119" s="37"/>
      <c r="CH119" s="932"/>
      <c r="CI119" s="932"/>
      <c r="CJ119" s="932"/>
      <c r="CK119" s="932"/>
      <c r="CL119" s="37"/>
      <c r="CM119" s="37"/>
      <c r="CN119" s="932"/>
      <c r="CO119" s="37"/>
      <c r="CP119" s="932"/>
      <c r="CQ119" s="37"/>
      <c r="CR119" s="932"/>
      <c r="CS119" s="37"/>
      <c r="CT119" s="932"/>
      <c r="CU119" s="37"/>
      <c r="CV119" s="932"/>
      <c r="CW119" s="932"/>
      <c r="CX119" s="932"/>
      <c r="CY119" s="932"/>
      <c r="CZ119" s="37"/>
      <c r="DA119" s="37"/>
      <c r="DB119" s="932"/>
      <c r="DC119" s="37"/>
      <c r="DD119" s="932"/>
      <c r="DE119" s="37"/>
      <c r="DF119" s="932"/>
      <c r="DG119" s="37"/>
      <c r="DH119" s="932"/>
      <c r="DI119" s="37"/>
      <c r="DJ119" s="932"/>
      <c r="DK119" s="932"/>
      <c r="DL119" s="932"/>
      <c r="DM119" s="932"/>
      <c r="DN119" s="37"/>
      <c r="DO119" s="37"/>
      <c r="DP119" s="932"/>
      <c r="DQ119" s="37"/>
      <c r="DR119" s="932"/>
      <c r="DS119" s="37"/>
      <c r="DT119" s="932"/>
      <c r="DU119" s="37"/>
      <c r="DV119" s="932"/>
      <c r="DW119" s="37"/>
      <c r="DX119" s="932"/>
      <c r="DY119" s="932"/>
      <c r="DZ119" s="932"/>
      <c r="EA119" s="932"/>
      <c r="EB119" s="37"/>
      <c r="EC119" s="37"/>
      <c r="EE119" s="937"/>
      <c r="EG119" s="938"/>
      <c r="EI119" s="938"/>
      <c r="EK119" s="938"/>
      <c r="EM119" s="938"/>
      <c r="EO119" s="938"/>
      <c r="EQ119" s="938"/>
      <c r="ES119" s="938"/>
      <c r="EU119" s="938"/>
      <c r="EW119" s="938"/>
      <c r="EY119" s="938"/>
      <c r="FA119" s="938"/>
      <c r="FC119" s="938"/>
      <c r="FE119" s="938"/>
      <c r="FG119" s="938"/>
      <c r="FI119" s="938"/>
      <c r="FK119" s="938"/>
      <c r="FM119" s="938"/>
      <c r="FO119" s="938"/>
      <c r="FQ119" s="938"/>
      <c r="FS119" s="938"/>
      <c r="FU119" s="938"/>
      <c r="FW119" s="938"/>
      <c r="FY119" s="938"/>
      <c r="GA119" s="938"/>
      <c r="GC119" s="938"/>
      <c r="GE119" s="938"/>
      <c r="GG119" s="938"/>
      <c r="GI119" s="938"/>
      <c r="GK119" s="938"/>
      <c r="GM119" s="938"/>
      <c r="GO119" s="938"/>
      <c r="GQ119" s="938"/>
      <c r="GS119" s="938"/>
      <c r="GU119" s="938"/>
      <c r="GW119" s="938"/>
      <c r="GY119" s="938"/>
      <c r="HA119" s="938"/>
      <c r="HC119" s="938"/>
      <c r="HE119" s="938"/>
      <c r="HG119" s="938"/>
      <c r="HI119" s="938"/>
      <c r="HK119" s="938"/>
      <c r="HM119" s="938"/>
      <c r="HO119" s="938"/>
      <c r="HQ119" s="938"/>
      <c r="HS119" s="938"/>
      <c r="HU119" s="938"/>
      <c r="HW119" s="938"/>
      <c r="HY119" s="938"/>
      <c r="IA119" s="938"/>
      <c r="IC119" s="938"/>
      <c r="IE119" s="938"/>
      <c r="IG119" s="938"/>
      <c r="II119" s="938"/>
      <c r="IK119" s="938"/>
      <c r="IM119" s="938"/>
      <c r="IO119" s="938"/>
      <c r="IQ119" s="938"/>
      <c r="IS119" s="938"/>
      <c r="IT119" s="932"/>
      <c r="IU119" s="938"/>
      <c r="IW119" s="939"/>
      <c r="IX119" s="938"/>
      <c r="IY119" s="938"/>
      <c r="IZ119" s="938"/>
      <c r="JB119" s="940"/>
      <c r="JC119" s="940"/>
      <c r="JD119" s="940"/>
      <c r="JE119" s="940"/>
      <c r="JF119" s="940"/>
      <c r="JG119" s="940"/>
      <c r="JH119" s="940"/>
      <c r="JI119" s="940"/>
      <c r="JJ119" s="940"/>
      <c r="JK119" s="940"/>
      <c r="JL119" s="940"/>
      <c r="JM119" s="940"/>
      <c r="JN119" s="940"/>
      <c r="JO119" s="940"/>
      <c r="JP119" s="940"/>
      <c r="JQ119" s="940"/>
      <c r="JR119" s="940"/>
      <c r="JS119" s="940"/>
      <c r="JT119" s="940"/>
      <c r="JU119" s="940"/>
      <c r="JV119" s="940"/>
      <c r="JW119" s="940"/>
      <c r="JX119" s="940"/>
      <c r="JY119" s="940"/>
      <c r="JZ119" s="940"/>
      <c r="KA119" s="940"/>
      <c r="KB119" s="940"/>
      <c r="KC119" s="940"/>
      <c r="KD119" s="940"/>
      <c r="KE119" s="940"/>
      <c r="KF119" s="940"/>
      <c r="KG119" s="940"/>
      <c r="KH119" s="940"/>
      <c r="KI119" s="940"/>
      <c r="KJ119" s="940"/>
      <c r="KK119" s="940"/>
      <c r="KL119" s="940"/>
      <c r="KM119" s="940"/>
      <c r="KN119" s="940"/>
      <c r="KO119" s="940"/>
      <c r="KP119" s="940"/>
      <c r="KQ119" s="940"/>
      <c r="KR119" s="940"/>
      <c r="KS119" s="940"/>
      <c r="KT119" s="940"/>
      <c r="KU119" s="940"/>
      <c r="KV119" s="940"/>
      <c r="KW119" s="940"/>
      <c r="KX119" s="940"/>
      <c r="KY119" s="940"/>
      <c r="KZ119" s="940"/>
      <c r="LA119" s="940"/>
      <c r="LB119" s="940"/>
      <c r="LC119" s="940"/>
      <c r="LD119" s="940"/>
      <c r="LE119" s="940"/>
      <c r="LF119" s="940"/>
      <c r="LG119" s="940"/>
      <c r="LH119" s="940"/>
    </row>
    <row r="120" spans="1:320" s="462" customFormat="1" ht="15" hidden="1" customHeight="1" outlineLevel="1" x14ac:dyDescent="0.25">
      <c r="A120" s="1214">
        <v>41421</v>
      </c>
      <c r="B120" s="1205"/>
      <c r="C120" s="463"/>
      <c r="D120" s="463"/>
      <c r="H120" s="932"/>
      <c r="I120" s="37"/>
      <c r="J120" s="932"/>
      <c r="K120" s="37"/>
      <c r="L120" s="932"/>
      <c r="M120" s="37"/>
      <c r="N120" s="932"/>
      <c r="O120" s="37"/>
      <c r="P120" s="932"/>
      <c r="Q120" s="37"/>
      <c r="R120" s="932"/>
      <c r="S120" s="37"/>
      <c r="T120" s="37"/>
      <c r="U120" s="37"/>
      <c r="V120" s="932"/>
      <c r="W120" s="37"/>
      <c r="X120" s="932"/>
      <c r="Y120" s="37"/>
      <c r="Z120" s="932"/>
      <c r="AA120" s="37"/>
      <c r="AB120" s="932"/>
      <c r="AC120" s="37"/>
      <c r="AD120" s="932"/>
      <c r="AE120" s="37"/>
      <c r="AF120" s="932"/>
      <c r="AG120" s="37"/>
      <c r="AH120" s="37"/>
      <c r="AI120" s="37"/>
      <c r="AJ120" s="932"/>
      <c r="AK120" s="37"/>
      <c r="AL120" s="932"/>
      <c r="AM120" s="37"/>
      <c r="AN120" s="932"/>
      <c r="AO120" s="37"/>
      <c r="AP120" s="932"/>
      <c r="AQ120" s="37"/>
      <c r="AR120" s="37"/>
      <c r="AS120" s="37"/>
      <c r="AT120" s="37"/>
      <c r="AU120" s="37"/>
      <c r="AV120" s="37"/>
      <c r="AW120" s="37"/>
      <c r="AX120" s="932"/>
      <c r="AY120" s="37"/>
      <c r="AZ120" s="932"/>
      <c r="BA120" s="37"/>
      <c r="BB120" s="932"/>
      <c r="BC120" s="37"/>
      <c r="BD120" s="932"/>
      <c r="BE120" s="37"/>
      <c r="BF120" s="932"/>
      <c r="BG120" s="37"/>
      <c r="BH120" s="37"/>
      <c r="BI120" s="37"/>
      <c r="BJ120" s="37"/>
      <c r="BK120" s="37"/>
      <c r="BL120" s="932"/>
      <c r="BM120" s="37"/>
      <c r="BN120" s="932"/>
      <c r="BO120" s="37"/>
      <c r="BP120" s="932"/>
      <c r="BQ120" s="37"/>
      <c r="BR120" s="932"/>
      <c r="BS120" s="37"/>
      <c r="BT120" s="932"/>
      <c r="BU120" s="932"/>
      <c r="BV120" s="932"/>
      <c r="BW120" s="932"/>
      <c r="BX120" s="37"/>
      <c r="BY120" s="37"/>
      <c r="BZ120" s="932"/>
      <c r="CA120" s="37"/>
      <c r="CB120" s="932"/>
      <c r="CC120" s="37"/>
      <c r="CD120" s="932"/>
      <c r="CE120" s="37"/>
      <c r="CF120" s="932"/>
      <c r="CG120" s="37"/>
      <c r="CH120" s="932"/>
      <c r="CI120" s="932"/>
      <c r="CJ120" s="932"/>
      <c r="CK120" s="932"/>
      <c r="CL120" s="37"/>
      <c r="CM120" s="37"/>
      <c r="CN120" s="932"/>
      <c r="CO120" s="37"/>
      <c r="CP120" s="932"/>
      <c r="CQ120" s="37"/>
      <c r="CR120" s="932"/>
      <c r="CS120" s="37"/>
      <c r="CT120" s="932"/>
      <c r="CU120" s="37"/>
      <c r="CV120" s="932"/>
      <c r="CW120" s="932"/>
      <c r="CX120" s="932"/>
      <c r="CY120" s="932"/>
      <c r="CZ120" s="37"/>
      <c r="DA120" s="37"/>
      <c r="DB120" s="932"/>
      <c r="DC120" s="37"/>
      <c r="DD120" s="932"/>
      <c r="DE120" s="37"/>
      <c r="DF120" s="932"/>
      <c r="DG120" s="37"/>
      <c r="DH120" s="932"/>
      <c r="DI120" s="37"/>
      <c r="DJ120" s="932"/>
      <c r="DK120" s="932"/>
      <c r="DL120" s="932"/>
      <c r="DM120" s="932"/>
      <c r="DN120" s="37"/>
      <c r="DO120" s="37"/>
      <c r="DP120" s="932"/>
      <c r="DQ120" s="37"/>
      <c r="DR120" s="932"/>
      <c r="DS120" s="37"/>
      <c r="DT120" s="932"/>
      <c r="DU120" s="37"/>
      <c r="DV120" s="932"/>
      <c r="DW120" s="37"/>
      <c r="DX120" s="932"/>
      <c r="DY120" s="932"/>
      <c r="DZ120" s="932"/>
      <c r="EA120" s="932"/>
      <c r="EB120" s="37"/>
      <c r="EC120" s="37"/>
      <c r="EE120" s="937"/>
      <c r="EG120" s="938"/>
      <c r="EI120" s="938"/>
      <c r="EK120" s="938"/>
      <c r="EM120" s="938"/>
      <c r="EO120" s="938"/>
      <c r="EQ120" s="938"/>
      <c r="ES120" s="938"/>
      <c r="EU120" s="938"/>
      <c r="EW120" s="938"/>
      <c r="EY120" s="938"/>
      <c r="FA120" s="938"/>
      <c r="FC120" s="938"/>
      <c r="FE120" s="938"/>
      <c r="FG120" s="938"/>
      <c r="FI120" s="938"/>
      <c r="FK120" s="938"/>
      <c r="FM120" s="938"/>
      <c r="FO120" s="938"/>
      <c r="FQ120" s="938"/>
      <c r="FS120" s="938"/>
      <c r="FU120" s="938"/>
      <c r="FW120" s="938"/>
      <c r="FY120" s="938"/>
      <c r="GA120" s="938"/>
      <c r="GC120" s="938"/>
      <c r="GE120" s="938"/>
      <c r="GG120" s="938"/>
      <c r="GI120" s="938"/>
      <c r="GK120" s="938"/>
      <c r="GM120" s="938"/>
      <c r="GO120" s="938"/>
      <c r="GQ120" s="938"/>
      <c r="GS120" s="938"/>
      <c r="GU120" s="938"/>
      <c r="GW120" s="938"/>
      <c r="GY120" s="938"/>
      <c r="HA120" s="938"/>
      <c r="HC120" s="938"/>
      <c r="HE120" s="938"/>
      <c r="HG120" s="938"/>
      <c r="HI120" s="938"/>
      <c r="HK120" s="938"/>
      <c r="HM120" s="938"/>
      <c r="HO120" s="938"/>
      <c r="HQ120" s="938"/>
      <c r="HS120" s="938"/>
      <c r="HU120" s="938"/>
      <c r="HW120" s="938"/>
      <c r="HY120" s="938"/>
      <c r="IA120" s="938"/>
      <c r="IC120" s="938"/>
      <c r="IE120" s="938"/>
      <c r="IG120" s="938"/>
      <c r="II120" s="938"/>
      <c r="IK120" s="938"/>
      <c r="IM120" s="938"/>
      <c r="IO120" s="938"/>
      <c r="IQ120" s="938"/>
      <c r="IS120" s="938"/>
      <c r="IT120" s="932"/>
      <c r="IU120" s="938"/>
      <c r="IW120" s="939"/>
      <c r="IX120" s="938"/>
      <c r="IY120" s="938"/>
      <c r="IZ120" s="938"/>
      <c r="JB120" s="940"/>
      <c r="JC120" s="940"/>
      <c r="JD120" s="940"/>
      <c r="JE120" s="940"/>
      <c r="JF120" s="940"/>
      <c r="JG120" s="940"/>
      <c r="JH120" s="940"/>
      <c r="JI120" s="940"/>
      <c r="JJ120" s="940"/>
      <c r="JK120" s="940"/>
      <c r="JL120" s="940"/>
      <c r="JM120" s="940"/>
      <c r="JN120" s="940"/>
      <c r="JO120" s="940"/>
      <c r="JP120" s="940"/>
      <c r="JQ120" s="940"/>
      <c r="JR120" s="940"/>
      <c r="JS120" s="940"/>
      <c r="JT120" s="940"/>
      <c r="JU120" s="940"/>
      <c r="JV120" s="940"/>
      <c r="JW120" s="940"/>
      <c r="JX120" s="940"/>
      <c r="JY120" s="940"/>
      <c r="JZ120" s="940"/>
      <c r="KA120" s="940"/>
      <c r="KB120" s="940"/>
      <c r="KC120" s="940"/>
      <c r="KD120" s="940"/>
      <c r="KE120" s="940"/>
      <c r="KF120" s="940"/>
      <c r="KG120" s="940"/>
      <c r="KH120" s="940"/>
      <c r="KI120" s="940"/>
      <c r="KJ120" s="940"/>
      <c r="KK120" s="940"/>
      <c r="KL120" s="940"/>
      <c r="KM120" s="940"/>
      <c r="KN120" s="940"/>
      <c r="KO120" s="940"/>
      <c r="KP120" s="940"/>
      <c r="KQ120" s="940"/>
      <c r="KR120" s="940"/>
      <c r="KS120" s="940"/>
      <c r="KT120" s="940"/>
      <c r="KU120" s="940"/>
      <c r="KV120" s="940"/>
      <c r="KW120" s="940"/>
      <c r="KX120" s="940"/>
      <c r="KY120" s="940"/>
      <c r="KZ120" s="940"/>
      <c r="LA120" s="940"/>
      <c r="LB120" s="940"/>
      <c r="LC120" s="940"/>
      <c r="LD120" s="940"/>
      <c r="LE120" s="940"/>
      <c r="LF120" s="940"/>
      <c r="LG120" s="940"/>
      <c r="LH120" s="940"/>
    </row>
    <row r="121" spans="1:320" s="462" customFormat="1" ht="15" hidden="1" customHeight="1" outlineLevel="1" x14ac:dyDescent="0.25">
      <c r="A121" s="1205">
        <v>41459</v>
      </c>
      <c r="B121" s="1205"/>
      <c r="C121" s="463"/>
      <c r="D121" s="463"/>
      <c r="H121" s="932"/>
      <c r="I121" s="37"/>
      <c r="J121" s="932"/>
      <c r="K121" s="37"/>
      <c r="L121" s="932"/>
      <c r="M121" s="37"/>
      <c r="N121" s="932"/>
      <c r="O121" s="37"/>
      <c r="P121" s="932"/>
      <c r="Q121" s="37"/>
      <c r="R121" s="932"/>
      <c r="S121" s="37"/>
      <c r="T121" s="37"/>
      <c r="U121" s="37"/>
      <c r="V121" s="932"/>
      <c r="W121" s="37"/>
      <c r="X121" s="932"/>
      <c r="Y121" s="37"/>
      <c r="Z121" s="932"/>
      <c r="AA121" s="37"/>
      <c r="AB121" s="932"/>
      <c r="AC121" s="37"/>
      <c r="AD121" s="932"/>
      <c r="AE121" s="37"/>
      <c r="AF121" s="932"/>
      <c r="AG121" s="37"/>
      <c r="AH121" s="37"/>
      <c r="AI121" s="37"/>
      <c r="AJ121" s="932"/>
      <c r="AK121" s="37"/>
      <c r="AL121" s="932"/>
      <c r="AM121" s="37"/>
      <c r="AN121" s="932"/>
      <c r="AO121" s="37"/>
      <c r="AP121" s="932"/>
      <c r="AQ121" s="37"/>
      <c r="AR121" s="37"/>
      <c r="AS121" s="37"/>
      <c r="AT121" s="37"/>
      <c r="AU121" s="37"/>
      <c r="AV121" s="37"/>
      <c r="AW121" s="37"/>
      <c r="AX121" s="932"/>
      <c r="AY121" s="37"/>
      <c r="AZ121" s="932"/>
      <c r="BA121" s="37"/>
      <c r="BB121" s="932"/>
      <c r="BC121" s="37"/>
      <c r="BD121" s="932"/>
      <c r="BE121" s="37"/>
      <c r="BF121" s="932"/>
      <c r="BG121" s="37"/>
      <c r="BH121" s="37"/>
      <c r="BI121" s="37"/>
      <c r="BJ121" s="37"/>
      <c r="BK121" s="37"/>
      <c r="BL121" s="932"/>
      <c r="BM121" s="37"/>
      <c r="BN121" s="932"/>
      <c r="BO121" s="37"/>
      <c r="BP121" s="932"/>
      <c r="BQ121" s="37"/>
      <c r="BR121" s="932"/>
      <c r="BS121" s="37"/>
      <c r="BT121" s="932"/>
      <c r="BU121" s="932"/>
      <c r="BV121" s="932"/>
      <c r="BW121" s="932"/>
      <c r="BX121" s="37"/>
      <c r="BY121" s="37"/>
      <c r="BZ121" s="932"/>
      <c r="CA121" s="37"/>
      <c r="CB121" s="932"/>
      <c r="CC121" s="37"/>
      <c r="CD121" s="932"/>
      <c r="CE121" s="37"/>
      <c r="CF121" s="932"/>
      <c r="CG121" s="37"/>
      <c r="CH121" s="932"/>
      <c r="CI121" s="932"/>
      <c r="CJ121" s="932"/>
      <c r="CK121" s="932"/>
      <c r="CL121" s="37"/>
      <c r="CM121" s="37"/>
      <c r="CN121" s="932"/>
      <c r="CO121" s="37"/>
      <c r="CP121" s="932"/>
      <c r="CQ121" s="37"/>
      <c r="CR121" s="932"/>
      <c r="CS121" s="37"/>
      <c r="CT121" s="932"/>
      <c r="CU121" s="37"/>
      <c r="CV121" s="932"/>
      <c r="CW121" s="932"/>
      <c r="CX121" s="932"/>
      <c r="CY121" s="932"/>
      <c r="CZ121" s="37"/>
      <c r="DA121" s="37"/>
      <c r="DB121" s="932"/>
      <c r="DC121" s="37"/>
      <c r="DD121" s="932"/>
      <c r="DE121" s="37"/>
      <c r="DF121" s="932"/>
      <c r="DG121" s="37"/>
      <c r="DH121" s="932"/>
      <c r="DI121" s="37"/>
      <c r="DJ121" s="932"/>
      <c r="DK121" s="932"/>
      <c r="DL121" s="932"/>
      <c r="DM121" s="932"/>
      <c r="DN121" s="37"/>
      <c r="DO121" s="37"/>
      <c r="DP121" s="932"/>
      <c r="DQ121" s="37"/>
      <c r="DR121" s="932"/>
      <c r="DS121" s="37"/>
      <c r="DT121" s="932"/>
      <c r="DU121" s="37"/>
      <c r="DV121" s="932"/>
      <c r="DW121" s="37"/>
      <c r="DX121" s="932"/>
      <c r="DY121" s="932"/>
      <c r="DZ121" s="932"/>
      <c r="EA121" s="932"/>
      <c r="EB121" s="37"/>
      <c r="EC121" s="37"/>
      <c r="EE121" s="937"/>
      <c r="EG121" s="938"/>
      <c r="EI121" s="938"/>
      <c r="EK121" s="938"/>
      <c r="EM121" s="938"/>
      <c r="EO121" s="938"/>
      <c r="EQ121" s="938"/>
      <c r="ES121" s="938"/>
      <c r="EU121" s="938"/>
      <c r="EW121" s="938"/>
      <c r="EY121" s="938"/>
      <c r="FA121" s="938"/>
      <c r="FC121" s="938"/>
      <c r="FE121" s="938"/>
      <c r="FG121" s="938"/>
      <c r="FI121" s="938"/>
      <c r="FK121" s="938"/>
      <c r="FM121" s="938"/>
      <c r="FO121" s="938"/>
      <c r="FQ121" s="938"/>
      <c r="FS121" s="938"/>
      <c r="FU121" s="938"/>
      <c r="FW121" s="938"/>
      <c r="FY121" s="938"/>
      <c r="GA121" s="938"/>
      <c r="GC121" s="938"/>
      <c r="GE121" s="938"/>
      <c r="GG121" s="938"/>
      <c r="GI121" s="938"/>
      <c r="GK121" s="938"/>
      <c r="GM121" s="938"/>
      <c r="GO121" s="938"/>
      <c r="GQ121" s="938"/>
      <c r="GS121" s="938"/>
      <c r="GU121" s="938"/>
      <c r="GW121" s="938"/>
      <c r="GY121" s="938"/>
      <c r="HA121" s="938"/>
      <c r="HC121" s="938"/>
      <c r="HE121" s="938"/>
      <c r="HG121" s="938"/>
      <c r="HI121" s="938"/>
      <c r="HK121" s="938"/>
      <c r="HM121" s="938"/>
      <c r="HO121" s="938"/>
      <c r="HQ121" s="938"/>
      <c r="HS121" s="938"/>
      <c r="HU121" s="938"/>
      <c r="HW121" s="938"/>
      <c r="HY121" s="938"/>
      <c r="IA121" s="938"/>
      <c r="IC121" s="938"/>
      <c r="IE121" s="938"/>
      <c r="IG121" s="938"/>
      <c r="II121" s="938"/>
      <c r="IK121" s="938"/>
      <c r="IM121" s="938"/>
      <c r="IO121" s="938"/>
      <c r="IQ121" s="938"/>
      <c r="IS121" s="938"/>
      <c r="IT121" s="932"/>
      <c r="IU121" s="938"/>
      <c r="IW121" s="939"/>
      <c r="IX121" s="938"/>
      <c r="IY121" s="938"/>
      <c r="IZ121" s="938"/>
      <c r="JB121" s="940"/>
      <c r="JC121" s="940"/>
      <c r="JD121" s="940"/>
      <c r="JE121" s="940"/>
      <c r="JF121" s="940"/>
      <c r="JG121" s="940"/>
      <c r="JH121" s="940"/>
      <c r="JI121" s="940"/>
      <c r="JJ121" s="940"/>
      <c r="JK121" s="940"/>
      <c r="JL121" s="940"/>
      <c r="JM121" s="940"/>
      <c r="JN121" s="940"/>
      <c r="JO121" s="940"/>
      <c r="JP121" s="940"/>
      <c r="JQ121" s="940"/>
      <c r="JR121" s="940"/>
      <c r="JS121" s="940"/>
      <c r="JT121" s="940"/>
      <c r="JU121" s="940"/>
      <c r="JV121" s="940"/>
      <c r="JW121" s="940"/>
      <c r="JX121" s="940"/>
      <c r="JY121" s="940"/>
      <c r="JZ121" s="940"/>
      <c r="KA121" s="940"/>
      <c r="KB121" s="940"/>
      <c r="KC121" s="940"/>
      <c r="KD121" s="940"/>
      <c r="KE121" s="940"/>
      <c r="KF121" s="940"/>
      <c r="KG121" s="940"/>
      <c r="KH121" s="940"/>
      <c r="KI121" s="940"/>
      <c r="KJ121" s="940"/>
      <c r="KK121" s="940"/>
      <c r="KL121" s="940"/>
      <c r="KM121" s="940"/>
      <c r="KN121" s="940"/>
      <c r="KO121" s="940"/>
      <c r="KP121" s="940"/>
      <c r="KQ121" s="940"/>
      <c r="KR121" s="940"/>
      <c r="KS121" s="940"/>
      <c r="KT121" s="940"/>
      <c r="KU121" s="940"/>
      <c r="KV121" s="940"/>
      <c r="KW121" s="940"/>
      <c r="KX121" s="940"/>
      <c r="KY121" s="940"/>
      <c r="KZ121" s="940"/>
      <c r="LA121" s="940"/>
      <c r="LB121" s="940"/>
      <c r="LC121" s="940"/>
      <c r="LD121" s="940"/>
      <c r="LE121" s="940"/>
      <c r="LF121" s="940"/>
      <c r="LG121" s="940"/>
      <c r="LH121" s="940"/>
    </row>
    <row r="122" spans="1:320" s="462" customFormat="1" ht="15" hidden="1" customHeight="1" outlineLevel="1" x14ac:dyDescent="0.25">
      <c r="A122" s="1205">
        <v>41519</v>
      </c>
      <c r="B122" s="1205"/>
      <c r="C122" s="463"/>
      <c r="D122" s="463"/>
      <c r="H122" s="932"/>
      <c r="I122" s="37"/>
      <c r="J122" s="932"/>
      <c r="K122" s="37"/>
      <c r="L122" s="932"/>
      <c r="M122" s="37"/>
      <c r="N122" s="932"/>
      <c r="O122" s="37"/>
      <c r="P122" s="932"/>
      <c r="Q122" s="37"/>
      <c r="R122" s="932"/>
      <c r="S122" s="37"/>
      <c r="T122" s="37"/>
      <c r="U122" s="37"/>
      <c r="V122" s="932"/>
      <c r="W122" s="37"/>
      <c r="X122" s="932"/>
      <c r="Y122" s="37"/>
      <c r="Z122" s="932"/>
      <c r="AA122" s="37"/>
      <c r="AB122" s="932"/>
      <c r="AC122" s="37"/>
      <c r="AD122" s="932"/>
      <c r="AE122" s="37"/>
      <c r="AF122" s="932"/>
      <c r="AG122" s="37"/>
      <c r="AH122" s="37"/>
      <c r="AI122" s="37"/>
      <c r="AJ122" s="932"/>
      <c r="AK122" s="37"/>
      <c r="AL122" s="932"/>
      <c r="AM122" s="37"/>
      <c r="AN122" s="932"/>
      <c r="AO122" s="37"/>
      <c r="AP122" s="932"/>
      <c r="AQ122" s="37"/>
      <c r="AR122" s="37"/>
      <c r="AS122" s="37"/>
      <c r="AT122" s="37"/>
      <c r="AU122" s="37"/>
      <c r="AV122" s="37"/>
      <c r="AW122" s="37"/>
      <c r="AX122" s="932"/>
      <c r="AY122" s="37"/>
      <c r="AZ122" s="932"/>
      <c r="BA122" s="37"/>
      <c r="BB122" s="932"/>
      <c r="BC122" s="37"/>
      <c r="BD122" s="932"/>
      <c r="BE122" s="37"/>
      <c r="BF122" s="932"/>
      <c r="BG122" s="37"/>
      <c r="BH122" s="37"/>
      <c r="BI122" s="37"/>
      <c r="BJ122" s="37"/>
      <c r="BK122" s="37"/>
      <c r="BL122" s="932"/>
      <c r="BM122" s="37"/>
      <c r="BN122" s="932"/>
      <c r="BO122" s="37"/>
      <c r="BP122" s="932"/>
      <c r="BQ122" s="37"/>
      <c r="BR122" s="932"/>
      <c r="BS122" s="37"/>
      <c r="BT122" s="932"/>
      <c r="BU122" s="932"/>
      <c r="BV122" s="932"/>
      <c r="BW122" s="932"/>
      <c r="BX122" s="37"/>
      <c r="BY122" s="37"/>
      <c r="BZ122" s="932"/>
      <c r="CA122" s="37"/>
      <c r="CB122" s="932"/>
      <c r="CC122" s="37"/>
      <c r="CD122" s="932"/>
      <c r="CE122" s="37"/>
      <c r="CF122" s="932"/>
      <c r="CG122" s="37"/>
      <c r="CH122" s="932"/>
      <c r="CI122" s="932"/>
      <c r="CJ122" s="932"/>
      <c r="CK122" s="932"/>
      <c r="CL122" s="37"/>
      <c r="CM122" s="37"/>
      <c r="CN122" s="932"/>
      <c r="CO122" s="37"/>
      <c r="CP122" s="932"/>
      <c r="CQ122" s="37"/>
      <c r="CR122" s="932"/>
      <c r="CS122" s="37"/>
      <c r="CT122" s="932"/>
      <c r="CU122" s="37"/>
      <c r="CV122" s="932"/>
      <c r="CW122" s="932"/>
      <c r="CX122" s="932"/>
      <c r="CY122" s="932"/>
      <c r="CZ122" s="37"/>
      <c r="DA122" s="37"/>
      <c r="DB122" s="932"/>
      <c r="DC122" s="37"/>
      <c r="DD122" s="932"/>
      <c r="DE122" s="37"/>
      <c r="DF122" s="932"/>
      <c r="DG122" s="37"/>
      <c r="DH122" s="932"/>
      <c r="DI122" s="37"/>
      <c r="DJ122" s="932"/>
      <c r="DK122" s="932"/>
      <c r="DL122" s="932"/>
      <c r="DM122" s="932"/>
      <c r="DN122" s="37"/>
      <c r="DO122" s="37"/>
      <c r="DP122" s="932"/>
      <c r="DQ122" s="37"/>
      <c r="DR122" s="932"/>
      <c r="DS122" s="37"/>
      <c r="DT122" s="932"/>
      <c r="DU122" s="37"/>
      <c r="DV122" s="932"/>
      <c r="DW122" s="37"/>
      <c r="DX122" s="932"/>
      <c r="DY122" s="932"/>
      <c r="DZ122" s="932"/>
      <c r="EA122" s="932"/>
      <c r="EB122" s="37"/>
      <c r="EC122" s="37"/>
      <c r="EE122" s="937"/>
      <c r="EG122" s="938"/>
      <c r="EI122" s="938"/>
      <c r="EK122" s="938"/>
      <c r="EM122" s="938"/>
      <c r="EO122" s="938"/>
      <c r="EQ122" s="938"/>
      <c r="ES122" s="938"/>
      <c r="EU122" s="938"/>
      <c r="EW122" s="938"/>
      <c r="EY122" s="938"/>
      <c r="FA122" s="938"/>
      <c r="FC122" s="938"/>
      <c r="FE122" s="938"/>
      <c r="FG122" s="938"/>
      <c r="FI122" s="938"/>
      <c r="FK122" s="938"/>
      <c r="FM122" s="938"/>
      <c r="FO122" s="938"/>
      <c r="FQ122" s="938"/>
      <c r="FS122" s="938"/>
      <c r="FU122" s="938"/>
      <c r="FW122" s="938"/>
      <c r="FY122" s="938"/>
      <c r="GA122" s="938"/>
      <c r="GC122" s="938"/>
      <c r="GE122" s="938"/>
      <c r="GG122" s="938"/>
      <c r="GI122" s="938"/>
      <c r="GK122" s="938"/>
      <c r="GM122" s="938"/>
      <c r="GO122" s="938"/>
      <c r="GQ122" s="938"/>
      <c r="GS122" s="938"/>
      <c r="GU122" s="938"/>
      <c r="GW122" s="938"/>
      <c r="GY122" s="938"/>
      <c r="HA122" s="938"/>
      <c r="HC122" s="938"/>
      <c r="HE122" s="938"/>
      <c r="HG122" s="938"/>
      <c r="HI122" s="938"/>
      <c r="HK122" s="938"/>
      <c r="HM122" s="938"/>
      <c r="HO122" s="938"/>
      <c r="HQ122" s="938"/>
      <c r="HS122" s="938"/>
      <c r="HU122" s="938"/>
      <c r="HW122" s="938"/>
      <c r="HY122" s="938"/>
      <c r="IA122" s="938"/>
      <c r="IC122" s="938"/>
      <c r="IE122" s="938"/>
      <c r="IG122" s="938"/>
      <c r="II122" s="938"/>
      <c r="IK122" s="938"/>
      <c r="IM122" s="938"/>
      <c r="IO122" s="938"/>
      <c r="IQ122" s="938"/>
      <c r="IS122" s="938"/>
      <c r="IT122" s="932"/>
      <c r="IU122" s="938"/>
      <c r="IW122" s="939"/>
      <c r="IX122" s="938"/>
      <c r="IY122" s="938"/>
      <c r="IZ122" s="938"/>
      <c r="JB122" s="940"/>
      <c r="JC122" s="940"/>
      <c r="JD122" s="940"/>
      <c r="JE122" s="940"/>
      <c r="JF122" s="940"/>
      <c r="JG122" s="940"/>
      <c r="JH122" s="940"/>
      <c r="JI122" s="940"/>
      <c r="JJ122" s="940"/>
      <c r="JK122" s="940"/>
      <c r="JL122" s="940"/>
      <c r="JM122" s="940"/>
      <c r="JN122" s="940"/>
      <c r="JO122" s="940"/>
      <c r="JP122" s="940"/>
      <c r="JQ122" s="940"/>
      <c r="JR122" s="940"/>
      <c r="JS122" s="940"/>
      <c r="JT122" s="940"/>
      <c r="JU122" s="940"/>
      <c r="JV122" s="940"/>
      <c r="JW122" s="940"/>
      <c r="JX122" s="940"/>
      <c r="JY122" s="940"/>
      <c r="JZ122" s="940"/>
      <c r="KA122" s="940"/>
      <c r="KB122" s="940"/>
      <c r="KC122" s="940"/>
      <c r="KD122" s="940"/>
      <c r="KE122" s="940"/>
      <c r="KF122" s="940"/>
      <c r="KG122" s="940"/>
      <c r="KH122" s="940"/>
      <c r="KI122" s="940"/>
      <c r="KJ122" s="940"/>
      <c r="KK122" s="940"/>
      <c r="KL122" s="940"/>
      <c r="KM122" s="940"/>
      <c r="KN122" s="940"/>
      <c r="KO122" s="940"/>
      <c r="KP122" s="940"/>
      <c r="KQ122" s="940"/>
      <c r="KR122" s="940"/>
      <c r="KS122" s="940"/>
      <c r="KT122" s="940"/>
      <c r="KU122" s="940"/>
      <c r="KV122" s="940"/>
      <c r="KW122" s="940"/>
      <c r="KX122" s="940"/>
      <c r="KY122" s="940"/>
      <c r="KZ122" s="940"/>
      <c r="LA122" s="940"/>
      <c r="LB122" s="940"/>
      <c r="LC122" s="940"/>
      <c r="LD122" s="940"/>
      <c r="LE122" s="940"/>
      <c r="LF122" s="940"/>
      <c r="LG122" s="940"/>
      <c r="LH122" s="940"/>
    </row>
    <row r="123" spans="1:320" s="462" customFormat="1" ht="15" hidden="1" customHeight="1" outlineLevel="1" x14ac:dyDescent="0.25">
      <c r="A123" s="1214">
        <v>41589</v>
      </c>
      <c r="B123" s="1205"/>
      <c r="C123" s="463"/>
      <c r="D123" s="463"/>
      <c r="H123" s="932"/>
      <c r="I123" s="37"/>
      <c r="J123" s="932"/>
      <c r="K123" s="37"/>
      <c r="L123" s="932"/>
      <c r="M123" s="37"/>
      <c r="N123" s="932"/>
      <c r="O123" s="37"/>
      <c r="P123" s="932"/>
      <c r="Q123" s="37"/>
      <c r="R123" s="932"/>
      <c r="S123" s="37"/>
      <c r="T123" s="37"/>
      <c r="U123" s="37"/>
      <c r="V123" s="932"/>
      <c r="W123" s="37"/>
      <c r="X123" s="932"/>
      <c r="Y123" s="37"/>
      <c r="Z123" s="932"/>
      <c r="AA123" s="37"/>
      <c r="AB123" s="932"/>
      <c r="AC123" s="37"/>
      <c r="AD123" s="932"/>
      <c r="AE123" s="37"/>
      <c r="AF123" s="932"/>
      <c r="AG123" s="37"/>
      <c r="AH123" s="37"/>
      <c r="AI123" s="37"/>
      <c r="AJ123" s="932"/>
      <c r="AK123" s="37"/>
      <c r="AL123" s="932"/>
      <c r="AM123" s="37"/>
      <c r="AN123" s="932"/>
      <c r="AO123" s="37"/>
      <c r="AP123" s="932"/>
      <c r="AQ123" s="37"/>
      <c r="AR123" s="37"/>
      <c r="AS123" s="37"/>
      <c r="AT123" s="37"/>
      <c r="AU123" s="37"/>
      <c r="AV123" s="37"/>
      <c r="AW123" s="37"/>
      <c r="AX123" s="932"/>
      <c r="AY123" s="37"/>
      <c r="AZ123" s="932"/>
      <c r="BA123" s="37"/>
      <c r="BB123" s="932"/>
      <c r="BC123" s="37"/>
      <c r="BD123" s="932"/>
      <c r="BE123" s="37"/>
      <c r="BF123" s="932"/>
      <c r="BG123" s="37"/>
      <c r="BH123" s="37"/>
      <c r="BI123" s="37"/>
      <c r="BJ123" s="37"/>
      <c r="BK123" s="37"/>
      <c r="BL123" s="932"/>
      <c r="BM123" s="37"/>
      <c r="BN123" s="932"/>
      <c r="BO123" s="37"/>
      <c r="BP123" s="932"/>
      <c r="BQ123" s="37"/>
      <c r="BR123" s="932"/>
      <c r="BS123" s="37"/>
      <c r="BT123" s="932"/>
      <c r="BU123" s="932"/>
      <c r="BV123" s="932"/>
      <c r="BW123" s="932"/>
      <c r="BX123" s="37"/>
      <c r="BY123" s="37"/>
      <c r="BZ123" s="932"/>
      <c r="CA123" s="37"/>
      <c r="CB123" s="932"/>
      <c r="CC123" s="37"/>
      <c r="CD123" s="932"/>
      <c r="CE123" s="37"/>
      <c r="CF123" s="932"/>
      <c r="CG123" s="37"/>
      <c r="CH123" s="932"/>
      <c r="CI123" s="932"/>
      <c r="CJ123" s="932"/>
      <c r="CK123" s="932"/>
      <c r="CL123" s="37"/>
      <c r="CM123" s="37"/>
      <c r="CN123" s="932"/>
      <c r="CO123" s="37"/>
      <c r="CP123" s="932"/>
      <c r="CQ123" s="37"/>
      <c r="CR123" s="932"/>
      <c r="CS123" s="37"/>
      <c r="CT123" s="932"/>
      <c r="CU123" s="37"/>
      <c r="CV123" s="932"/>
      <c r="CW123" s="932"/>
      <c r="CX123" s="932"/>
      <c r="CY123" s="932"/>
      <c r="CZ123" s="37"/>
      <c r="DA123" s="37"/>
      <c r="DB123" s="932"/>
      <c r="DC123" s="37"/>
      <c r="DD123" s="932"/>
      <c r="DE123" s="37"/>
      <c r="DF123" s="932"/>
      <c r="DG123" s="37"/>
      <c r="DH123" s="932"/>
      <c r="DI123" s="37"/>
      <c r="DJ123" s="932"/>
      <c r="DK123" s="932"/>
      <c r="DL123" s="932"/>
      <c r="DM123" s="932"/>
      <c r="DN123" s="37"/>
      <c r="DO123" s="37"/>
      <c r="DP123" s="932"/>
      <c r="DQ123" s="37"/>
      <c r="DR123" s="932"/>
      <c r="DS123" s="37"/>
      <c r="DT123" s="932"/>
      <c r="DU123" s="37"/>
      <c r="DV123" s="932"/>
      <c r="DW123" s="37"/>
      <c r="DX123" s="932"/>
      <c r="DY123" s="932"/>
      <c r="DZ123" s="932"/>
      <c r="EA123" s="932"/>
      <c r="EB123" s="37"/>
      <c r="EC123" s="37"/>
      <c r="EE123" s="937"/>
      <c r="EG123" s="938"/>
      <c r="EI123" s="938"/>
      <c r="EK123" s="938"/>
      <c r="EM123" s="938"/>
      <c r="EO123" s="938"/>
      <c r="EQ123" s="938"/>
      <c r="ES123" s="938"/>
      <c r="EU123" s="938"/>
      <c r="EW123" s="938"/>
      <c r="EY123" s="938"/>
      <c r="FA123" s="938"/>
      <c r="FC123" s="938"/>
      <c r="FE123" s="938"/>
      <c r="FG123" s="938"/>
      <c r="FI123" s="938"/>
      <c r="FK123" s="938"/>
      <c r="FM123" s="938"/>
      <c r="FO123" s="938"/>
      <c r="FQ123" s="938"/>
      <c r="FS123" s="938"/>
      <c r="FU123" s="938"/>
      <c r="FW123" s="938"/>
      <c r="FY123" s="938"/>
      <c r="GA123" s="938"/>
      <c r="GC123" s="938"/>
      <c r="GE123" s="938"/>
      <c r="GG123" s="938"/>
      <c r="GI123" s="938"/>
      <c r="GK123" s="938"/>
      <c r="GM123" s="938"/>
      <c r="GO123" s="938"/>
      <c r="GQ123" s="938"/>
      <c r="GS123" s="938"/>
      <c r="GU123" s="938"/>
      <c r="GW123" s="938"/>
      <c r="GY123" s="938"/>
      <c r="HA123" s="938"/>
      <c r="HC123" s="938"/>
      <c r="HE123" s="938"/>
      <c r="HG123" s="938"/>
      <c r="HI123" s="938"/>
      <c r="HK123" s="938"/>
      <c r="HM123" s="938"/>
      <c r="HO123" s="938"/>
      <c r="HQ123" s="938"/>
      <c r="HS123" s="938"/>
      <c r="HU123" s="938"/>
      <c r="HW123" s="938"/>
      <c r="HY123" s="938"/>
      <c r="IA123" s="938"/>
      <c r="IC123" s="938"/>
      <c r="IE123" s="938"/>
      <c r="IG123" s="938"/>
      <c r="II123" s="938"/>
      <c r="IK123" s="938"/>
      <c r="IM123" s="938"/>
      <c r="IO123" s="938"/>
      <c r="IQ123" s="938"/>
      <c r="IS123" s="938"/>
      <c r="IT123" s="932"/>
      <c r="IU123" s="938"/>
      <c r="IW123" s="939"/>
      <c r="IX123" s="938"/>
      <c r="IY123" s="938"/>
      <c r="IZ123" s="938"/>
      <c r="JB123" s="940"/>
      <c r="JC123" s="940"/>
      <c r="JD123" s="940"/>
      <c r="JE123" s="940"/>
      <c r="JF123" s="940"/>
      <c r="JG123" s="940"/>
      <c r="JH123" s="940"/>
      <c r="JI123" s="940"/>
      <c r="JJ123" s="940"/>
      <c r="JK123" s="940"/>
      <c r="JL123" s="940"/>
      <c r="JM123" s="940"/>
      <c r="JN123" s="940"/>
      <c r="JO123" s="940"/>
      <c r="JP123" s="940"/>
      <c r="JQ123" s="940"/>
      <c r="JR123" s="940"/>
      <c r="JS123" s="940"/>
      <c r="JT123" s="940"/>
      <c r="JU123" s="940"/>
      <c r="JV123" s="940"/>
      <c r="JW123" s="940"/>
      <c r="JX123" s="940"/>
      <c r="JY123" s="940"/>
      <c r="JZ123" s="940"/>
      <c r="KA123" s="940"/>
      <c r="KB123" s="940"/>
      <c r="KC123" s="940"/>
      <c r="KD123" s="940"/>
      <c r="KE123" s="940"/>
      <c r="KF123" s="940"/>
      <c r="KG123" s="940"/>
      <c r="KH123" s="940"/>
      <c r="KI123" s="940"/>
      <c r="KJ123" s="940"/>
      <c r="KK123" s="940"/>
      <c r="KL123" s="940"/>
      <c r="KM123" s="940"/>
      <c r="KN123" s="940"/>
      <c r="KO123" s="940"/>
      <c r="KP123" s="940"/>
      <c r="KQ123" s="940"/>
      <c r="KR123" s="940"/>
      <c r="KS123" s="940"/>
      <c r="KT123" s="940"/>
      <c r="KU123" s="940"/>
      <c r="KV123" s="940"/>
      <c r="KW123" s="940"/>
      <c r="KX123" s="940"/>
      <c r="KY123" s="940"/>
      <c r="KZ123" s="940"/>
      <c r="LA123" s="940"/>
      <c r="LB123" s="940"/>
      <c r="LC123" s="940"/>
      <c r="LD123" s="940"/>
      <c r="LE123" s="940"/>
      <c r="LF123" s="940"/>
      <c r="LG123" s="940"/>
      <c r="LH123" s="940"/>
    </row>
    <row r="124" spans="1:320" s="462" customFormat="1" ht="15" hidden="1" customHeight="1" outlineLevel="1" x14ac:dyDescent="0.25">
      <c r="A124" s="1205">
        <v>41606</v>
      </c>
      <c r="B124" s="1205"/>
      <c r="C124" s="463"/>
      <c r="D124" s="463"/>
      <c r="H124" s="932"/>
      <c r="I124" s="37"/>
      <c r="J124" s="932"/>
      <c r="K124" s="37"/>
      <c r="L124" s="932"/>
      <c r="M124" s="37"/>
      <c r="N124" s="932"/>
      <c r="O124" s="37"/>
      <c r="P124" s="932"/>
      <c r="Q124" s="37"/>
      <c r="R124" s="932"/>
      <c r="S124" s="37"/>
      <c r="T124" s="37"/>
      <c r="U124" s="37"/>
      <c r="V124" s="932"/>
      <c r="W124" s="37"/>
      <c r="X124" s="932"/>
      <c r="Y124" s="37"/>
      <c r="Z124" s="932"/>
      <c r="AA124" s="37"/>
      <c r="AB124" s="932"/>
      <c r="AC124" s="37"/>
      <c r="AD124" s="932"/>
      <c r="AE124" s="37"/>
      <c r="AF124" s="932"/>
      <c r="AG124" s="37"/>
      <c r="AH124" s="37"/>
      <c r="AI124" s="37"/>
      <c r="AJ124" s="932"/>
      <c r="AK124" s="37"/>
      <c r="AL124" s="932"/>
      <c r="AM124" s="37"/>
      <c r="AN124" s="932"/>
      <c r="AO124" s="37"/>
      <c r="AP124" s="932"/>
      <c r="AQ124" s="37"/>
      <c r="AR124" s="37"/>
      <c r="AS124" s="37"/>
      <c r="AT124" s="37"/>
      <c r="AU124" s="37"/>
      <c r="AV124" s="37"/>
      <c r="AW124" s="37"/>
      <c r="AX124" s="932"/>
      <c r="AY124" s="37"/>
      <c r="AZ124" s="932"/>
      <c r="BA124" s="37"/>
      <c r="BB124" s="932"/>
      <c r="BC124" s="37"/>
      <c r="BD124" s="932"/>
      <c r="BE124" s="37"/>
      <c r="BF124" s="932"/>
      <c r="BG124" s="37"/>
      <c r="BH124" s="37"/>
      <c r="BI124" s="37"/>
      <c r="BJ124" s="37"/>
      <c r="BK124" s="37"/>
      <c r="BL124" s="932"/>
      <c r="BM124" s="37"/>
      <c r="BN124" s="932"/>
      <c r="BO124" s="37"/>
      <c r="BP124" s="932"/>
      <c r="BQ124" s="37"/>
      <c r="BR124" s="932"/>
      <c r="BS124" s="37"/>
      <c r="BT124" s="932"/>
      <c r="BU124" s="932"/>
      <c r="BV124" s="932"/>
      <c r="BW124" s="932"/>
      <c r="BX124" s="37"/>
      <c r="BY124" s="37"/>
      <c r="BZ124" s="932"/>
      <c r="CA124" s="37"/>
      <c r="CB124" s="932"/>
      <c r="CC124" s="37"/>
      <c r="CD124" s="932"/>
      <c r="CE124" s="37"/>
      <c r="CF124" s="932"/>
      <c r="CG124" s="37"/>
      <c r="CH124" s="932"/>
      <c r="CI124" s="932"/>
      <c r="CJ124" s="932"/>
      <c r="CK124" s="932"/>
      <c r="CL124" s="37"/>
      <c r="CM124" s="37"/>
      <c r="CN124" s="932"/>
      <c r="CO124" s="37"/>
      <c r="CP124" s="932"/>
      <c r="CQ124" s="37"/>
      <c r="CR124" s="932"/>
      <c r="CS124" s="37"/>
      <c r="CT124" s="932"/>
      <c r="CU124" s="37"/>
      <c r="CV124" s="932"/>
      <c r="CW124" s="932"/>
      <c r="CX124" s="932"/>
      <c r="CY124" s="932"/>
      <c r="CZ124" s="37"/>
      <c r="DA124" s="37"/>
      <c r="DB124" s="932"/>
      <c r="DC124" s="37"/>
      <c r="DD124" s="932"/>
      <c r="DE124" s="37"/>
      <c r="DF124" s="932"/>
      <c r="DG124" s="37"/>
      <c r="DH124" s="932"/>
      <c r="DI124" s="37"/>
      <c r="DJ124" s="932"/>
      <c r="DK124" s="932"/>
      <c r="DL124" s="932"/>
      <c r="DM124" s="932"/>
      <c r="DN124" s="37"/>
      <c r="DO124" s="37"/>
      <c r="DP124" s="932"/>
      <c r="DQ124" s="37"/>
      <c r="DR124" s="932"/>
      <c r="DS124" s="37"/>
      <c r="DT124" s="932"/>
      <c r="DU124" s="37"/>
      <c r="DV124" s="932"/>
      <c r="DW124" s="37"/>
      <c r="DX124" s="932"/>
      <c r="DY124" s="932"/>
      <c r="DZ124" s="932"/>
      <c r="EA124" s="932"/>
      <c r="EB124" s="37"/>
      <c r="EC124" s="37"/>
      <c r="EE124" s="937"/>
      <c r="EG124" s="938"/>
      <c r="EI124" s="938"/>
      <c r="EK124" s="938"/>
      <c r="EM124" s="938"/>
      <c r="EO124" s="938"/>
      <c r="EQ124" s="938"/>
      <c r="ES124" s="938"/>
      <c r="EU124" s="938"/>
      <c r="EW124" s="938"/>
      <c r="EY124" s="938"/>
      <c r="FA124" s="938"/>
      <c r="FC124" s="938"/>
      <c r="FE124" s="938"/>
      <c r="FG124" s="938"/>
      <c r="FI124" s="938"/>
      <c r="FK124" s="938"/>
      <c r="FM124" s="938"/>
      <c r="FO124" s="938"/>
      <c r="FQ124" s="938"/>
      <c r="FS124" s="938"/>
      <c r="FU124" s="938"/>
      <c r="FW124" s="938"/>
      <c r="FY124" s="938"/>
      <c r="GA124" s="938"/>
      <c r="GC124" s="938"/>
      <c r="GE124" s="938"/>
      <c r="GG124" s="938"/>
      <c r="GI124" s="938"/>
      <c r="GK124" s="938"/>
      <c r="GM124" s="938"/>
      <c r="GO124" s="938"/>
      <c r="GQ124" s="938"/>
      <c r="GS124" s="938"/>
      <c r="GU124" s="938"/>
      <c r="GW124" s="938"/>
      <c r="GY124" s="938"/>
      <c r="HA124" s="938"/>
      <c r="HC124" s="938"/>
      <c r="HE124" s="938"/>
      <c r="HG124" s="938"/>
      <c r="HI124" s="938"/>
      <c r="HK124" s="938"/>
      <c r="HM124" s="938"/>
      <c r="HO124" s="938"/>
      <c r="HQ124" s="938"/>
      <c r="HS124" s="938"/>
      <c r="HU124" s="938"/>
      <c r="HW124" s="938"/>
      <c r="HY124" s="938"/>
      <c r="IA124" s="938"/>
      <c r="IC124" s="938"/>
      <c r="IE124" s="938"/>
      <c r="IG124" s="938"/>
      <c r="II124" s="938"/>
      <c r="IK124" s="938"/>
      <c r="IM124" s="938"/>
      <c r="IO124" s="938"/>
      <c r="IQ124" s="938"/>
      <c r="IS124" s="938"/>
      <c r="IT124" s="932"/>
      <c r="IU124" s="938"/>
      <c r="IW124" s="939"/>
      <c r="IX124" s="938"/>
      <c r="IY124" s="938"/>
      <c r="IZ124" s="938"/>
      <c r="JB124" s="940"/>
      <c r="JC124" s="940"/>
      <c r="JD124" s="940"/>
      <c r="JE124" s="940"/>
      <c r="JF124" s="940"/>
      <c r="JG124" s="940"/>
      <c r="JH124" s="940"/>
      <c r="JI124" s="940"/>
      <c r="JJ124" s="940"/>
      <c r="JK124" s="940"/>
      <c r="JL124" s="940"/>
      <c r="JM124" s="940"/>
      <c r="JN124" s="940"/>
      <c r="JO124" s="940"/>
      <c r="JP124" s="940"/>
      <c r="JQ124" s="940"/>
      <c r="JR124" s="940"/>
      <c r="JS124" s="940"/>
      <c r="JT124" s="940"/>
      <c r="JU124" s="940"/>
      <c r="JV124" s="940"/>
      <c r="JW124" s="940"/>
      <c r="JX124" s="940"/>
      <c r="JY124" s="940"/>
      <c r="JZ124" s="940"/>
      <c r="KA124" s="940"/>
      <c r="KB124" s="940"/>
      <c r="KC124" s="940"/>
      <c r="KD124" s="940"/>
      <c r="KE124" s="940"/>
      <c r="KF124" s="940"/>
      <c r="KG124" s="940"/>
      <c r="KH124" s="940"/>
      <c r="KI124" s="940"/>
      <c r="KJ124" s="940"/>
      <c r="KK124" s="940"/>
      <c r="KL124" s="940"/>
      <c r="KM124" s="940"/>
      <c r="KN124" s="940"/>
      <c r="KO124" s="940"/>
      <c r="KP124" s="940"/>
      <c r="KQ124" s="940"/>
      <c r="KR124" s="940"/>
      <c r="KS124" s="940"/>
      <c r="KT124" s="940"/>
      <c r="KU124" s="940"/>
      <c r="KV124" s="940"/>
      <c r="KW124" s="940"/>
      <c r="KX124" s="940"/>
      <c r="KY124" s="940"/>
      <c r="KZ124" s="940"/>
      <c r="LA124" s="940"/>
      <c r="LB124" s="940"/>
      <c r="LC124" s="940"/>
      <c r="LD124" s="940"/>
      <c r="LE124" s="940"/>
      <c r="LF124" s="940"/>
      <c r="LG124" s="940"/>
      <c r="LH124" s="940"/>
    </row>
    <row r="125" spans="1:320" s="462" customFormat="1" ht="15" hidden="1" customHeight="1" outlineLevel="1" x14ac:dyDescent="0.25">
      <c r="A125" s="1205">
        <v>41607</v>
      </c>
      <c r="B125" s="1205"/>
      <c r="C125" s="463"/>
      <c r="D125" s="463"/>
      <c r="H125" s="932"/>
      <c r="I125" s="37"/>
      <c r="J125" s="932"/>
      <c r="K125" s="37"/>
      <c r="L125" s="932"/>
      <c r="M125" s="37"/>
      <c r="N125" s="932"/>
      <c r="O125" s="37"/>
      <c r="P125" s="932"/>
      <c r="Q125" s="37"/>
      <c r="R125" s="932"/>
      <c r="S125" s="37"/>
      <c r="T125" s="37"/>
      <c r="U125" s="37"/>
      <c r="V125" s="932"/>
      <c r="W125" s="37"/>
      <c r="X125" s="932"/>
      <c r="Y125" s="37"/>
      <c r="Z125" s="932"/>
      <c r="AA125" s="37"/>
      <c r="AB125" s="932"/>
      <c r="AC125" s="37"/>
      <c r="AD125" s="932"/>
      <c r="AE125" s="37"/>
      <c r="AF125" s="932"/>
      <c r="AG125" s="37"/>
      <c r="AH125" s="37"/>
      <c r="AI125" s="37"/>
      <c r="AJ125" s="932"/>
      <c r="AK125" s="37"/>
      <c r="AL125" s="932"/>
      <c r="AM125" s="37"/>
      <c r="AN125" s="932"/>
      <c r="AO125" s="37"/>
      <c r="AP125" s="932"/>
      <c r="AQ125" s="37"/>
      <c r="AR125" s="37"/>
      <c r="AS125" s="37"/>
      <c r="AT125" s="37"/>
      <c r="AU125" s="37"/>
      <c r="AV125" s="37"/>
      <c r="AW125" s="37"/>
      <c r="AX125" s="932"/>
      <c r="AY125" s="37"/>
      <c r="AZ125" s="932"/>
      <c r="BA125" s="37"/>
      <c r="BB125" s="932"/>
      <c r="BC125" s="37"/>
      <c r="BD125" s="932"/>
      <c r="BE125" s="37"/>
      <c r="BF125" s="932"/>
      <c r="BG125" s="37"/>
      <c r="BH125" s="37"/>
      <c r="BI125" s="37"/>
      <c r="BJ125" s="37"/>
      <c r="BK125" s="37"/>
      <c r="BL125" s="932"/>
      <c r="BM125" s="37"/>
      <c r="BN125" s="932"/>
      <c r="BO125" s="37"/>
      <c r="BP125" s="932"/>
      <c r="BQ125" s="37"/>
      <c r="BR125" s="932"/>
      <c r="BS125" s="37"/>
      <c r="BT125" s="932"/>
      <c r="BU125" s="932"/>
      <c r="BV125" s="932"/>
      <c r="BW125" s="932"/>
      <c r="BX125" s="37"/>
      <c r="BY125" s="37"/>
      <c r="BZ125" s="932"/>
      <c r="CA125" s="37"/>
      <c r="CB125" s="932"/>
      <c r="CC125" s="37"/>
      <c r="CD125" s="932"/>
      <c r="CE125" s="37"/>
      <c r="CF125" s="932"/>
      <c r="CG125" s="37"/>
      <c r="CH125" s="932"/>
      <c r="CI125" s="932"/>
      <c r="CJ125" s="932"/>
      <c r="CK125" s="932"/>
      <c r="CL125" s="37"/>
      <c r="CM125" s="37"/>
      <c r="CN125" s="932"/>
      <c r="CO125" s="37"/>
      <c r="CP125" s="932"/>
      <c r="CQ125" s="37"/>
      <c r="CR125" s="932"/>
      <c r="CS125" s="37"/>
      <c r="CT125" s="932"/>
      <c r="CU125" s="37"/>
      <c r="CV125" s="932"/>
      <c r="CW125" s="932"/>
      <c r="CX125" s="932"/>
      <c r="CY125" s="932"/>
      <c r="CZ125" s="37"/>
      <c r="DA125" s="37"/>
      <c r="DB125" s="932"/>
      <c r="DC125" s="37"/>
      <c r="DD125" s="932"/>
      <c r="DE125" s="37"/>
      <c r="DF125" s="932"/>
      <c r="DG125" s="37"/>
      <c r="DH125" s="932"/>
      <c r="DI125" s="37"/>
      <c r="DJ125" s="932"/>
      <c r="DK125" s="932"/>
      <c r="DL125" s="932"/>
      <c r="DM125" s="932"/>
      <c r="DN125" s="37"/>
      <c r="DO125" s="37"/>
      <c r="DP125" s="932"/>
      <c r="DQ125" s="37"/>
      <c r="DR125" s="932"/>
      <c r="DS125" s="37"/>
      <c r="DT125" s="932"/>
      <c r="DU125" s="37"/>
      <c r="DV125" s="932"/>
      <c r="DW125" s="37"/>
      <c r="DX125" s="932"/>
      <c r="DY125" s="932"/>
      <c r="DZ125" s="932"/>
      <c r="EA125" s="932"/>
      <c r="EB125" s="37"/>
      <c r="EC125" s="37"/>
      <c r="EE125" s="937"/>
      <c r="EG125" s="938"/>
      <c r="EI125" s="938"/>
      <c r="EK125" s="938"/>
      <c r="EM125" s="938"/>
      <c r="EO125" s="938"/>
      <c r="EQ125" s="938"/>
      <c r="ES125" s="938"/>
      <c r="EU125" s="938"/>
      <c r="EW125" s="938"/>
      <c r="EY125" s="938"/>
      <c r="FA125" s="938"/>
      <c r="FC125" s="938"/>
      <c r="FE125" s="938"/>
      <c r="FG125" s="938"/>
      <c r="FI125" s="938"/>
      <c r="FK125" s="938"/>
      <c r="FM125" s="938"/>
      <c r="FO125" s="938"/>
      <c r="FQ125" s="938"/>
      <c r="FS125" s="938"/>
      <c r="FU125" s="938"/>
      <c r="FW125" s="938"/>
      <c r="FY125" s="938"/>
      <c r="GA125" s="938"/>
      <c r="GC125" s="938"/>
      <c r="GE125" s="938"/>
      <c r="GG125" s="938"/>
      <c r="GI125" s="938"/>
      <c r="GK125" s="938"/>
      <c r="GM125" s="938"/>
      <c r="GO125" s="938"/>
      <c r="GQ125" s="938"/>
      <c r="GS125" s="938"/>
      <c r="GU125" s="938"/>
      <c r="GW125" s="938"/>
      <c r="GY125" s="938"/>
      <c r="HA125" s="938"/>
      <c r="HC125" s="938"/>
      <c r="HE125" s="938"/>
      <c r="HG125" s="938"/>
      <c r="HI125" s="938"/>
      <c r="HK125" s="938"/>
      <c r="HM125" s="938"/>
      <c r="HO125" s="938"/>
      <c r="HQ125" s="938"/>
      <c r="HS125" s="938"/>
      <c r="HU125" s="938"/>
      <c r="HW125" s="938"/>
      <c r="HY125" s="938"/>
      <c r="IA125" s="938"/>
      <c r="IC125" s="938"/>
      <c r="IE125" s="938"/>
      <c r="IG125" s="938"/>
      <c r="II125" s="938"/>
      <c r="IK125" s="938"/>
      <c r="IM125" s="938"/>
      <c r="IO125" s="938"/>
      <c r="IQ125" s="938"/>
      <c r="IS125" s="938"/>
      <c r="IT125" s="932"/>
      <c r="IU125" s="938"/>
      <c r="IW125" s="939"/>
      <c r="IX125" s="938"/>
      <c r="IY125" s="938"/>
      <c r="IZ125" s="938"/>
      <c r="JB125" s="940"/>
      <c r="JC125" s="940"/>
      <c r="JD125" s="940"/>
      <c r="JE125" s="940"/>
      <c r="JF125" s="940"/>
      <c r="JG125" s="940"/>
      <c r="JH125" s="940"/>
      <c r="JI125" s="940"/>
      <c r="JJ125" s="940"/>
      <c r="JK125" s="940"/>
      <c r="JL125" s="940"/>
      <c r="JM125" s="940"/>
      <c r="JN125" s="940"/>
      <c r="JO125" s="940"/>
      <c r="JP125" s="940"/>
      <c r="JQ125" s="940"/>
      <c r="JR125" s="940"/>
      <c r="JS125" s="940"/>
      <c r="JT125" s="940"/>
      <c r="JU125" s="940"/>
      <c r="JV125" s="940"/>
      <c r="JW125" s="940"/>
      <c r="JX125" s="940"/>
      <c r="JY125" s="940"/>
      <c r="JZ125" s="940"/>
      <c r="KA125" s="940"/>
      <c r="KB125" s="940"/>
      <c r="KC125" s="940"/>
      <c r="KD125" s="940"/>
      <c r="KE125" s="940"/>
      <c r="KF125" s="940"/>
      <c r="KG125" s="940"/>
      <c r="KH125" s="940"/>
      <c r="KI125" s="940"/>
      <c r="KJ125" s="940"/>
      <c r="KK125" s="940"/>
      <c r="KL125" s="940"/>
      <c r="KM125" s="940"/>
      <c r="KN125" s="940"/>
      <c r="KO125" s="940"/>
      <c r="KP125" s="940"/>
      <c r="KQ125" s="940"/>
      <c r="KR125" s="940"/>
      <c r="KS125" s="940"/>
      <c r="KT125" s="940"/>
      <c r="KU125" s="940"/>
      <c r="KV125" s="940"/>
      <c r="KW125" s="940"/>
      <c r="KX125" s="940"/>
      <c r="KY125" s="940"/>
      <c r="KZ125" s="940"/>
      <c r="LA125" s="940"/>
      <c r="LB125" s="940"/>
      <c r="LC125" s="940"/>
      <c r="LD125" s="940"/>
      <c r="LE125" s="940"/>
      <c r="LF125" s="940"/>
      <c r="LG125" s="940"/>
      <c r="LH125" s="940"/>
    </row>
    <row r="126" spans="1:320" s="462" customFormat="1" ht="15" hidden="1" customHeight="1" outlineLevel="1" x14ac:dyDescent="0.25">
      <c r="A126" s="1205">
        <v>41632</v>
      </c>
      <c r="B126" s="1205"/>
      <c r="C126" s="463"/>
      <c r="D126" s="463"/>
      <c r="H126" s="932"/>
      <c r="I126" s="37"/>
      <c r="J126" s="932"/>
      <c r="K126" s="37"/>
      <c r="L126" s="932"/>
      <c r="M126" s="37"/>
      <c r="N126" s="932"/>
      <c r="O126" s="37"/>
      <c r="P126" s="932"/>
      <c r="Q126" s="37"/>
      <c r="R126" s="932"/>
      <c r="S126" s="37"/>
      <c r="T126" s="37"/>
      <c r="U126" s="37"/>
      <c r="V126" s="932"/>
      <c r="W126" s="37"/>
      <c r="X126" s="932"/>
      <c r="Y126" s="37"/>
      <c r="Z126" s="932"/>
      <c r="AA126" s="37"/>
      <c r="AB126" s="932"/>
      <c r="AC126" s="37"/>
      <c r="AD126" s="932"/>
      <c r="AE126" s="37"/>
      <c r="AF126" s="932"/>
      <c r="AG126" s="37"/>
      <c r="AH126" s="37"/>
      <c r="AI126" s="37"/>
      <c r="AJ126" s="932"/>
      <c r="AK126" s="37"/>
      <c r="AL126" s="932"/>
      <c r="AM126" s="37"/>
      <c r="AN126" s="932"/>
      <c r="AO126" s="37"/>
      <c r="AP126" s="932"/>
      <c r="AQ126" s="37"/>
      <c r="AR126" s="37"/>
      <c r="AS126" s="37"/>
      <c r="AT126" s="37"/>
      <c r="AU126" s="37"/>
      <c r="AV126" s="37"/>
      <c r="AW126" s="37"/>
      <c r="AX126" s="932"/>
      <c r="AY126" s="37"/>
      <c r="AZ126" s="932"/>
      <c r="BA126" s="37"/>
      <c r="BB126" s="932"/>
      <c r="BC126" s="37"/>
      <c r="BD126" s="932"/>
      <c r="BE126" s="37"/>
      <c r="BF126" s="932"/>
      <c r="BG126" s="37"/>
      <c r="BH126" s="37"/>
      <c r="BI126" s="37"/>
      <c r="BJ126" s="37"/>
      <c r="BK126" s="37"/>
      <c r="BL126" s="932"/>
      <c r="BM126" s="37"/>
      <c r="BN126" s="932"/>
      <c r="BO126" s="37"/>
      <c r="BP126" s="932"/>
      <c r="BQ126" s="37"/>
      <c r="BR126" s="932"/>
      <c r="BS126" s="37"/>
      <c r="BT126" s="932"/>
      <c r="BU126" s="932"/>
      <c r="BV126" s="932"/>
      <c r="BW126" s="932"/>
      <c r="BX126" s="37"/>
      <c r="BY126" s="37"/>
      <c r="BZ126" s="932"/>
      <c r="CA126" s="37"/>
      <c r="CB126" s="932"/>
      <c r="CC126" s="37"/>
      <c r="CD126" s="932"/>
      <c r="CE126" s="37"/>
      <c r="CF126" s="932"/>
      <c r="CG126" s="37"/>
      <c r="CH126" s="932"/>
      <c r="CI126" s="932"/>
      <c r="CJ126" s="932"/>
      <c r="CK126" s="932"/>
      <c r="CL126" s="37"/>
      <c r="CM126" s="37"/>
      <c r="CN126" s="932"/>
      <c r="CO126" s="37"/>
      <c r="CP126" s="932"/>
      <c r="CQ126" s="37"/>
      <c r="CR126" s="932"/>
      <c r="CS126" s="37"/>
      <c r="CT126" s="932"/>
      <c r="CU126" s="37"/>
      <c r="CV126" s="932"/>
      <c r="CW126" s="932"/>
      <c r="CX126" s="932"/>
      <c r="CY126" s="932"/>
      <c r="CZ126" s="37"/>
      <c r="DA126" s="37"/>
      <c r="DB126" s="932"/>
      <c r="DC126" s="37"/>
      <c r="DD126" s="932"/>
      <c r="DE126" s="37"/>
      <c r="DF126" s="932"/>
      <c r="DG126" s="37"/>
      <c r="DH126" s="932"/>
      <c r="DI126" s="37"/>
      <c r="DJ126" s="932"/>
      <c r="DK126" s="932"/>
      <c r="DL126" s="932"/>
      <c r="DM126" s="932"/>
      <c r="DN126" s="37"/>
      <c r="DO126" s="37"/>
      <c r="DP126" s="932"/>
      <c r="DQ126" s="37"/>
      <c r="DR126" s="932"/>
      <c r="DS126" s="37"/>
      <c r="DT126" s="932"/>
      <c r="DU126" s="37"/>
      <c r="DV126" s="932"/>
      <c r="DW126" s="37"/>
      <c r="DX126" s="932"/>
      <c r="DY126" s="932"/>
      <c r="DZ126" s="932"/>
      <c r="EA126" s="932"/>
      <c r="EB126" s="37"/>
      <c r="EC126" s="37"/>
      <c r="EE126" s="937"/>
      <c r="EG126" s="938"/>
      <c r="EI126" s="938"/>
      <c r="EK126" s="938"/>
      <c r="EM126" s="938"/>
      <c r="EO126" s="938"/>
      <c r="EQ126" s="938"/>
      <c r="ES126" s="938"/>
      <c r="EU126" s="938"/>
      <c r="EW126" s="938"/>
      <c r="EY126" s="938"/>
      <c r="FA126" s="938"/>
      <c r="FC126" s="938"/>
      <c r="FE126" s="938"/>
      <c r="FG126" s="938"/>
      <c r="FI126" s="938"/>
      <c r="FK126" s="938"/>
      <c r="FM126" s="938"/>
      <c r="FO126" s="938"/>
      <c r="FQ126" s="938"/>
      <c r="FS126" s="938"/>
      <c r="FU126" s="938"/>
      <c r="FW126" s="938"/>
      <c r="FY126" s="938"/>
      <c r="GA126" s="938"/>
      <c r="GC126" s="938"/>
      <c r="GE126" s="938"/>
      <c r="GG126" s="938"/>
      <c r="GI126" s="938"/>
      <c r="GK126" s="938"/>
      <c r="GM126" s="938"/>
      <c r="GO126" s="938"/>
      <c r="GQ126" s="938"/>
      <c r="GS126" s="938"/>
      <c r="GU126" s="938"/>
      <c r="GW126" s="938"/>
      <c r="GY126" s="938"/>
      <c r="HA126" s="938"/>
      <c r="HC126" s="938"/>
      <c r="HE126" s="938"/>
      <c r="HG126" s="938"/>
      <c r="HI126" s="938"/>
      <c r="HK126" s="938"/>
      <c r="HM126" s="938"/>
      <c r="HO126" s="938"/>
      <c r="HQ126" s="938"/>
      <c r="HS126" s="938"/>
      <c r="HU126" s="938"/>
      <c r="HW126" s="938"/>
      <c r="HY126" s="938"/>
      <c r="IA126" s="938"/>
      <c r="IC126" s="938"/>
      <c r="IE126" s="938"/>
      <c r="IG126" s="938"/>
      <c r="II126" s="938"/>
      <c r="IK126" s="938"/>
      <c r="IM126" s="938"/>
      <c r="IO126" s="938"/>
      <c r="IQ126" s="938"/>
      <c r="IS126" s="938"/>
      <c r="IT126" s="932"/>
      <c r="IU126" s="938"/>
      <c r="IW126" s="939"/>
      <c r="IX126" s="938"/>
      <c r="IY126" s="938"/>
      <c r="IZ126" s="938"/>
      <c r="JB126" s="940"/>
      <c r="JC126" s="940"/>
      <c r="JD126" s="940"/>
      <c r="JE126" s="940"/>
      <c r="JF126" s="940"/>
      <c r="JG126" s="940"/>
      <c r="JH126" s="940"/>
      <c r="JI126" s="940"/>
      <c r="JJ126" s="940"/>
      <c r="JK126" s="940"/>
      <c r="JL126" s="940"/>
      <c r="JM126" s="940"/>
      <c r="JN126" s="940"/>
      <c r="JO126" s="940"/>
      <c r="JP126" s="940"/>
      <c r="JQ126" s="940"/>
      <c r="JR126" s="940"/>
      <c r="JS126" s="940"/>
      <c r="JT126" s="940"/>
      <c r="JU126" s="940"/>
      <c r="JV126" s="940"/>
      <c r="JW126" s="940"/>
      <c r="JX126" s="940"/>
      <c r="JY126" s="940"/>
      <c r="JZ126" s="940"/>
      <c r="KA126" s="940"/>
      <c r="KB126" s="940"/>
      <c r="KC126" s="940"/>
      <c r="KD126" s="940"/>
      <c r="KE126" s="940"/>
      <c r="KF126" s="940"/>
      <c r="KG126" s="940"/>
      <c r="KH126" s="940"/>
      <c r="KI126" s="940"/>
      <c r="KJ126" s="940"/>
      <c r="KK126" s="940"/>
      <c r="KL126" s="940"/>
      <c r="KM126" s="940"/>
      <c r="KN126" s="940"/>
      <c r="KO126" s="940"/>
      <c r="KP126" s="940"/>
      <c r="KQ126" s="940"/>
      <c r="KR126" s="940"/>
      <c r="KS126" s="940"/>
      <c r="KT126" s="940"/>
      <c r="KU126" s="940"/>
      <c r="KV126" s="940"/>
      <c r="KW126" s="940"/>
      <c r="KX126" s="940"/>
      <c r="KY126" s="940"/>
      <c r="KZ126" s="940"/>
      <c r="LA126" s="940"/>
      <c r="LB126" s="940"/>
      <c r="LC126" s="940"/>
      <c r="LD126" s="940"/>
      <c r="LE126" s="940"/>
      <c r="LF126" s="940"/>
      <c r="LG126" s="940"/>
      <c r="LH126" s="940"/>
    </row>
    <row r="127" spans="1:320" s="462" customFormat="1" ht="15" hidden="1" customHeight="1" outlineLevel="1" x14ac:dyDescent="0.25">
      <c r="A127" s="1205">
        <v>41633</v>
      </c>
      <c r="B127" s="1205"/>
      <c r="C127" s="463"/>
      <c r="D127" s="463"/>
      <c r="H127" s="932"/>
      <c r="I127" s="37"/>
      <c r="J127" s="932"/>
      <c r="K127" s="37"/>
      <c r="L127" s="932"/>
      <c r="M127" s="37"/>
      <c r="N127" s="932"/>
      <c r="O127" s="37"/>
      <c r="P127" s="932"/>
      <c r="Q127" s="37"/>
      <c r="R127" s="932"/>
      <c r="S127" s="37"/>
      <c r="T127" s="37"/>
      <c r="U127" s="37"/>
      <c r="V127" s="932"/>
      <c r="W127" s="37"/>
      <c r="X127" s="932"/>
      <c r="Y127" s="37"/>
      <c r="Z127" s="932"/>
      <c r="AA127" s="37"/>
      <c r="AB127" s="932"/>
      <c r="AC127" s="37"/>
      <c r="AD127" s="932"/>
      <c r="AE127" s="37"/>
      <c r="AF127" s="932"/>
      <c r="AG127" s="37"/>
      <c r="AH127" s="37"/>
      <c r="AI127" s="37"/>
      <c r="AJ127" s="932"/>
      <c r="AK127" s="37"/>
      <c r="AL127" s="932"/>
      <c r="AM127" s="37"/>
      <c r="AN127" s="932"/>
      <c r="AO127" s="37"/>
      <c r="AP127" s="932"/>
      <c r="AQ127" s="37"/>
      <c r="AR127" s="37"/>
      <c r="AS127" s="37"/>
      <c r="AT127" s="37"/>
      <c r="AU127" s="37"/>
      <c r="AV127" s="37"/>
      <c r="AW127" s="37"/>
      <c r="AX127" s="932"/>
      <c r="AY127" s="37"/>
      <c r="AZ127" s="932"/>
      <c r="BA127" s="37"/>
      <c r="BB127" s="932"/>
      <c r="BC127" s="37"/>
      <c r="BD127" s="932"/>
      <c r="BE127" s="37"/>
      <c r="BF127" s="932"/>
      <c r="BG127" s="37"/>
      <c r="BH127" s="37"/>
      <c r="BI127" s="37"/>
      <c r="BJ127" s="37"/>
      <c r="BK127" s="37"/>
      <c r="BL127" s="932"/>
      <c r="BM127" s="37"/>
      <c r="BN127" s="932"/>
      <c r="BO127" s="37"/>
      <c r="BP127" s="932"/>
      <c r="BQ127" s="37"/>
      <c r="BR127" s="932"/>
      <c r="BS127" s="37"/>
      <c r="BT127" s="932"/>
      <c r="BU127" s="932"/>
      <c r="BV127" s="932"/>
      <c r="BW127" s="932"/>
      <c r="BX127" s="37"/>
      <c r="BY127" s="37"/>
      <c r="BZ127" s="932"/>
      <c r="CA127" s="37"/>
      <c r="CB127" s="932"/>
      <c r="CC127" s="37"/>
      <c r="CD127" s="932"/>
      <c r="CE127" s="37"/>
      <c r="CF127" s="932"/>
      <c r="CG127" s="37"/>
      <c r="CH127" s="932"/>
      <c r="CI127" s="932"/>
      <c r="CJ127" s="932"/>
      <c r="CK127" s="932"/>
      <c r="CL127" s="37"/>
      <c r="CM127" s="37"/>
      <c r="CN127" s="932"/>
      <c r="CO127" s="37"/>
      <c r="CP127" s="932"/>
      <c r="CQ127" s="37"/>
      <c r="CR127" s="932"/>
      <c r="CS127" s="37"/>
      <c r="CT127" s="932"/>
      <c r="CU127" s="37"/>
      <c r="CV127" s="932"/>
      <c r="CW127" s="932"/>
      <c r="CX127" s="932"/>
      <c r="CY127" s="932"/>
      <c r="CZ127" s="37"/>
      <c r="DA127" s="37"/>
      <c r="DB127" s="932"/>
      <c r="DC127" s="37"/>
      <c r="DD127" s="932"/>
      <c r="DE127" s="37"/>
      <c r="DF127" s="932"/>
      <c r="DG127" s="37"/>
      <c r="DH127" s="932"/>
      <c r="DI127" s="37"/>
      <c r="DJ127" s="932"/>
      <c r="DK127" s="932"/>
      <c r="DL127" s="932"/>
      <c r="DM127" s="932"/>
      <c r="DN127" s="37"/>
      <c r="DO127" s="37"/>
      <c r="DP127" s="932"/>
      <c r="DQ127" s="37"/>
      <c r="DR127" s="932"/>
      <c r="DS127" s="37"/>
      <c r="DT127" s="932"/>
      <c r="DU127" s="37"/>
      <c r="DV127" s="932"/>
      <c r="DW127" s="37"/>
      <c r="DX127" s="932"/>
      <c r="DY127" s="932"/>
      <c r="DZ127" s="932"/>
      <c r="EA127" s="932"/>
      <c r="EB127" s="37"/>
      <c r="EC127" s="37"/>
      <c r="EE127" s="937"/>
      <c r="EG127" s="938"/>
      <c r="EI127" s="938"/>
      <c r="EK127" s="938"/>
      <c r="EM127" s="938"/>
      <c r="EO127" s="938"/>
      <c r="EQ127" s="938"/>
      <c r="ES127" s="938"/>
      <c r="EU127" s="938"/>
      <c r="EW127" s="938"/>
      <c r="EY127" s="938"/>
      <c r="FA127" s="938"/>
      <c r="FC127" s="938"/>
      <c r="FE127" s="938"/>
      <c r="FG127" s="938"/>
      <c r="FI127" s="938"/>
      <c r="FK127" s="938"/>
      <c r="FM127" s="938"/>
      <c r="FO127" s="938"/>
      <c r="FQ127" s="938"/>
      <c r="FS127" s="938"/>
      <c r="FU127" s="938"/>
      <c r="FW127" s="938"/>
      <c r="FY127" s="938"/>
      <c r="GA127" s="938"/>
      <c r="GC127" s="938"/>
      <c r="GE127" s="938"/>
      <c r="GG127" s="938"/>
      <c r="GI127" s="938"/>
      <c r="GK127" s="938"/>
      <c r="GM127" s="938"/>
      <c r="GO127" s="938"/>
      <c r="GQ127" s="938"/>
      <c r="GS127" s="938"/>
      <c r="GU127" s="938"/>
      <c r="GW127" s="938"/>
      <c r="GY127" s="938"/>
      <c r="HA127" s="938"/>
      <c r="HC127" s="938"/>
      <c r="HE127" s="938"/>
      <c r="HG127" s="938"/>
      <c r="HI127" s="938"/>
      <c r="HK127" s="938"/>
      <c r="HM127" s="938"/>
      <c r="HO127" s="938"/>
      <c r="HQ127" s="938"/>
      <c r="HS127" s="938"/>
      <c r="HU127" s="938"/>
      <c r="HW127" s="938"/>
      <c r="HY127" s="938"/>
      <c r="IA127" s="938"/>
      <c r="IC127" s="938"/>
      <c r="IE127" s="938"/>
      <c r="IG127" s="938"/>
      <c r="II127" s="938"/>
      <c r="IK127" s="938"/>
      <c r="IM127" s="938"/>
      <c r="IO127" s="938"/>
      <c r="IQ127" s="938"/>
      <c r="IS127" s="938"/>
      <c r="IT127" s="932"/>
      <c r="IU127" s="938"/>
      <c r="IW127" s="939"/>
      <c r="IX127" s="938"/>
      <c r="IY127" s="938"/>
      <c r="IZ127" s="938"/>
      <c r="JB127" s="940"/>
      <c r="JC127" s="940"/>
      <c r="JD127" s="940"/>
      <c r="JE127" s="940"/>
      <c r="JF127" s="940"/>
      <c r="JG127" s="940"/>
      <c r="JH127" s="940"/>
      <c r="JI127" s="940"/>
      <c r="JJ127" s="940"/>
      <c r="JK127" s="940"/>
      <c r="JL127" s="940"/>
      <c r="JM127" s="940"/>
      <c r="JN127" s="940"/>
      <c r="JO127" s="940"/>
      <c r="JP127" s="940"/>
      <c r="JQ127" s="940"/>
      <c r="JR127" s="940"/>
      <c r="JS127" s="940"/>
      <c r="JT127" s="940"/>
      <c r="JU127" s="940"/>
      <c r="JV127" s="940"/>
      <c r="JW127" s="940"/>
      <c r="JX127" s="940"/>
      <c r="JY127" s="940"/>
      <c r="JZ127" s="940"/>
      <c r="KA127" s="940"/>
      <c r="KB127" s="940"/>
      <c r="KC127" s="940"/>
      <c r="KD127" s="940"/>
      <c r="KE127" s="940"/>
      <c r="KF127" s="940"/>
      <c r="KG127" s="940"/>
      <c r="KH127" s="940"/>
      <c r="KI127" s="940"/>
      <c r="KJ127" s="940"/>
      <c r="KK127" s="940"/>
      <c r="KL127" s="940"/>
      <c r="KM127" s="940"/>
      <c r="KN127" s="940"/>
      <c r="KO127" s="940"/>
      <c r="KP127" s="940"/>
      <c r="KQ127" s="940"/>
      <c r="KR127" s="940"/>
      <c r="KS127" s="940"/>
      <c r="KT127" s="940"/>
      <c r="KU127" s="940"/>
      <c r="KV127" s="940"/>
      <c r="KW127" s="940"/>
      <c r="KX127" s="940"/>
      <c r="KY127" s="940"/>
      <c r="KZ127" s="940"/>
      <c r="LA127" s="940"/>
      <c r="LB127" s="940"/>
      <c r="LC127" s="940"/>
      <c r="LD127" s="940"/>
      <c r="LE127" s="940"/>
      <c r="LF127" s="940"/>
      <c r="LG127" s="940"/>
      <c r="LH127" s="940"/>
    </row>
    <row r="128" spans="1:320" s="462" customFormat="1" ht="15" hidden="1" customHeight="1" outlineLevel="1" x14ac:dyDescent="0.25">
      <c r="A128" s="1205">
        <v>41634</v>
      </c>
      <c r="B128" s="1205"/>
      <c r="C128" s="463"/>
      <c r="D128" s="463"/>
      <c r="H128" s="932"/>
      <c r="I128" s="37"/>
      <c r="J128" s="932"/>
      <c r="K128" s="37"/>
      <c r="L128" s="932"/>
      <c r="M128" s="37"/>
      <c r="N128" s="932"/>
      <c r="O128" s="37"/>
      <c r="P128" s="932"/>
      <c r="Q128" s="37"/>
      <c r="R128" s="932"/>
      <c r="S128" s="37"/>
      <c r="T128" s="37"/>
      <c r="U128" s="37"/>
      <c r="V128" s="932"/>
      <c r="W128" s="37"/>
      <c r="X128" s="932"/>
      <c r="Y128" s="37"/>
      <c r="Z128" s="932"/>
      <c r="AA128" s="37"/>
      <c r="AB128" s="932"/>
      <c r="AC128" s="37"/>
      <c r="AD128" s="932"/>
      <c r="AE128" s="37"/>
      <c r="AF128" s="932"/>
      <c r="AG128" s="37"/>
      <c r="AH128" s="37"/>
      <c r="AI128" s="37"/>
      <c r="AJ128" s="932"/>
      <c r="AK128" s="37"/>
      <c r="AL128" s="932"/>
      <c r="AM128" s="37"/>
      <c r="AN128" s="932"/>
      <c r="AO128" s="37"/>
      <c r="AP128" s="932"/>
      <c r="AQ128" s="37"/>
      <c r="AR128" s="37"/>
      <c r="AS128" s="37"/>
      <c r="AT128" s="37"/>
      <c r="AU128" s="37"/>
      <c r="AV128" s="37"/>
      <c r="AW128" s="37"/>
      <c r="AX128" s="932"/>
      <c r="AY128" s="37"/>
      <c r="AZ128" s="932"/>
      <c r="BA128" s="37"/>
      <c r="BB128" s="932"/>
      <c r="BC128" s="37"/>
      <c r="BD128" s="932"/>
      <c r="BE128" s="37"/>
      <c r="BF128" s="932"/>
      <c r="BG128" s="37"/>
      <c r="BH128" s="37"/>
      <c r="BI128" s="37"/>
      <c r="BJ128" s="37"/>
      <c r="BK128" s="37"/>
      <c r="BL128" s="932"/>
      <c r="BM128" s="37"/>
      <c r="BN128" s="932"/>
      <c r="BO128" s="37"/>
      <c r="BP128" s="932"/>
      <c r="BQ128" s="37"/>
      <c r="BR128" s="932"/>
      <c r="BS128" s="37"/>
      <c r="BT128" s="932"/>
      <c r="BU128" s="932"/>
      <c r="BV128" s="932"/>
      <c r="BW128" s="932"/>
      <c r="BX128" s="37"/>
      <c r="BY128" s="37"/>
      <c r="BZ128" s="932"/>
      <c r="CA128" s="37"/>
      <c r="CB128" s="932"/>
      <c r="CC128" s="37"/>
      <c r="CD128" s="932"/>
      <c r="CE128" s="37"/>
      <c r="CF128" s="932"/>
      <c r="CG128" s="37"/>
      <c r="CH128" s="932"/>
      <c r="CI128" s="932"/>
      <c r="CJ128" s="932"/>
      <c r="CK128" s="932"/>
      <c r="CL128" s="37"/>
      <c r="CM128" s="37"/>
      <c r="CN128" s="932"/>
      <c r="CO128" s="37"/>
      <c r="CP128" s="932"/>
      <c r="CQ128" s="37"/>
      <c r="CR128" s="932"/>
      <c r="CS128" s="37"/>
      <c r="CT128" s="932"/>
      <c r="CU128" s="37"/>
      <c r="CV128" s="932"/>
      <c r="CW128" s="932"/>
      <c r="CX128" s="932"/>
      <c r="CY128" s="932"/>
      <c r="CZ128" s="37"/>
      <c r="DA128" s="37"/>
      <c r="DB128" s="932"/>
      <c r="DC128" s="37"/>
      <c r="DD128" s="932"/>
      <c r="DE128" s="37"/>
      <c r="DF128" s="932"/>
      <c r="DG128" s="37"/>
      <c r="DH128" s="932"/>
      <c r="DI128" s="37"/>
      <c r="DJ128" s="932"/>
      <c r="DK128" s="932"/>
      <c r="DL128" s="932"/>
      <c r="DM128" s="932"/>
      <c r="DN128" s="37"/>
      <c r="DO128" s="37"/>
      <c r="DP128" s="932"/>
      <c r="DQ128" s="37"/>
      <c r="DR128" s="932"/>
      <c r="DS128" s="37"/>
      <c r="DT128" s="932"/>
      <c r="DU128" s="37"/>
      <c r="DV128" s="932"/>
      <c r="DW128" s="37"/>
      <c r="DX128" s="932"/>
      <c r="DY128" s="932"/>
      <c r="DZ128" s="932"/>
      <c r="EA128" s="932"/>
      <c r="EB128" s="37"/>
      <c r="EC128" s="37"/>
      <c r="EE128" s="937"/>
      <c r="EG128" s="938"/>
      <c r="EI128" s="938"/>
      <c r="EK128" s="938"/>
      <c r="EM128" s="938"/>
      <c r="EO128" s="938"/>
      <c r="EQ128" s="938"/>
      <c r="ES128" s="938"/>
      <c r="EU128" s="938"/>
      <c r="EW128" s="938"/>
      <c r="EY128" s="938"/>
      <c r="FA128" s="938"/>
      <c r="FC128" s="938"/>
      <c r="FE128" s="938"/>
      <c r="FG128" s="938"/>
      <c r="FI128" s="938"/>
      <c r="FK128" s="938"/>
      <c r="FM128" s="938"/>
      <c r="FO128" s="938"/>
      <c r="FQ128" s="938"/>
      <c r="FS128" s="938"/>
      <c r="FU128" s="938"/>
      <c r="FW128" s="938"/>
      <c r="FY128" s="938"/>
      <c r="GA128" s="938"/>
      <c r="GC128" s="938"/>
      <c r="GE128" s="938"/>
      <c r="GG128" s="938"/>
      <c r="GI128" s="938"/>
      <c r="GK128" s="938"/>
      <c r="GM128" s="938"/>
      <c r="GO128" s="938"/>
      <c r="GQ128" s="938"/>
      <c r="GS128" s="938"/>
      <c r="GU128" s="938"/>
      <c r="GW128" s="938"/>
      <c r="GY128" s="938"/>
      <c r="HA128" s="938"/>
      <c r="HC128" s="938"/>
      <c r="HE128" s="938"/>
      <c r="HG128" s="938"/>
      <c r="HI128" s="938"/>
      <c r="HK128" s="938"/>
      <c r="HM128" s="938"/>
      <c r="HO128" s="938"/>
      <c r="HQ128" s="938"/>
      <c r="HS128" s="938"/>
      <c r="HU128" s="938"/>
      <c r="HW128" s="938"/>
      <c r="HY128" s="938"/>
      <c r="IA128" s="938"/>
      <c r="IC128" s="938"/>
      <c r="IE128" s="938"/>
      <c r="IG128" s="938"/>
      <c r="II128" s="938"/>
      <c r="IK128" s="938"/>
      <c r="IM128" s="938"/>
      <c r="IO128" s="938"/>
      <c r="IQ128" s="938"/>
      <c r="IS128" s="938"/>
      <c r="IT128" s="932"/>
      <c r="IU128" s="938"/>
      <c r="IW128" s="939"/>
      <c r="IX128" s="938"/>
      <c r="IY128" s="938"/>
      <c r="IZ128" s="938"/>
      <c r="JB128" s="940"/>
      <c r="JC128" s="940"/>
      <c r="JD128" s="940"/>
      <c r="JE128" s="940"/>
      <c r="JF128" s="940"/>
      <c r="JG128" s="940"/>
      <c r="JH128" s="940"/>
      <c r="JI128" s="940"/>
      <c r="JJ128" s="940"/>
      <c r="JK128" s="940"/>
      <c r="JL128" s="940"/>
      <c r="JM128" s="940"/>
      <c r="JN128" s="940"/>
      <c r="JO128" s="940"/>
      <c r="JP128" s="940"/>
      <c r="JQ128" s="940"/>
      <c r="JR128" s="940"/>
      <c r="JS128" s="940"/>
      <c r="JT128" s="940"/>
      <c r="JU128" s="940"/>
      <c r="JV128" s="940"/>
      <c r="JW128" s="940"/>
      <c r="JX128" s="940"/>
      <c r="JY128" s="940"/>
      <c r="JZ128" s="940"/>
      <c r="KA128" s="940"/>
      <c r="KB128" s="940"/>
      <c r="KC128" s="940"/>
      <c r="KD128" s="940"/>
      <c r="KE128" s="940"/>
      <c r="KF128" s="940"/>
      <c r="KG128" s="940"/>
      <c r="KH128" s="940"/>
      <c r="KI128" s="940"/>
      <c r="KJ128" s="940"/>
      <c r="KK128" s="940"/>
      <c r="KL128" s="940"/>
      <c r="KM128" s="940"/>
      <c r="KN128" s="940"/>
      <c r="KO128" s="940"/>
      <c r="KP128" s="940"/>
      <c r="KQ128" s="940"/>
      <c r="KR128" s="940"/>
      <c r="KS128" s="940"/>
      <c r="KT128" s="940"/>
      <c r="KU128" s="940"/>
      <c r="KV128" s="940"/>
      <c r="KW128" s="940"/>
      <c r="KX128" s="940"/>
      <c r="KY128" s="940"/>
      <c r="KZ128" s="940"/>
      <c r="LA128" s="940"/>
      <c r="LB128" s="940"/>
      <c r="LC128" s="940"/>
      <c r="LD128" s="940"/>
      <c r="LE128" s="940"/>
      <c r="LF128" s="940"/>
      <c r="LG128" s="940"/>
      <c r="LH128" s="940"/>
    </row>
    <row r="129" spans="1:320" s="462" customFormat="1" ht="15" hidden="1" customHeight="1" outlineLevel="1" x14ac:dyDescent="0.25">
      <c r="A129" s="1205">
        <v>41635</v>
      </c>
      <c r="B129" s="1205"/>
      <c r="C129" s="463"/>
      <c r="D129" s="461"/>
      <c r="H129" s="932"/>
      <c r="I129" s="37"/>
      <c r="J129" s="932"/>
      <c r="K129" s="37"/>
      <c r="L129" s="932"/>
      <c r="M129" s="37"/>
      <c r="N129" s="932"/>
      <c r="O129" s="37"/>
      <c r="P129" s="932"/>
      <c r="Q129" s="37"/>
      <c r="R129" s="932"/>
      <c r="S129" s="37"/>
      <c r="T129" s="37"/>
      <c r="U129" s="37"/>
      <c r="V129" s="932"/>
      <c r="W129" s="37"/>
      <c r="X129" s="932"/>
      <c r="Y129" s="37"/>
      <c r="Z129" s="932"/>
      <c r="AA129" s="37"/>
      <c r="AB129" s="932"/>
      <c r="AC129" s="37"/>
      <c r="AD129" s="932"/>
      <c r="AE129" s="37"/>
      <c r="AF129" s="932"/>
      <c r="AG129" s="37"/>
      <c r="AH129" s="37"/>
      <c r="AI129" s="37"/>
      <c r="AJ129" s="932"/>
      <c r="AK129" s="37"/>
      <c r="AL129" s="932"/>
      <c r="AM129" s="37"/>
      <c r="AN129" s="932"/>
      <c r="AO129" s="37"/>
      <c r="AP129" s="932"/>
      <c r="AQ129" s="37"/>
      <c r="AR129" s="37"/>
      <c r="AS129" s="37"/>
      <c r="AT129" s="37"/>
      <c r="AU129" s="37"/>
      <c r="AV129" s="37"/>
      <c r="AW129" s="37"/>
      <c r="AX129" s="932"/>
      <c r="AY129" s="37"/>
      <c r="AZ129" s="932"/>
      <c r="BA129" s="37"/>
      <c r="BB129" s="932"/>
      <c r="BC129" s="37"/>
      <c r="BD129" s="932"/>
      <c r="BE129" s="37"/>
      <c r="BF129" s="932"/>
      <c r="BG129" s="37"/>
      <c r="BH129" s="37"/>
      <c r="BI129" s="37"/>
      <c r="BJ129" s="37"/>
      <c r="BK129" s="37"/>
      <c r="BL129" s="932"/>
      <c r="BM129" s="37"/>
      <c r="BN129" s="932"/>
      <c r="BO129" s="37"/>
      <c r="BP129" s="932"/>
      <c r="BQ129" s="37"/>
      <c r="BR129" s="932"/>
      <c r="BS129" s="37"/>
      <c r="BT129" s="932"/>
      <c r="BU129" s="932"/>
      <c r="BV129" s="932"/>
      <c r="BW129" s="932"/>
      <c r="BX129" s="37"/>
      <c r="BY129" s="37"/>
      <c r="BZ129" s="932"/>
      <c r="CA129" s="37"/>
      <c r="CB129" s="932"/>
      <c r="CC129" s="37"/>
      <c r="CD129" s="932"/>
      <c r="CE129" s="37"/>
      <c r="CF129" s="932"/>
      <c r="CG129" s="37"/>
      <c r="CH129" s="932"/>
      <c r="CI129" s="932"/>
      <c r="CJ129" s="932"/>
      <c r="CK129" s="932"/>
      <c r="CL129" s="37"/>
      <c r="CM129" s="37"/>
      <c r="CN129" s="932"/>
      <c r="CO129" s="37"/>
      <c r="CP129" s="932"/>
      <c r="CQ129" s="37"/>
      <c r="CR129" s="932"/>
      <c r="CS129" s="37"/>
      <c r="CT129" s="932"/>
      <c r="CU129" s="37"/>
      <c r="CV129" s="932"/>
      <c r="CW129" s="932"/>
      <c r="CX129" s="932"/>
      <c r="CY129" s="932"/>
      <c r="CZ129" s="37"/>
      <c r="DA129" s="37"/>
      <c r="DB129" s="932"/>
      <c r="DC129" s="37"/>
      <c r="DD129" s="932"/>
      <c r="DE129" s="37"/>
      <c r="DF129" s="932"/>
      <c r="DG129" s="37"/>
      <c r="DH129" s="932"/>
      <c r="DI129" s="37"/>
      <c r="DJ129" s="932"/>
      <c r="DK129" s="932"/>
      <c r="DL129" s="932"/>
      <c r="DM129" s="932"/>
      <c r="DN129" s="37"/>
      <c r="DO129" s="37"/>
      <c r="DP129" s="932"/>
      <c r="DQ129" s="37"/>
      <c r="DR129" s="932"/>
      <c r="DS129" s="37"/>
      <c r="DT129" s="932"/>
      <c r="DU129" s="37"/>
      <c r="DV129" s="932"/>
      <c r="DW129" s="37"/>
      <c r="DX129" s="932"/>
      <c r="DY129" s="932"/>
      <c r="DZ129" s="932"/>
      <c r="EA129" s="932"/>
      <c r="EB129" s="37"/>
      <c r="EC129" s="37"/>
      <c r="EE129" s="937"/>
      <c r="EG129" s="938"/>
      <c r="EI129" s="938"/>
      <c r="EK129" s="938"/>
      <c r="EM129" s="938"/>
      <c r="EO129" s="938"/>
      <c r="EQ129" s="938"/>
      <c r="ES129" s="938"/>
      <c r="EU129" s="938"/>
      <c r="EW129" s="938"/>
      <c r="EY129" s="938"/>
      <c r="FA129" s="938"/>
      <c r="FC129" s="938"/>
      <c r="FE129" s="938"/>
      <c r="FG129" s="938"/>
      <c r="FI129" s="938"/>
      <c r="FK129" s="938"/>
      <c r="FM129" s="938"/>
      <c r="FO129" s="938"/>
      <c r="FQ129" s="938"/>
      <c r="FS129" s="938"/>
      <c r="FU129" s="938"/>
      <c r="FW129" s="938"/>
      <c r="FY129" s="938"/>
      <c r="GA129" s="938"/>
      <c r="GC129" s="938"/>
      <c r="GE129" s="938"/>
      <c r="GG129" s="938"/>
      <c r="GI129" s="938"/>
      <c r="GK129" s="938"/>
      <c r="GM129" s="938"/>
      <c r="GO129" s="938"/>
      <c r="GQ129" s="938"/>
      <c r="GS129" s="938"/>
      <c r="GU129" s="938"/>
      <c r="GW129" s="938"/>
      <c r="GY129" s="938"/>
      <c r="HA129" s="938"/>
      <c r="HC129" s="938"/>
      <c r="HE129" s="938"/>
      <c r="HG129" s="938"/>
      <c r="HI129" s="938"/>
      <c r="HK129" s="938"/>
      <c r="HM129" s="938"/>
      <c r="HO129" s="938"/>
      <c r="HQ129" s="938"/>
      <c r="HS129" s="938"/>
      <c r="HU129" s="938"/>
      <c r="HW129" s="938"/>
      <c r="HY129" s="938"/>
      <c r="IA129" s="938"/>
      <c r="IC129" s="938"/>
      <c r="IE129" s="938"/>
      <c r="IG129" s="938"/>
      <c r="II129" s="938"/>
      <c r="IK129" s="938"/>
      <c r="IM129" s="938"/>
      <c r="IO129" s="938"/>
      <c r="IQ129" s="938"/>
      <c r="IS129" s="938"/>
      <c r="IT129" s="932"/>
      <c r="IU129" s="938"/>
      <c r="IW129" s="939"/>
      <c r="IX129" s="938"/>
      <c r="IY129" s="938"/>
      <c r="IZ129" s="938"/>
      <c r="JB129" s="940"/>
      <c r="JC129" s="940"/>
      <c r="JD129" s="940"/>
      <c r="JE129" s="940"/>
      <c r="JF129" s="940"/>
      <c r="JG129" s="940"/>
      <c r="JH129" s="940"/>
      <c r="JI129" s="940"/>
      <c r="JJ129" s="940"/>
      <c r="JK129" s="940"/>
      <c r="JL129" s="940"/>
      <c r="JM129" s="940"/>
      <c r="JN129" s="940"/>
      <c r="JO129" s="940"/>
      <c r="JP129" s="940"/>
      <c r="JQ129" s="940"/>
      <c r="JR129" s="940"/>
      <c r="JS129" s="940"/>
      <c r="JT129" s="940"/>
      <c r="JU129" s="940"/>
      <c r="JV129" s="940"/>
      <c r="JW129" s="940"/>
      <c r="JX129" s="940"/>
      <c r="JY129" s="940"/>
      <c r="JZ129" s="940"/>
      <c r="KA129" s="940"/>
      <c r="KB129" s="940"/>
      <c r="KC129" s="940"/>
      <c r="KD129" s="940"/>
      <c r="KE129" s="940"/>
      <c r="KF129" s="940"/>
      <c r="KG129" s="940"/>
      <c r="KH129" s="940"/>
      <c r="KI129" s="940"/>
      <c r="KJ129" s="940"/>
      <c r="KK129" s="940"/>
      <c r="KL129" s="940"/>
      <c r="KM129" s="940"/>
      <c r="KN129" s="940"/>
      <c r="KO129" s="940"/>
      <c r="KP129" s="940"/>
      <c r="KQ129" s="940"/>
      <c r="KR129" s="940"/>
      <c r="KS129" s="940"/>
      <c r="KT129" s="940"/>
      <c r="KU129" s="940"/>
      <c r="KV129" s="940"/>
      <c r="KW129" s="940"/>
      <c r="KX129" s="940"/>
      <c r="KY129" s="940"/>
      <c r="KZ129" s="940"/>
      <c r="LA129" s="940"/>
      <c r="LB129" s="940"/>
      <c r="LC129" s="940"/>
      <c r="LD129" s="940"/>
      <c r="LE129" s="940"/>
      <c r="LF129" s="940"/>
      <c r="LG129" s="940"/>
      <c r="LH129" s="940"/>
    </row>
    <row r="130" spans="1:320" s="462" customFormat="1" ht="15" hidden="1" customHeight="1" outlineLevel="1" x14ac:dyDescent="0.25">
      <c r="A130" s="1205">
        <v>41640</v>
      </c>
      <c r="B130" s="1205"/>
      <c r="C130" s="463"/>
      <c r="D130" s="461"/>
      <c r="H130" s="932"/>
      <c r="I130" s="37"/>
      <c r="J130" s="932"/>
      <c r="K130" s="37"/>
      <c r="L130" s="932"/>
      <c r="M130" s="37"/>
      <c r="N130" s="932"/>
      <c r="O130" s="37"/>
      <c r="P130" s="932"/>
      <c r="Q130" s="37"/>
      <c r="R130" s="932"/>
      <c r="S130" s="37"/>
      <c r="T130" s="37"/>
      <c r="U130" s="37"/>
      <c r="V130" s="932"/>
      <c r="W130" s="37"/>
      <c r="X130" s="932"/>
      <c r="Y130" s="37"/>
      <c r="Z130" s="932"/>
      <c r="AA130" s="37"/>
      <c r="AB130" s="932"/>
      <c r="AC130" s="37"/>
      <c r="AD130" s="932"/>
      <c r="AE130" s="37"/>
      <c r="AF130" s="932"/>
      <c r="AG130" s="37"/>
      <c r="AH130" s="37"/>
      <c r="AI130" s="37"/>
      <c r="AJ130" s="932"/>
      <c r="AK130" s="37"/>
      <c r="AL130" s="932"/>
      <c r="AM130" s="37"/>
      <c r="AN130" s="932"/>
      <c r="AO130" s="37"/>
      <c r="AP130" s="932"/>
      <c r="AQ130" s="37"/>
      <c r="AR130" s="37"/>
      <c r="AS130" s="37"/>
      <c r="AT130" s="37"/>
      <c r="AU130" s="37"/>
      <c r="AV130" s="37"/>
      <c r="AW130" s="37"/>
      <c r="AX130" s="932"/>
      <c r="AY130" s="37"/>
      <c r="AZ130" s="932"/>
      <c r="BA130" s="37"/>
      <c r="BB130" s="932"/>
      <c r="BC130" s="37"/>
      <c r="BD130" s="932"/>
      <c r="BE130" s="37"/>
      <c r="BF130" s="932"/>
      <c r="BG130" s="37"/>
      <c r="BH130" s="37"/>
      <c r="BI130" s="37"/>
      <c r="BJ130" s="37"/>
      <c r="BK130" s="37"/>
      <c r="BL130" s="932"/>
      <c r="BM130" s="37"/>
      <c r="BN130" s="932"/>
      <c r="BO130" s="37"/>
      <c r="BP130" s="932"/>
      <c r="BQ130" s="37"/>
      <c r="BR130" s="932"/>
      <c r="BS130" s="37"/>
      <c r="BT130" s="932"/>
      <c r="BU130" s="932"/>
      <c r="BV130" s="932"/>
      <c r="BW130" s="932"/>
      <c r="BX130" s="37"/>
      <c r="BY130" s="37"/>
      <c r="BZ130" s="932"/>
      <c r="CA130" s="37"/>
      <c r="CB130" s="932"/>
      <c r="CC130" s="37"/>
      <c r="CD130" s="932"/>
      <c r="CE130" s="37"/>
      <c r="CF130" s="932"/>
      <c r="CG130" s="37"/>
      <c r="CH130" s="932"/>
      <c r="CI130" s="932"/>
      <c r="CJ130" s="932"/>
      <c r="CK130" s="932"/>
      <c r="CL130" s="37"/>
      <c r="CM130" s="37"/>
      <c r="CN130" s="932"/>
      <c r="CO130" s="37"/>
      <c r="CP130" s="932"/>
      <c r="CQ130" s="37"/>
      <c r="CR130" s="932"/>
      <c r="CS130" s="37"/>
      <c r="CT130" s="932"/>
      <c r="CU130" s="37"/>
      <c r="CV130" s="932"/>
      <c r="CW130" s="932"/>
      <c r="CX130" s="932"/>
      <c r="CY130" s="932"/>
      <c r="CZ130" s="37"/>
      <c r="DA130" s="37"/>
      <c r="DB130" s="932"/>
      <c r="DC130" s="37"/>
      <c r="DD130" s="932"/>
      <c r="DE130" s="37"/>
      <c r="DF130" s="932"/>
      <c r="DG130" s="37"/>
      <c r="DH130" s="932"/>
      <c r="DI130" s="37"/>
      <c r="DJ130" s="932"/>
      <c r="DK130" s="932"/>
      <c r="DL130" s="932"/>
      <c r="DM130" s="932"/>
      <c r="DN130" s="37"/>
      <c r="DO130" s="37"/>
      <c r="DP130" s="932"/>
      <c r="DQ130" s="37"/>
      <c r="DR130" s="932"/>
      <c r="DS130" s="37"/>
      <c r="DT130" s="932"/>
      <c r="DU130" s="37"/>
      <c r="DV130" s="932"/>
      <c r="DW130" s="37"/>
      <c r="DX130" s="932"/>
      <c r="DY130" s="932"/>
      <c r="DZ130" s="932"/>
      <c r="EA130" s="932"/>
      <c r="EB130" s="37"/>
      <c r="EC130" s="37"/>
      <c r="EE130" s="941"/>
      <c r="EG130" s="938"/>
      <c r="EI130" s="938"/>
      <c r="EK130" s="938"/>
      <c r="EM130" s="938"/>
      <c r="EO130" s="938"/>
      <c r="EQ130" s="938"/>
      <c r="ES130" s="938"/>
      <c r="EU130" s="938"/>
      <c r="EW130" s="938"/>
      <c r="EY130" s="938"/>
      <c r="FA130" s="938"/>
      <c r="FC130" s="938"/>
      <c r="FE130" s="938"/>
      <c r="FG130" s="938"/>
      <c r="FI130" s="938"/>
      <c r="FK130" s="938"/>
      <c r="FM130" s="938"/>
      <c r="FO130" s="938"/>
      <c r="FQ130" s="938"/>
      <c r="FS130" s="938"/>
      <c r="FU130" s="938"/>
      <c r="FW130" s="938"/>
      <c r="FY130" s="938"/>
      <c r="GA130" s="938"/>
      <c r="GC130" s="938"/>
      <c r="GE130" s="938"/>
      <c r="GG130" s="938"/>
      <c r="GI130" s="938"/>
      <c r="GK130" s="938"/>
      <c r="GM130" s="938"/>
      <c r="GO130" s="938"/>
      <c r="GQ130" s="938"/>
      <c r="GS130" s="938"/>
      <c r="GU130" s="938"/>
      <c r="GW130" s="938"/>
      <c r="GY130" s="938"/>
      <c r="HA130" s="938"/>
      <c r="HC130" s="938"/>
      <c r="HE130" s="938"/>
      <c r="HG130" s="938"/>
      <c r="HI130" s="938"/>
      <c r="HK130" s="938"/>
      <c r="HM130" s="938"/>
      <c r="HO130" s="938"/>
      <c r="HQ130" s="938"/>
      <c r="HS130" s="938"/>
      <c r="HU130" s="938"/>
      <c r="HW130" s="938"/>
      <c r="HY130" s="938"/>
      <c r="IA130" s="938"/>
      <c r="IC130" s="938"/>
      <c r="IE130" s="938"/>
      <c r="IG130" s="938"/>
      <c r="II130" s="938"/>
      <c r="IK130" s="938"/>
      <c r="IM130" s="938"/>
      <c r="IO130" s="938"/>
      <c r="IQ130" s="938"/>
      <c r="IS130" s="938"/>
      <c r="IT130" s="932"/>
      <c r="IU130" s="938"/>
      <c r="IW130" s="939"/>
      <c r="IX130" s="938"/>
      <c r="IY130" s="938"/>
      <c r="IZ130" s="938"/>
      <c r="JB130" s="940"/>
      <c r="JC130" s="940"/>
      <c r="JD130" s="940"/>
      <c r="JE130" s="940"/>
      <c r="JF130" s="940"/>
      <c r="JG130" s="940"/>
      <c r="JH130" s="940"/>
      <c r="JI130" s="940"/>
      <c r="JJ130" s="940"/>
      <c r="JK130" s="940"/>
      <c r="JL130" s="940"/>
      <c r="JM130" s="940"/>
      <c r="JN130" s="940"/>
      <c r="JO130" s="940"/>
      <c r="JP130" s="940"/>
      <c r="JQ130" s="940"/>
      <c r="JR130" s="940"/>
      <c r="JS130" s="940"/>
      <c r="JT130" s="940"/>
      <c r="JU130" s="940"/>
      <c r="JV130" s="940"/>
      <c r="JW130" s="940"/>
      <c r="JX130" s="940"/>
      <c r="JY130" s="940"/>
      <c r="JZ130" s="940"/>
      <c r="KA130" s="940"/>
      <c r="KB130" s="940"/>
      <c r="KC130" s="940"/>
      <c r="KD130" s="940"/>
      <c r="KE130" s="940"/>
      <c r="KF130" s="940"/>
      <c r="KG130" s="940"/>
      <c r="KH130" s="940"/>
      <c r="KI130" s="940"/>
      <c r="KJ130" s="940"/>
      <c r="KK130" s="940"/>
      <c r="KL130" s="940"/>
      <c r="KM130" s="940"/>
      <c r="KN130" s="940"/>
      <c r="KO130" s="940"/>
      <c r="KP130" s="940"/>
      <c r="KQ130" s="940"/>
      <c r="KR130" s="940"/>
      <c r="KS130" s="940"/>
      <c r="KT130" s="940"/>
      <c r="KU130" s="940"/>
      <c r="KV130" s="940"/>
      <c r="KW130" s="940"/>
      <c r="KX130" s="940"/>
      <c r="KY130" s="940"/>
      <c r="KZ130" s="940"/>
      <c r="LA130" s="940"/>
      <c r="LB130" s="940"/>
      <c r="LC130" s="940"/>
      <c r="LD130" s="940"/>
      <c r="LE130" s="940"/>
      <c r="LF130" s="940"/>
      <c r="LG130" s="940"/>
      <c r="LH130" s="940"/>
    </row>
    <row r="131" spans="1:320" s="462" customFormat="1" ht="15" hidden="1" customHeight="1" outlineLevel="1" x14ac:dyDescent="0.25">
      <c r="A131" s="1205">
        <v>41659</v>
      </c>
      <c r="B131" s="1205"/>
      <c r="C131" s="463"/>
      <c r="D131" s="461"/>
      <c r="H131" s="932"/>
      <c r="I131" s="37"/>
      <c r="J131" s="932"/>
      <c r="K131" s="37"/>
      <c r="L131" s="932"/>
      <c r="M131" s="37"/>
      <c r="N131" s="932"/>
      <c r="O131" s="37"/>
      <c r="P131" s="932"/>
      <c r="Q131" s="37"/>
      <c r="R131" s="932"/>
      <c r="S131" s="37"/>
      <c r="T131" s="37"/>
      <c r="U131" s="37"/>
      <c r="V131" s="932"/>
      <c r="W131" s="37"/>
      <c r="X131" s="932"/>
      <c r="Y131" s="37"/>
      <c r="Z131" s="932"/>
      <c r="AA131" s="37"/>
      <c r="AB131" s="932"/>
      <c r="AC131" s="37"/>
      <c r="AD131" s="932"/>
      <c r="AE131" s="37"/>
      <c r="AF131" s="932"/>
      <c r="AG131" s="37"/>
      <c r="AH131" s="37"/>
      <c r="AI131" s="37"/>
      <c r="AJ131" s="932"/>
      <c r="AK131" s="37"/>
      <c r="AL131" s="932"/>
      <c r="AM131" s="37"/>
      <c r="AN131" s="932"/>
      <c r="AO131" s="37"/>
      <c r="AP131" s="932"/>
      <c r="AQ131" s="37"/>
      <c r="AR131" s="37"/>
      <c r="AS131" s="37"/>
      <c r="AT131" s="37"/>
      <c r="AU131" s="37"/>
      <c r="AV131" s="37"/>
      <c r="AW131" s="37"/>
      <c r="AX131" s="932"/>
      <c r="AY131" s="37"/>
      <c r="AZ131" s="932"/>
      <c r="BA131" s="37"/>
      <c r="BB131" s="932"/>
      <c r="BC131" s="37"/>
      <c r="BD131" s="932"/>
      <c r="BE131" s="37"/>
      <c r="BF131" s="932"/>
      <c r="BG131" s="37"/>
      <c r="BH131" s="37"/>
      <c r="BI131" s="37"/>
      <c r="BJ131" s="37"/>
      <c r="BK131" s="37"/>
      <c r="BL131" s="932"/>
      <c r="BM131" s="37"/>
      <c r="BN131" s="932"/>
      <c r="BO131" s="37"/>
      <c r="BP131" s="932"/>
      <c r="BQ131" s="37"/>
      <c r="BR131" s="932"/>
      <c r="BS131" s="37"/>
      <c r="BT131" s="932"/>
      <c r="BU131" s="932"/>
      <c r="BV131" s="932"/>
      <c r="BW131" s="932"/>
      <c r="BX131" s="37"/>
      <c r="BY131" s="37"/>
      <c r="BZ131" s="932"/>
      <c r="CA131" s="37"/>
      <c r="CB131" s="932"/>
      <c r="CC131" s="37"/>
      <c r="CD131" s="932"/>
      <c r="CE131" s="37"/>
      <c r="CF131" s="932"/>
      <c r="CG131" s="37"/>
      <c r="CH131" s="932"/>
      <c r="CI131" s="932"/>
      <c r="CJ131" s="932"/>
      <c r="CK131" s="932"/>
      <c r="CL131" s="37"/>
      <c r="CM131" s="37"/>
      <c r="CN131" s="932"/>
      <c r="CO131" s="37"/>
      <c r="CP131" s="932"/>
      <c r="CQ131" s="37"/>
      <c r="CR131" s="932"/>
      <c r="CS131" s="37"/>
      <c r="CT131" s="932"/>
      <c r="CU131" s="37"/>
      <c r="CV131" s="932"/>
      <c r="CW131" s="932"/>
      <c r="CX131" s="932"/>
      <c r="CY131" s="932"/>
      <c r="CZ131" s="37"/>
      <c r="DA131" s="37"/>
      <c r="DB131" s="932"/>
      <c r="DC131" s="37"/>
      <c r="DD131" s="932"/>
      <c r="DE131" s="37"/>
      <c r="DF131" s="932"/>
      <c r="DG131" s="37"/>
      <c r="DH131" s="932"/>
      <c r="DI131" s="37"/>
      <c r="DJ131" s="932"/>
      <c r="DK131" s="932"/>
      <c r="DL131" s="932"/>
      <c r="DM131" s="932"/>
      <c r="DN131" s="37"/>
      <c r="DO131" s="37"/>
      <c r="DP131" s="932"/>
      <c r="DQ131" s="37"/>
      <c r="DR131" s="932"/>
      <c r="DS131" s="37"/>
      <c r="DT131" s="932"/>
      <c r="DU131" s="37"/>
      <c r="DV131" s="932"/>
      <c r="DW131" s="37"/>
      <c r="DX131" s="932"/>
      <c r="DY131" s="932"/>
      <c r="DZ131" s="932"/>
      <c r="EA131" s="932"/>
      <c r="EB131" s="37"/>
      <c r="EC131" s="37"/>
      <c r="EE131" s="941"/>
      <c r="EG131" s="938"/>
      <c r="EI131" s="938"/>
      <c r="EK131" s="938"/>
      <c r="EM131" s="938"/>
      <c r="EO131" s="938"/>
      <c r="EQ131" s="938"/>
      <c r="ES131" s="938"/>
      <c r="EU131" s="938"/>
      <c r="EW131" s="938"/>
      <c r="EY131" s="938"/>
      <c r="FA131" s="938"/>
      <c r="FC131" s="938"/>
      <c r="FE131" s="938"/>
      <c r="FG131" s="938"/>
      <c r="FI131" s="938"/>
      <c r="FK131" s="938"/>
      <c r="FM131" s="938"/>
      <c r="FO131" s="938"/>
      <c r="FQ131" s="938"/>
      <c r="FS131" s="938"/>
      <c r="FU131" s="938"/>
      <c r="FW131" s="938"/>
      <c r="FY131" s="938"/>
      <c r="GA131" s="938"/>
      <c r="GC131" s="938"/>
      <c r="GE131" s="938"/>
      <c r="GG131" s="938"/>
      <c r="GI131" s="938"/>
      <c r="GK131" s="938"/>
      <c r="GM131" s="938"/>
      <c r="GO131" s="938"/>
      <c r="GQ131" s="938"/>
      <c r="GS131" s="938"/>
      <c r="GU131" s="938"/>
      <c r="GW131" s="938"/>
      <c r="GY131" s="938"/>
      <c r="HA131" s="938"/>
      <c r="HC131" s="938"/>
      <c r="HE131" s="938"/>
      <c r="HG131" s="938"/>
      <c r="HI131" s="938"/>
      <c r="HK131" s="938"/>
      <c r="HM131" s="938"/>
      <c r="HO131" s="938"/>
      <c r="HQ131" s="938"/>
      <c r="HS131" s="938"/>
      <c r="HU131" s="938"/>
      <c r="HW131" s="938"/>
      <c r="HY131" s="938"/>
      <c r="IA131" s="938"/>
      <c r="IC131" s="938"/>
      <c r="IE131" s="938"/>
      <c r="IG131" s="938"/>
      <c r="II131" s="938"/>
      <c r="IK131" s="938"/>
      <c r="IM131" s="938"/>
      <c r="IO131" s="938"/>
      <c r="IQ131" s="938"/>
      <c r="IS131" s="938"/>
      <c r="IT131" s="932"/>
      <c r="IU131" s="938"/>
      <c r="IW131" s="939"/>
      <c r="IX131" s="938"/>
      <c r="IY131" s="938"/>
      <c r="IZ131" s="938"/>
      <c r="JB131" s="940"/>
      <c r="JC131" s="940"/>
      <c r="JD131" s="940"/>
      <c r="JE131" s="940"/>
      <c r="JF131" s="940"/>
      <c r="JG131" s="940"/>
      <c r="JH131" s="940"/>
      <c r="JI131" s="940"/>
      <c r="JJ131" s="940"/>
      <c r="JK131" s="940"/>
      <c r="JL131" s="940"/>
      <c r="JM131" s="940"/>
      <c r="JN131" s="940"/>
      <c r="JO131" s="940"/>
      <c r="JP131" s="940"/>
      <c r="JQ131" s="940"/>
      <c r="JR131" s="940"/>
      <c r="JS131" s="940"/>
      <c r="JT131" s="940"/>
      <c r="JU131" s="940"/>
      <c r="JV131" s="940"/>
      <c r="JW131" s="940"/>
      <c r="JX131" s="940"/>
      <c r="JY131" s="940"/>
      <c r="JZ131" s="940"/>
      <c r="KA131" s="940"/>
      <c r="KB131" s="940"/>
      <c r="KC131" s="940"/>
      <c r="KD131" s="940"/>
      <c r="KE131" s="940"/>
      <c r="KF131" s="940"/>
      <c r="KG131" s="940"/>
      <c r="KH131" s="940"/>
      <c r="KI131" s="940"/>
      <c r="KJ131" s="940"/>
      <c r="KK131" s="940"/>
      <c r="KL131" s="940"/>
      <c r="KM131" s="940"/>
      <c r="KN131" s="940"/>
      <c r="KO131" s="940"/>
      <c r="KP131" s="940"/>
      <c r="KQ131" s="940"/>
      <c r="KR131" s="940"/>
      <c r="KS131" s="940"/>
      <c r="KT131" s="940"/>
      <c r="KU131" s="940"/>
      <c r="KV131" s="940"/>
      <c r="KW131" s="940"/>
      <c r="KX131" s="940"/>
      <c r="KY131" s="940"/>
      <c r="KZ131" s="940"/>
      <c r="LA131" s="940"/>
      <c r="LB131" s="940"/>
      <c r="LC131" s="940"/>
      <c r="LD131" s="940"/>
      <c r="LE131" s="940"/>
      <c r="LF131" s="940"/>
      <c r="LG131" s="940"/>
      <c r="LH131" s="940"/>
    </row>
    <row r="132" spans="1:320" s="462" customFormat="1" ht="15" hidden="1" customHeight="1" outlineLevel="1" x14ac:dyDescent="0.25">
      <c r="A132" s="1205">
        <v>41747</v>
      </c>
      <c r="B132" s="1205"/>
      <c r="C132" s="463"/>
      <c r="D132" s="461"/>
      <c r="H132" s="932"/>
      <c r="I132" s="37"/>
      <c r="J132" s="932"/>
      <c r="K132" s="37"/>
      <c r="L132" s="932"/>
      <c r="M132" s="37"/>
      <c r="N132" s="932"/>
      <c r="O132" s="37"/>
      <c r="P132" s="932"/>
      <c r="Q132" s="37"/>
      <c r="R132" s="932"/>
      <c r="S132" s="37"/>
      <c r="T132" s="37"/>
      <c r="U132" s="37"/>
      <c r="V132" s="932"/>
      <c r="W132" s="37"/>
      <c r="X132" s="932"/>
      <c r="Y132" s="37"/>
      <c r="Z132" s="932"/>
      <c r="AA132" s="37"/>
      <c r="AB132" s="932"/>
      <c r="AC132" s="37"/>
      <c r="AD132" s="932"/>
      <c r="AE132" s="37"/>
      <c r="AF132" s="932"/>
      <c r="AG132" s="37"/>
      <c r="AH132" s="37"/>
      <c r="AI132" s="37"/>
      <c r="AJ132" s="932"/>
      <c r="AK132" s="37"/>
      <c r="AL132" s="932"/>
      <c r="AM132" s="37"/>
      <c r="AN132" s="932"/>
      <c r="AO132" s="37"/>
      <c r="AP132" s="932"/>
      <c r="AQ132" s="37"/>
      <c r="AR132" s="37"/>
      <c r="AS132" s="37"/>
      <c r="AT132" s="37"/>
      <c r="AU132" s="37"/>
      <c r="AV132" s="37"/>
      <c r="AW132" s="37"/>
      <c r="AX132" s="932"/>
      <c r="AY132" s="37"/>
      <c r="AZ132" s="932"/>
      <c r="BA132" s="37"/>
      <c r="BB132" s="932"/>
      <c r="BC132" s="37"/>
      <c r="BD132" s="932"/>
      <c r="BE132" s="37"/>
      <c r="BF132" s="932"/>
      <c r="BG132" s="37"/>
      <c r="BH132" s="37"/>
      <c r="BI132" s="37"/>
      <c r="BJ132" s="37"/>
      <c r="BK132" s="37"/>
      <c r="BL132" s="932"/>
      <c r="BM132" s="37"/>
      <c r="BN132" s="932"/>
      <c r="BO132" s="37"/>
      <c r="BP132" s="932"/>
      <c r="BQ132" s="37"/>
      <c r="BR132" s="932"/>
      <c r="BS132" s="37"/>
      <c r="BT132" s="932"/>
      <c r="BU132" s="932"/>
      <c r="BV132" s="932"/>
      <c r="BW132" s="932"/>
      <c r="BX132" s="37"/>
      <c r="BY132" s="37"/>
      <c r="BZ132" s="932"/>
      <c r="CA132" s="37"/>
      <c r="CB132" s="932"/>
      <c r="CC132" s="37"/>
      <c r="CD132" s="932"/>
      <c r="CE132" s="37"/>
      <c r="CF132" s="932"/>
      <c r="CG132" s="37"/>
      <c r="CH132" s="932"/>
      <c r="CI132" s="932"/>
      <c r="CJ132" s="932"/>
      <c r="CK132" s="932"/>
      <c r="CL132" s="37"/>
      <c r="CM132" s="37"/>
      <c r="CN132" s="932"/>
      <c r="CO132" s="37"/>
      <c r="CP132" s="932"/>
      <c r="CQ132" s="37"/>
      <c r="CR132" s="932"/>
      <c r="CS132" s="37"/>
      <c r="CT132" s="932"/>
      <c r="CU132" s="37"/>
      <c r="CV132" s="932"/>
      <c r="CW132" s="932"/>
      <c r="CX132" s="932"/>
      <c r="CY132" s="932"/>
      <c r="CZ132" s="37"/>
      <c r="DA132" s="37"/>
      <c r="DB132" s="932"/>
      <c r="DC132" s="37"/>
      <c r="DD132" s="932"/>
      <c r="DE132" s="37"/>
      <c r="DF132" s="932"/>
      <c r="DG132" s="37"/>
      <c r="DH132" s="932"/>
      <c r="DI132" s="37"/>
      <c r="DJ132" s="932"/>
      <c r="DK132" s="932"/>
      <c r="DL132" s="932"/>
      <c r="DM132" s="932"/>
      <c r="DN132" s="37"/>
      <c r="DO132" s="37"/>
      <c r="DP132" s="932"/>
      <c r="DQ132" s="37"/>
      <c r="DR132" s="932"/>
      <c r="DS132" s="37"/>
      <c r="DT132" s="932"/>
      <c r="DU132" s="37"/>
      <c r="DV132" s="932"/>
      <c r="DW132" s="37"/>
      <c r="DX132" s="932"/>
      <c r="DY132" s="932"/>
      <c r="DZ132" s="932"/>
      <c r="EA132" s="932"/>
      <c r="EB132" s="37"/>
      <c r="EC132" s="37"/>
      <c r="EE132" s="941"/>
      <c r="EG132" s="938"/>
      <c r="EI132" s="938"/>
      <c r="EK132" s="938"/>
      <c r="EM132" s="938"/>
      <c r="EO132" s="938"/>
      <c r="EQ132" s="938"/>
      <c r="ES132" s="938"/>
      <c r="EU132" s="938"/>
      <c r="EW132" s="938"/>
      <c r="EY132" s="938"/>
      <c r="FA132" s="938"/>
      <c r="FC132" s="938"/>
      <c r="FE132" s="938"/>
      <c r="FG132" s="938"/>
      <c r="FI132" s="938"/>
      <c r="FK132" s="938"/>
      <c r="FM132" s="938"/>
      <c r="FO132" s="938"/>
      <c r="FQ132" s="938"/>
      <c r="FS132" s="938"/>
      <c r="FU132" s="938"/>
      <c r="FW132" s="938"/>
      <c r="FY132" s="938"/>
      <c r="GA132" s="938"/>
      <c r="GC132" s="938"/>
      <c r="GE132" s="938"/>
      <c r="GG132" s="938"/>
      <c r="GI132" s="938"/>
      <c r="GK132" s="938"/>
      <c r="GM132" s="938"/>
      <c r="GO132" s="938"/>
      <c r="GQ132" s="938"/>
      <c r="GS132" s="938"/>
      <c r="GU132" s="938"/>
      <c r="GW132" s="938"/>
      <c r="GY132" s="938"/>
      <c r="HA132" s="938"/>
      <c r="HC132" s="938"/>
      <c r="HE132" s="938"/>
      <c r="HG132" s="938"/>
      <c r="HI132" s="938"/>
      <c r="HK132" s="938"/>
      <c r="HM132" s="938"/>
      <c r="HO132" s="938"/>
      <c r="HQ132" s="938"/>
      <c r="HS132" s="938"/>
      <c r="HU132" s="938"/>
      <c r="HW132" s="938"/>
      <c r="HY132" s="938"/>
      <c r="IA132" s="938"/>
      <c r="IC132" s="938"/>
      <c r="IE132" s="938"/>
      <c r="IG132" s="938"/>
      <c r="II132" s="938"/>
      <c r="IK132" s="938"/>
      <c r="IM132" s="938"/>
      <c r="IO132" s="938"/>
      <c r="IQ132" s="938"/>
      <c r="IS132" s="938"/>
      <c r="IT132" s="932"/>
      <c r="IU132" s="938"/>
      <c r="IW132" s="939"/>
      <c r="IX132" s="938"/>
      <c r="IY132" s="938"/>
      <c r="IZ132" s="938"/>
      <c r="JB132" s="940"/>
      <c r="JC132" s="940"/>
      <c r="JD132" s="940"/>
      <c r="JE132" s="940"/>
      <c r="JF132" s="940"/>
      <c r="JG132" s="940"/>
      <c r="JH132" s="940"/>
      <c r="JI132" s="940"/>
      <c r="JJ132" s="940"/>
      <c r="JK132" s="940"/>
      <c r="JL132" s="940"/>
      <c r="JM132" s="940"/>
      <c r="JN132" s="940"/>
      <c r="JO132" s="940"/>
      <c r="JP132" s="940"/>
      <c r="JQ132" s="940"/>
      <c r="JR132" s="940"/>
      <c r="JS132" s="940"/>
      <c r="JT132" s="940"/>
      <c r="JU132" s="940"/>
      <c r="JV132" s="940"/>
      <c r="JW132" s="940"/>
      <c r="JX132" s="940"/>
      <c r="JY132" s="940"/>
      <c r="JZ132" s="940"/>
      <c r="KA132" s="940"/>
      <c r="KB132" s="940"/>
      <c r="KC132" s="940"/>
      <c r="KD132" s="940"/>
      <c r="KE132" s="940"/>
      <c r="KF132" s="940"/>
      <c r="KG132" s="940"/>
      <c r="KH132" s="940"/>
      <c r="KI132" s="940"/>
      <c r="KJ132" s="940"/>
      <c r="KK132" s="940"/>
      <c r="KL132" s="940"/>
      <c r="KM132" s="940"/>
      <c r="KN132" s="940"/>
      <c r="KO132" s="940"/>
      <c r="KP132" s="940"/>
      <c r="KQ132" s="940"/>
      <c r="KR132" s="940"/>
      <c r="KS132" s="940"/>
      <c r="KT132" s="940"/>
      <c r="KU132" s="940"/>
      <c r="KV132" s="940"/>
      <c r="KW132" s="940"/>
      <c r="KX132" s="940"/>
      <c r="KY132" s="940"/>
      <c r="KZ132" s="940"/>
      <c r="LA132" s="940"/>
      <c r="LB132" s="940"/>
      <c r="LC132" s="940"/>
      <c r="LD132" s="940"/>
      <c r="LE132" s="940"/>
      <c r="LF132" s="940"/>
      <c r="LG132" s="940"/>
      <c r="LH132" s="940"/>
    </row>
    <row r="133" spans="1:320" s="462" customFormat="1" ht="15" hidden="1" customHeight="1" outlineLevel="1" x14ac:dyDescent="0.25">
      <c r="A133" s="1205">
        <v>41785</v>
      </c>
      <c r="B133" s="1205"/>
      <c r="C133" s="463"/>
      <c r="D133" s="461"/>
      <c r="H133" s="932"/>
      <c r="I133" s="37"/>
      <c r="J133" s="932"/>
      <c r="K133" s="37"/>
      <c r="L133" s="932"/>
      <c r="M133" s="37"/>
      <c r="N133" s="932"/>
      <c r="O133" s="37"/>
      <c r="P133" s="932"/>
      <c r="Q133" s="37"/>
      <c r="R133" s="932"/>
      <c r="S133" s="37"/>
      <c r="T133" s="37"/>
      <c r="U133" s="37"/>
      <c r="V133" s="932"/>
      <c r="W133" s="37"/>
      <c r="X133" s="932"/>
      <c r="Y133" s="37"/>
      <c r="Z133" s="932"/>
      <c r="AA133" s="37"/>
      <c r="AB133" s="932"/>
      <c r="AC133" s="37"/>
      <c r="AD133" s="932"/>
      <c r="AE133" s="37"/>
      <c r="AF133" s="932"/>
      <c r="AG133" s="37"/>
      <c r="AH133" s="37"/>
      <c r="AI133" s="37"/>
      <c r="AJ133" s="932"/>
      <c r="AK133" s="37"/>
      <c r="AL133" s="932"/>
      <c r="AM133" s="37"/>
      <c r="AN133" s="932"/>
      <c r="AO133" s="37"/>
      <c r="AP133" s="932"/>
      <c r="AQ133" s="37"/>
      <c r="AR133" s="37"/>
      <c r="AS133" s="37"/>
      <c r="AT133" s="37"/>
      <c r="AU133" s="37"/>
      <c r="AV133" s="37"/>
      <c r="AW133" s="37"/>
      <c r="AX133" s="932"/>
      <c r="AY133" s="37"/>
      <c r="AZ133" s="932"/>
      <c r="BA133" s="37"/>
      <c r="BB133" s="932"/>
      <c r="BC133" s="37"/>
      <c r="BD133" s="932"/>
      <c r="BE133" s="37"/>
      <c r="BF133" s="932"/>
      <c r="BG133" s="37"/>
      <c r="BH133" s="37"/>
      <c r="BI133" s="37"/>
      <c r="BJ133" s="37"/>
      <c r="BK133" s="37"/>
      <c r="BL133" s="932"/>
      <c r="BM133" s="37"/>
      <c r="BN133" s="932"/>
      <c r="BO133" s="37"/>
      <c r="BP133" s="932"/>
      <c r="BQ133" s="37"/>
      <c r="BR133" s="932"/>
      <c r="BS133" s="37"/>
      <c r="BT133" s="932"/>
      <c r="BU133" s="932"/>
      <c r="BV133" s="932"/>
      <c r="BW133" s="932"/>
      <c r="BX133" s="37"/>
      <c r="BY133" s="37"/>
      <c r="BZ133" s="932"/>
      <c r="CA133" s="37"/>
      <c r="CB133" s="932"/>
      <c r="CC133" s="37"/>
      <c r="CD133" s="932"/>
      <c r="CE133" s="37"/>
      <c r="CF133" s="932"/>
      <c r="CG133" s="37"/>
      <c r="CH133" s="932"/>
      <c r="CI133" s="932"/>
      <c r="CJ133" s="932"/>
      <c r="CK133" s="932"/>
      <c r="CL133" s="37"/>
      <c r="CM133" s="37"/>
      <c r="CN133" s="932"/>
      <c r="CO133" s="37"/>
      <c r="CP133" s="932"/>
      <c r="CQ133" s="37"/>
      <c r="CR133" s="932"/>
      <c r="CS133" s="37"/>
      <c r="CT133" s="932"/>
      <c r="CU133" s="37"/>
      <c r="CV133" s="932"/>
      <c r="CW133" s="932"/>
      <c r="CX133" s="932"/>
      <c r="CY133" s="932"/>
      <c r="CZ133" s="37"/>
      <c r="DA133" s="37"/>
      <c r="DB133" s="932"/>
      <c r="DC133" s="37"/>
      <c r="DD133" s="932"/>
      <c r="DE133" s="37"/>
      <c r="DF133" s="932"/>
      <c r="DG133" s="37"/>
      <c r="DH133" s="932"/>
      <c r="DI133" s="37"/>
      <c r="DJ133" s="932"/>
      <c r="DK133" s="932"/>
      <c r="DL133" s="932"/>
      <c r="DM133" s="932"/>
      <c r="DN133" s="37"/>
      <c r="DO133" s="37"/>
      <c r="DP133" s="932"/>
      <c r="DQ133" s="37"/>
      <c r="DR133" s="932"/>
      <c r="DS133" s="37"/>
      <c r="DT133" s="932"/>
      <c r="DU133" s="37"/>
      <c r="DV133" s="932"/>
      <c r="DW133" s="37"/>
      <c r="DX133" s="932"/>
      <c r="DY133" s="932"/>
      <c r="DZ133" s="932"/>
      <c r="EA133" s="932"/>
      <c r="EB133" s="37"/>
      <c r="EC133" s="37"/>
      <c r="EE133" s="941"/>
      <c r="EG133" s="938"/>
      <c r="EI133" s="938"/>
      <c r="EK133" s="938"/>
      <c r="EM133" s="938"/>
      <c r="EO133" s="938"/>
      <c r="EQ133" s="938"/>
      <c r="ES133" s="938"/>
      <c r="EU133" s="938"/>
      <c r="EW133" s="938"/>
      <c r="EY133" s="938"/>
      <c r="FA133" s="938"/>
      <c r="FC133" s="938"/>
      <c r="FE133" s="938"/>
      <c r="FG133" s="938"/>
      <c r="FI133" s="938"/>
      <c r="FK133" s="938"/>
      <c r="FM133" s="938"/>
      <c r="FO133" s="938"/>
      <c r="FQ133" s="938"/>
      <c r="FS133" s="938"/>
      <c r="FU133" s="938"/>
      <c r="FW133" s="938"/>
      <c r="FY133" s="938"/>
      <c r="GA133" s="938"/>
      <c r="GC133" s="938"/>
      <c r="GE133" s="938"/>
      <c r="GG133" s="938"/>
      <c r="GI133" s="938"/>
      <c r="GK133" s="938"/>
      <c r="GM133" s="938"/>
      <c r="GO133" s="938"/>
      <c r="GQ133" s="938"/>
      <c r="GS133" s="938"/>
      <c r="GU133" s="938"/>
      <c r="GW133" s="938"/>
      <c r="GY133" s="938"/>
      <c r="HA133" s="938"/>
      <c r="HC133" s="938"/>
      <c r="HE133" s="938"/>
      <c r="HG133" s="938"/>
      <c r="HI133" s="938"/>
      <c r="HK133" s="938"/>
      <c r="HM133" s="938"/>
      <c r="HO133" s="938"/>
      <c r="HQ133" s="938"/>
      <c r="HS133" s="938"/>
      <c r="HU133" s="938"/>
      <c r="HW133" s="938"/>
      <c r="HY133" s="938"/>
      <c r="IA133" s="938"/>
      <c r="IC133" s="938"/>
      <c r="IE133" s="938"/>
      <c r="IG133" s="938"/>
      <c r="II133" s="938"/>
      <c r="IK133" s="938"/>
      <c r="IM133" s="938"/>
      <c r="IO133" s="938"/>
      <c r="IQ133" s="938"/>
      <c r="IS133" s="938"/>
      <c r="IT133" s="932"/>
      <c r="IU133" s="938"/>
      <c r="IW133" s="939"/>
      <c r="IX133" s="938"/>
      <c r="IY133" s="938"/>
      <c r="IZ133" s="938"/>
      <c r="JB133" s="940"/>
      <c r="JC133" s="940"/>
      <c r="JD133" s="940"/>
      <c r="JE133" s="940"/>
      <c r="JF133" s="940"/>
      <c r="JG133" s="940"/>
      <c r="JH133" s="940"/>
      <c r="JI133" s="940"/>
      <c r="JJ133" s="940"/>
      <c r="JK133" s="940"/>
      <c r="JL133" s="940"/>
      <c r="JM133" s="940"/>
      <c r="JN133" s="940"/>
      <c r="JO133" s="940"/>
      <c r="JP133" s="940"/>
      <c r="JQ133" s="940"/>
      <c r="JR133" s="940"/>
      <c r="JS133" s="940"/>
      <c r="JT133" s="940"/>
      <c r="JU133" s="940"/>
      <c r="JV133" s="940"/>
      <c r="JW133" s="940"/>
      <c r="JX133" s="940"/>
      <c r="JY133" s="940"/>
      <c r="JZ133" s="940"/>
      <c r="KA133" s="940"/>
      <c r="KB133" s="940"/>
      <c r="KC133" s="940"/>
      <c r="KD133" s="940"/>
      <c r="KE133" s="940"/>
      <c r="KF133" s="940"/>
      <c r="KG133" s="940"/>
      <c r="KH133" s="940"/>
      <c r="KI133" s="940"/>
      <c r="KJ133" s="940"/>
      <c r="KK133" s="940"/>
      <c r="KL133" s="940"/>
      <c r="KM133" s="940"/>
      <c r="KN133" s="940"/>
      <c r="KO133" s="940"/>
      <c r="KP133" s="940"/>
      <c r="KQ133" s="940"/>
      <c r="KR133" s="940"/>
      <c r="KS133" s="940"/>
      <c r="KT133" s="940"/>
      <c r="KU133" s="940"/>
      <c r="KV133" s="940"/>
      <c r="KW133" s="940"/>
      <c r="KX133" s="940"/>
      <c r="KY133" s="940"/>
      <c r="KZ133" s="940"/>
      <c r="LA133" s="940"/>
      <c r="LB133" s="940"/>
      <c r="LC133" s="940"/>
      <c r="LD133" s="940"/>
      <c r="LE133" s="940"/>
      <c r="LF133" s="940"/>
      <c r="LG133" s="940"/>
      <c r="LH133" s="940"/>
    </row>
    <row r="134" spans="1:320" s="462" customFormat="1" ht="15" hidden="1" customHeight="1" outlineLevel="1" x14ac:dyDescent="0.25">
      <c r="A134" s="1205">
        <v>41824</v>
      </c>
      <c r="B134" s="1205"/>
      <c r="C134" s="463"/>
      <c r="D134" s="461"/>
      <c r="H134" s="932"/>
      <c r="I134" s="37"/>
      <c r="J134" s="932"/>
      <c r="K134" s="37"/>
      <c r="L134" s="932"/>
      <c r="M134" s="37"/>
      <c r="N134" s="932"/>
      <c r="O134" s="37"/>
      <c r="P134" s="932"/>
      <c r="Q134" s="37"/>
      <c r="R134" s="932"/>
      <c r="S134" s="37"/>
      <c r="T134" s="37"/>
      <c r="U134" s="37"/>
      <c r="V134" s="932"/>
      <c r="W134" s="37"/>
      <c r="X134" s="932"/>
      <c r="Y134" s="37"/>
      <c r="Z134" s="932"/>
      <c r="AA134" s="37"/>
      <c r="AB134" s="932"/>
      <c r="AC134" s="37"/>
      <c r="AD134" s="932"/>
      <c r="AE134" s="37"/>
      <c r="AF134" s="932"/>
      <c r="AG134" s="37"/>
      <c r="AH134" s="37"/>
      <c r="AI134" s="37"/>
      <c r="AJ134" s="932"/>
      <c r="AK134" s="37"/>
      <c r="AL134" s="932"/>
      <c r="AM134" s="37"/>
      <c r="AN134" s="932"/>
      <c r="AO134" s="37"/>
      <c r="AP134" s="932"/>
      <c r="AQ134" s="37"/>
      <c r="AR134" s="37"/>
      <c r="AS134" s="37"/>
      <c r="AT134" s="37"/>
      <c r="AU134" s="37"/>
      <c r="AV134" s="37"/>
      <c r="AW134" s="37"/>
      <c r="AX134" s="932"/>
      <c r="AY134" s="37"/>
      <c r="AZ134" s="932"/>
      <c r="BA134" s="37"/>
      <c r="BB134" s="932"/>
      <c r="BC134" s="37"/>
      <c r="BD134" s="932"/>
      <c r="BE134" s="37"/>
      <c r="BF134" s="932"/>
      <c r="BG134" s="37"/>
      <c r="BH134" s="37"/>
      <c r="BI134" s="37"/>
      <c r="BJ134" s="37"/>
      <c r="BK134" s="37"/>
      <c r="BL134" s="932"/>
      <c r="BM134" s="37"/>
      <c r="BN134" s="932"/>
      <c r="BO134" s="37"/>
      <c r="BP134" s="932"/>
      <c r="BQ134" s="37"/>
      <c r="BR134" s="932"/>
      <c r="BS134" s="37"/>
      <c r="BT134" s="932"/>
      <c r="BU134" s="932"/>
      <c r="BV134" s="932"/>
      <c r="BW134" s="932"/>
      <c r="BX134" s="37"/>
      <c r="BY134" s="37"/>
      <c r="BZ134" s="932"/>
      <c r="CA134" s="37"/>
      <c r="CB134" s="932"/>
      <c r="CC134" s="37"/>
      <c r="CD134" s="932"/>
      <c r="CE134" s="37"/>
      <c r="CF134" s="932"/>
      <c r="CG134" s="37"/>
      <c r="CH134" s="932"/>
      <c r="CI134" s="932"/>
      <c r="CJ134" s="932"/>
      <c r="CK134" s="932"/>
      <c r="CL134" s="37"/>
      <c r="CM134" s="37"/>
      <c r="CN134" s="932"/>
      <c r="CO134" s="37"/>
      <c r="CP134" s="932"/>
      <c r="CQ134" s="37"/>
      <c r="CR134" s="932"/>
      <c r="CS134" s="37"/>
      <c r="CT134" s="932"/>
      <c r="CU134" s="37"/>
      <c r="CV134" s="932"/>
      <c r="CW134" s="932"/>
      <c r="CX134" s="932"/>
      <c r="CY134" s="932"/>
      <c r="CZ134" s="37"/>
      <c r="DA134" s="37"/>
      <c r="DB134" s="932"/>
      <c r="DC134" s="37"/>
      <c r="DD134" s="932"/>
      <c r="DE134" s="37"/>
      <c r="DF134" s="932"/>
      <c r="DG134" s="37"/>
      <c r="DH134" s="932"/>
      <c r="DI134" s="37"/>
      <c r="DJ134" s="932"/>
      <c r="DK134" s="932"/>
      <c r="DL134" s="932"/>
      <c r="DM134" s="932"/>
      <c r="DN134" s="37"/>
      <c r="DO134" s="37"/>
      <c r="DP134" s="932"/>
      <c r="DQ134" s="37"/>
      <c r="DR134" s="932"/>
      <c r="DS134" s="37"/>
      <c r="DT134" s="932"/>
      <c r="DU134" s="37"/>
      <c r="DV134" s="932"/>
      <c r="DW134" s="37"/>
      <c r="DX134" s="932"/>
      <c r="DY134" s="932"/>
      <c r="DZ134" s="932"/>
      <c r="EA134" s="932"/>
      <c r="EB134" s="37"/>
      <c r="EC134" s="37"/>
      <c r="EE134" s="941"/>
      <c r="EG134" s="938"/>
      <c r="EI134" s="938"/>
      <c r="EK134" s="938"/>
      <c r="EM134" s="938"/>
      <c r="EO134" s="938"/>
      <c r="EQ134" s="938"/>
      <c r="ES134" s="938"/>
      <c r="EU134" s="938"/>
      <c r="EW134" s="938"/>
      <c r="EY134" s="938"/>
      <c r="FA134" s="938"/>
      <c r="FC134" s="938"/>
      <c r="FE134" s="938"/>
      <c r="FG134" s="938"/>
      <c r="FI134" s="938"/>
      <c r="FK134" s="938"/>
      <c r="FM134" s="938"/>
      <c r="FO134" s="938"/>
      <c r="FQ134" s="938"/>
      <c r="FS134" s="938"/>
      <c r="FU134" s="938"/>
      <c r="FW134" s="938"/>
      <c r="FY134" s="938"/>
      <c r="GA134" s="938"/>
      <c r="GC134" s="938"/>
      <c r="GE134" s="938"/>
      <c r="GG134" s="938"/>
      <c r="GI134" s="938"/>
      <c r="GK134" s="938"/>
      <c r="GM134" s="938"/>
      <c r="GO134" s="938"/>
      <c r="GQ134" s="938"/>
      <c r="GS134" s="938"/>
      <c r="GU134" s="938"/>
      <c r="GW134" s="938"/>
      <c r="GY134" s="938"/>
      <c r="HA134" s="938"/>
      <c r="HC134" s="938"/>
      <c r="HE134" s="938"/>
      <c r="HG134" s="938"/>
      <c r="HI134" s="938"/>
      <c r="HK134" s="938"/>
      <c r="HM134" s="938"/>
      <c r="HO134" s="938"/>
      <c r="HQ134" s="938"/>
      <c r="HS134" s="938"/>
      <c r="HU134" s="938"/>
      <c r="HW134" s="938"/>
      <c r="HY134" s="938"/>
      <c r="IA134" s="938"/>
      <c r="IC134" s="938"/>
      <c r="IE134" s="938"/>
      <c r="IG134" s="938"/>
      <c r="II134" s="938"/>
      <c r="IK134" s="938"/>
      <c r="IM134" s="938"/>
      <c r="IO134" s="938"/>
      <c r="IQ134" s="938"/>
      <c r="IS134" s="938"/>
      <c r="IT134" s="932"/>
      <c r="IU134" s="938"/>
      <c r="IW134" s="939"/>
      <c r="IX134" s="938"/>
      <c r="IY134" s="938"/>
      <c r="IZ134" s="938"/>
      <c r="JB134" s="940"/>
      <c r="JC134" s="940"/>
      <c r="JD134" s="940"/>
      <c r="JE134" s="940"/>
      <c r="JF134" s="940"/>
      <c r="JG134" s="940"/>
      <c r="JH134" s="940"/>
      <c r="JI134" s="940"/>
      <c r="JJ134" s="940"/>
      <c r="JK134" s="940"/>
      <c r="JL134" s="940"/>
      <c r="JM134" s="940"/>
      <c r="JN134" s="940"/>
      <c r="JO134" s="940"/>
      <c r="JP134" s="940"/>
      <c r="JQ134" s="940"/>
      <c r="JR134" s="940"/>
      <c r="JS134" s="940"/>
      <c r="JT134" s="940"/>
      <c r="JU134" s="940"/>
      <c r="JV134" s="940"/>
      <c r="JW134" s="940"/>
      <c r="JX134" s="940"/>
      <c r="JY134" s="940"/>
      <c r="JZ134" s="940"/>
      <c r="KA134" s="940"/>
      <c r="KB134" s="940"/>
      <c r="KC134" s="940"/>
      <c r="KD134" s="940"/>
      <c r="KE134" s="940"/>
      <c r="KF134" s="940"/>
      <c r="KG134" s="940"/>
      <c r="KH134" s="940"/>
      <c r="KI134" s="940"/>
      <c r="KJ134" s="940"/>
      <c r="KK134" s="940"/>
      <c r="KL134" s="940"/>
      <c r="KM134" s="940"/>
      <c r="KN134" s="940"/>
      <c r="KO134" s="940"/>
      <c r="KP134" s="940"/>
      <c r="KQ134" s="940"/>
      <c r="KR134" s="940"/>
      <c r="KS134" s="940"/>
      <c r="KT134" s="940"/>
      <c r="KU134" s="940"/>
      <c r="KV134" s="940"/>
      <c r="KW134" s="940"/>
      <c r="KX134" s="940"/>
      <c r="KY134" s="940"/>
      <c r="KZ134" s="940"/>
      <c r="LA134" s="940"/>
      <c r="LB134" s="940"/>
      <c r="LC134" s="940"/>
      <c r="LD134" s="940"/>
      <c r="LE134" s="940"/>
      <c r="LF134" s="940"/>
      <c r="LG134" s="940"/>
      <c r="LH134" s="940"/>
    </row>
    <row r="135" spans="1:320" s="462" customFormat="1" ht="15" hidden="1" customHeight="1" outlineLevel="1" x14ac:dyDescent="0.25">
      <c r="A135" s="1205">
        <v>41883</v>
      </c>
      <c r="B135" s="1205"/>
      <c r="C135" s="463"/>
      <c r="D135" s="461"/>
      <c r="H135" s="932"/>
      <c r="I135" s="37"/>
      <c r="J135" s="932"/>
      <c r="K135" s="37"/>
      <c r="L135" s="932"/>
      <c r="M135" s="37"/>
      <c r="N135" s="932"/>
      <c r="O135" s="37"/>
      <c r="P135" s="932"/>
      <c r="Q135" s="37"/>
      <c r="R135" s="932"/>
      <c r="S135" s="37"/>
      <c r="T135" s="37"/>
      <c r="U135" s="37"/>
      <c r="V135" s="932"/>
      <c r="W135" s="37"/>
      <c r="X135" s="932"/>
      <c r="Y135" s="37"/>
      <c r="Z135" s="932"/>
      <c r="AA135" s="37"/>
      <c r="AB135" s="932"/>
      <c r="AC135" s="37"/>
      <c r="AD135" s="932"/>
      <c r="AE135" s="37"/>
      <c r="AF135" s="932"/>
      <c r="AG135" s="37"/>
      <c r="AH135" s="37"/>
      <c r="AI135" s="37"/>
      <c r="AJ135" s="932"/>
      <c r="AK135" s="37"/>
      <c r="AL135" s="932"/>
      <c r="AM135" s="37"/>
      <c r="AN135" s="932"/>
      <c r="AO135" s="37"/>
      <c r="AP135" s="932"/>
      <c r="AQ135" s="37"/>
      <c r="AR135" s="37"/>
      <c r="AS135" s="37"/>
      <c r="AT135" s="37"/>
      <c r="AU135" s="37"/>
      <c r="AV135" s="37"/>
      <c r="AW135" s="37"/>
      <c r="AX135" s="932"/>
      <c r="AY135" s="37"/>
      <c r="AZ135" s="932"/>
      <c r="BA135" s="37"/>
      <c r="BB135" s="932"/>
      <c r="BC135" s="37"/>
      <c r="BD135" s="932"/>
      <c r="BE135" s="37"/>
      <c r="BF135" s="932"/>
      <c r="BG135" s="37"/>
      <c r="BH135" s="37"/>
      <c r="BI135" s="37"/>
      <c r="BJ135" s="37"/>
      <c r="BK135" s="37"/>
      <c r="BL135" s="932"/>
      <c r="BM135" s="37"/>
      <c r="BN135" s="932"/>
      <c r="BO135" s="37"/>
      <c r="BP135" s="932"/>
      <c r="BQ135" s="37"/>
      <c r="BR135" s="932"/>
      <c r="BS135" s="37"/>
      <c r="BT135" s="932"/>
      <c r="BU135" s="932"/>
      <c r="BV135" s="932"/>
      <c r="BW135" s="932"/>
      <c r="BX135" s="37"/>
      <c r="BY135" s="37"/>
      <c r="BZ135" s="932"/>
      <c r="CA135" s="37"/>
      <c r="CB135" s="932"/>
      <c r="CC135" s="37"/>
      <c r="CD135" s="932"/>
      <c r="CE135" s="37"/>
      <c r="CF135" s="932"/>
      <c r="CG135" s="37"/>
      <c r="CH135" s="932"/>
      <c r="CI135" s="932"/>
      <c r="CJ135" s="932"/>
      <c r="CK135" s="932"/>
      <c r="CL135" s="37"/>
      <c r="CM135" s="37"/>
      <c r="CN135" s="932"/>
      <c r="CO135" s="37"/>
      <c r="CP135" s="932"/>
      <c r="CQ135" s="37"/>
      <c r="CR135" s="932"/>
      <c r="CS135" s="37"/>
      <c r="CT135" s="932"/>
      <c r="CU135" s="37"/>
      <c r="CV135" s="932"/>
      <c r="CW135" s="932"/>
      <c r="CX135" s="932"/>
      <c r="CY135" s="932"/>
      <c r="CZ135" s="37"/>
      <c r="DA135" s="37"/>
      <c r="DB135" s="932"/>
      <c r="DC135" s="37"/>
      <c r="DD135" s="932"/>
      <c r="DE135" s="37"/>
      <c r="DF135" s="932"/>
      <c r="DG135" s="37"/>
      <c r="DH135" s="932"/>
      <c r="DI135" s="37"/>
      <c r="DJ135" s="932"/>
      <c r="DK135" s="932"/>
      <c r="DL135" s="932"/>
      <c r="DM135" s="932"/>
      <c r="DN135" s="37"/>
      <c r="DO135" s="37"/>
      <c r="DP135" s="932"/>
      <c r="DQ135" s="37"/>
      <c r="DR135" s="932"/>
      <c r="DS135" s="37"/>
      <c r="DT135" s="932"/>
      <c r="DU135" s="37"/>
      <c r="DV135" s="932"/>
      <c r="DW135" s="37"/>
      <c r="DX135" s="932"/>
      <c r="DY135" s="932"/>
      <c r="DZ135" s="932"/>
      <c r="EA135" s="932"/>
      <c r="EB135" s="37"/>
      <c r="EC135" s="37"/>
      <c r="EE135" s="941"/>
      <c r="EG135" s="938"/>
      <c r="EI135" s="938"/>
      <c r="EK135" s="938"/>
      <c r="EM135" s="938"/>
      <c r="EO135" s="938"/>
      <c r="EQ135" s="938"/>
      <c r="ES135" s="938"/>
      <c r="EU135" s="938"/>
      <c r="EW135" s="938"/>
      <c r="EY135" s="938"/>
      <c r="FA135" s="938"/>
      <c r="FC135" s="938"/>
      <c r="FE135" s="938"/>
      <c r="FG135" s="938"/>
      <c r="FI135" s="938"/>
      <c r="FK135" s="938"/>
      <c r="FM135" s="938"/>
      <c r="FO135" s="938"/>
      <c r="FQ135" s="938"/>
      <c r="FS135" s="938"/>
      <c r="FU135" s="938"/>
      <c r="FW135" s="938"/>
      <c r="FY135" s="938"/>
      <c r="GA135" s="938"/>
      <c r="GC135" s="938"/>
      <c r="GE135" s="938"/>
      <c r="GG135" s="938"/>
      <c r="GI135" s="938"/>
      <c r="GK135" s="938"/>
      <c r="GM135" s="938"/>
      <c r="GO135" s="938"/>
      <c r="GQ135" s="938"/>
      <c r="GS135" s="938"/>
      <c r="GU135" s="938"/>
      <c r="GW135" s="938"/>
      <c r="GY135" s="938"/>
      <c r="HA135" s="938"/>
      <c r="HC135" s="938"/>
      <c r="HE135" s="938"/>
      <c r="HG135" s="938"/>
      <c r="HI135" s="938"/>
      <c r="HK135" s="938"/>
      <c r="HM135" s="938"/>
      <c r="HO135" s="938"/>
      <c r="HQ135" s="938"/>
      <c r="HS135" s="938"/>
      <c r="HU135" s="938"/>
      <c r="HW135" s="938"/>
      <c r="HY135" s="938"/>
      <c r="IA135" s="938"/>
      <c r="IC135" s="938"/>
      <c r="IE135" s="938"/>
      <c r="IG135" s="938"/>
      <c r="II135" s="938"/>
      <c r="IK135" s="938"/>
      <c r="IM135" s="938"/>
      <c r="IO135" s="938"/>
      <c r="IQ135" s="938"/>
      <c r="IS135" s="938"/>
      <c r="IT135" s="932"/>
      <c r="IU135" s="938"/>
      <c r="IW135" s="939"/>
      <c r="IX135" s="938"/>
      <c r="IY135" s="938"/>
      <c r="IZ135" s="938"/>
      <c r="JB135" s="940"/>
      <c r="JC135" s="940"/>
      <c r="JD135" s="940"/>
      <c r="JE135" s="940"/>
      <c r="JF135" s="940"/>
      <c r="JG135" s="940"/>
      <c r="JH135" s="940"/>
      <c r="JI135" s="940"/>
      <c r="JJ135" s="940"/>
      <c r="JK135" s="940"/>
      <c r="JL135" s="940"/>
      <c r="JM135" s="940"/>
      <c r="JN135" s="940"/>
      <c r="JO135" s="940"/>
      <c r="JP135" s="940"/>
      <c r="JQ135" s="940"/>
      <c r="JR135" s="940"/>
      <c r="JS135" s="940"/>
      <c r="JT135" s="940"/>
      <c r="JU135" s="940"/>
      <c r="JV135" s="940"/>
      <c r="JW135" s="940"/>
      <c r="JX135" s="940"/>
      <c r="JY135" s="940"/>
      <c r="JZ135" s="940"/>
      <c r="KA135" s="940"/>
      <c r="KB135" s="940"/>
      <c r="KC135" s="940"/>
      <c r="KD135" s="940"/>
      <c r="KE135" s="940"/>
      <c r="KF135" s="940"/>
      <c r="KG135" s="940"/>
      <c r="KH135" s="940"/>
      <c r="KI135" s="940"/>
      <c r="KJ135" s="940"/>
      <c r="KK135" s="940"/>
      <c r="KL135" s="940"/>
      <c r="KM135" s="940"/>
      <c r="KN135" s="940"/>
      <c r="KO135" s="940"/>
      <c r="KP135" s="940"/>
      <c r="KQ135" s="940"/>
      <c r="KR135" s="940"/>
      <c r="KS135" s="940"/>
      <c r="KT135" s="940"/>
      <c r="KU135" s="940"/>
      <c r="KV135" s="940"/>
      <c r="KW135" s="940"/>
      <c r="KX135" s="940"/>
      <c r="KY135" s="940"/>
      <c r="KZ135" s="940"/>
      <c r="LA135" s="940"/>
      <c r="LB135" s="940"/>
      <c r="LC135" s="940"/>
      <c r="LD135" s="940"/>
      <c r="LE135" s="940"/>
      <c r="LF135" s="940"/>
      <c r="LG135" s="940"/>
      <c r="LH135" s="940"/>
    </row>
    <row r="136" spans="1:320" s="462" customFormat="1" ht="15" hidden="1" customHeight="1" outlineLevel="1" x14ac:dyDescent="0.25">
      <c r="A136" s="1205">
        <v>41954</v>
      </c>
      <c r="B136" s="1205"/>
      <c r="C136" s="463"/>
      <c r="D136" s="461"/>
      <c r="H136" s="932"/>
      <c r="I136" s="37"/>
      <c r="J136" s="932"/>
      <c r="K136" s="37"/>
      <c r="L136" s="932"/>
      <c r="M136" s="37"/>
      <c r="N136" s="932"/>
      <c r="O136" s="37"/>
      <c r="P136" s="932"/>
      <c r="Q136" s="37"/>
      <c r="R136" s="932"/>
      <c r="S136" s="37"/>
      <c r="T136" s="37"/>
      <c r="U136" s="37"/>
      <c r="V136" s="932"/>
      <c r="W136" s="37"/>
      <c r="X136" s="932"/>
      <c r="Y136" s="37"/>
      <c r="Z136" s="932"/>
      <c r="AA136" s="37"/>
      <c r="AB136" s="932"/>
      <c r="AC136" s="37"/>
      <c r="AD136" s="932"/>
      <c r="AE136" s="37"/>
      <c r="AF136" s="932"/>
      <c r="AG136" s="37"/>
      <c r="AH136" s="37"/>
      <c r="AI136" s="37"/>
      <c r="AJ136" s="932"/>
      <c r="AK136" s="37"/>
      <c r="AL136" s="932"/>
      <c r="AM136" s="37"/>
      <c r="AN136" s="932"/>
      <c r="AO136" s="37"/>
      <c r="AP136" s="932"/>
      <c r="AQ136" s="37"/>
      <c r="AR136" s="37"/>
      <c r="AS136" s="37"/>
      <c r="AT136" s="37"/>
      <c r="AU136" s="37"/>
      <c r="AV136" s="37"/>
      <c r="AW136" s="37"/>
      <c r="AX136" s="932"/>
      <c r="AY136" s="37"/>
      <c r="AZ136" s="932"/>
      <c r="BA136" s="37"/>
      <c r="BB136" s="932"/>
      <c r="BC136" s="37"/>
      <c r="BD136" s="932"/>
      <c r="BE136" s="37"/>
      <c r="BF136" s="932"/>
      <c r="BG136" s="37"/>
      <c r="BH136" s="37"/>
      <c r="BI136" s="37"/>
      <c r="BJ136" s="37"/>
      <c r="BK136" s="37"/>
      <c r="BL136" s="932"/>
      <c r="BM136" s="37"/>
      <c r="BN136" s="932"/>
      <c r="BO136" s="37"/>
      <c r="BP136" s="932"/>
      <c r="BQ136" s="37"/>
      <c r="BR136" s="932"/>
      <c r="BS136" s="37"/>
      <c r="BT136" s="932"/>
      <c r="BU136" s="932"/>
      <c r="BV136" s="932"/>
      <c r="BW136" s="932"/>
      <c r="BX136" s="37"/>
      <c r="BY136" s="37"/>
      <c r="BZ136" s="932"/>
      <c r="CA136" s="37"/>
      <c r="CB136" s="932"/>
      <c r="CC136" s="37"/>
      <c r="CD136" s="932"/>
      <c r="CE136" s="37"/>
      <c r="CF136" s="932"/>
      <c r="CG136" s="37"/>
      <c r="CH136" s="932"/>
      <c r="CI136" s="932"/>
      <c r="CJ136" s="932"/>
      <c r="CK136" s="932"/>
      <c r="CL136" s="37"/>
      <c r="CM136" s="37"/>
      <c r="CN136" s="932"/>
      <c r="CO136" s="37"/>
      <c r="CP136" s="932"/>
      <c r="CQ136" s="37"/>
      <c r="CR136" s="932"/>
      <c r="CS136" s="37"/>
      <c r="CT136" s="932"/>
      <c r="CU136" s="37"/>
      <c r="CV136" s="932"/>
      <c r="CW136" s="932"/>
      <c r="CX136" s="932"/>
      <c r="CY136" s="932"/>
      <c r="CZ136" s="37"/>
      <c r="DA136" s="37"/>
      <c r="DB136" s="932"/>
      <c r="DC136" s="37"/>
      <c r="DD136" s="932"/>
      <c r="DE136" s="37"/>
      <c r="DF136" s="932"/>
      <c r="DG136" s="37"/>
      <c r="DH136" s="932"/>
      <c r="DI136" s="37"/>
      <c r="DJ136" s="932"/>
      <c r="DK136" s="932"/>
      <c r="DL136" s="932"/>
      <c r="DM136" s="932"/>
      <c r="DN136" s="37"/>
      <c r="DO136" s="37"/>
      <c r="DP136" s="932"/>
      <c r="DQ136" s="37"/>
      <c r="DR136" s="932"/>
      <c r="DS136" s="37"/>
      <c r="DT136" s="932"/>
      <c r="DU136" s="37"/>
      <c r="DV136" s="932"/>
      <c r="DW136" s="37"/>
      <c r="DX136" s="932"/>
      <c r="DY136" s="932"/>
      <c r="DZ136" s="932"/>
      <c r="EA136" s="932"/>
      <c r="EB136" s="37"/>
      <c r="EC136" s="37"/>
      <c r="EE136" s="941"/>
      <c r="EG136" s="938"/>
      <c r="EI136" s="938"/>
      <c r="EK136" s="938"/>
      <c r="EM136" s="938"/>
      <c r="EO136" s="938"/>
      <c r="EQ136" s="938"/>
      <c r="ES136" s="938"/>
      <c r="EU136" s="938"/>
      <c r="EW136" s="938"/>
      <c r="EY136" s="938"/>
      <c r="FA136" s="938"/>
      <c r="FC136" s="938"/>
      <c r="FE136" s="938"/>
      <c r="FG136" s="938"/>
      <c r="FI136" s="938"/>
      <c r="FK136" s="938"/>
      <c r="FM136" s="938"/>
      <c r="FO136" s="938"/>
      <c r="FQ136" s="938"/>
      <c r="FS136" s="938"/>
      <c r="FU136" s="938"/>
      <c r="FW136" s="938"/>
      <c r="FY136" s="938"/>
      <c r="GA136" s="938"/>
      <c r="GC136" s="938"/>
      <c r="GE136" s="938"/>
      <c r="GG136" s="938"/>
      <c r="GI136" s="938"/>
      <c r="GK136" s="938"/>
      <c r="GM136" s="938"/>
      <c r="GO136" s="938"/>
      <c r="GQ136" s="938"/>
      <c r="GS136" s="938"/>
      <c r="GU136" s="938"/>
      <c r="GW136" s="938"/>
      <c r="GY136" s="938"/>
      <c r="HA136" s="938"/>
      <c r="HC136" s="938"/>
      <c r="HE136" s="938"/>
      <c r="HG136" s="938"/>
      <c r="HI136" s="938"/>
      <c r="HK136" s="938"/>
      <c r="HM136" s="938"/>
      <c r="HO136" s="938"/>
      <c r="HQ136" s="938"/>
      <c r="HS136" s="938"/>
      <c r="HU136" s="938"/>
      <c r="HW136" s="938"/>
      <c r="HY136" s="938"/>
      <c r="IA136" s="938"/>
      <c r="IC136" s="938"/>
      <c r="IE136" s="938"/>
      <c r="IG136" s="938"/>
      <c r="II136" s="938"/>
      <c r="IK136" s="938"/>
      <c r="IM136" s="938"/>
      <c r="IO136" s="938"/>
      <c r="IQ136" s="938"/>
      <c r="IS136" s="938"/>
      <c r="IT136" s="932"/>
      <c r="IU136" s="938"/>
      <c r="IW136" s="939"/>
      <c r="IX136" s="938"/>
      <c r="IY136" s="938"/>
      <c r="IZ136" s="938"/>
      <c r="JB136" s="940"/>
      <c r="JC136" s="940"/>
      <c r="JD136" s="940"/>
      <c r="JE136" s="940"/>
      <c r="JF136" s="940"/>
      <c r="JG136" s="940"/>
      <c r="JH136" s="940"/>
      <c r="JI136" s="940"/>
      <c r="JJ136" s="940"/>
      <c r="JK136" s="940"/>
      <c r="JL136" s="940"/>
      <c r="JM136" s="940"/>
      <c r="JN136" s="940"/>
      <c r="JO136" s="940"/>
      <c r="JP136" s="940"/>
      <c r="JQ136" s="940"/>
      <c r="JR136" s="940"/>
      <c r="JS136" s="940"/>
      <c r="JT136" s="940"/>
      <c r="JU136" s="940"/>
      <c r="JV136" s="940"/>
      <c r="JW136" s="940"/>
      <c r="JX136" s="940"/>
      <c r="JY136" s="940"/>
      <c r="JZ136" s="940"/>
      <c r="KA136" s="940"/>
      <c r="KB136" s="940"/>
      <c r="KC136" s="940"/>
      <c r="KD136" s="940"/>
      <c r="KE136" s="940"/>
      <c r="KF136" s="940"/>
      <c r="KG136" s="940"/>
      <c r="KH136" s="940"/>
      <c r="KI136" s="940"/>
      <c r="KJ136" s="940"/>
      <c r="KK136" s="940"/>
      <c r="KL136" s="940"/>
      <c r="KM136" s="940"/>
      <c r="KN136" s="940"/>
      <c r="KO136" s="940"/>
      <c r="KP136" s="940"/>
      <c r="KQ136" s="940"/>
      <c r="KR136" s="940"/>
      <c r="KS136" s="940"/>
      <c r="KT136" s="940"/>
      <c r="KU136" s="940"/>
      <c r="KV136" s="940"/>
      <c r="KW136" s="940"/>
      <c r="KX136" s="940"/>
      <c r="KY136" s="940"/>
      <c r="KZ136" s="940"/>
      <c r="LA136" s="940"/>
      <c r="LB136" s="940"/>
      <c r="LC136" s="940"/>
      <c r="LD136" s="940"/>
      <c r="LE136" s="940"/>
      <c r="LF136" s="940"/>
      <c r="LG136" s="940"/>
      <c r="LH136" s="940"/>
    </row>
    <row r="137" spans="1:320" s="462" customFormat="1" ht="15" hidden="1" customHeight="1" outlineLevel="1" x14ac:dyDescent="0.25">
      <c r="A137" s="1205">
        <v>41970</v>
      </c>
      <c r="B137" s="1205"/>
      <c r="C137" s="463"/>
      <c r="D137" s="461"/>
      <c r="H137" s="932"/>
      <c r="I137" s="37"/>
      <c r="J137" s="932"/>
      <c r="K137" s="37"/>
      <c r="L137" s="932"/>
      <c r="M137" s="37"/>
      <c r="N137" s="932"/>
      <c r="O137" s="37"/>
      <c r="P137" s="932"/>
      <c r="Q137" s="37"/>
      <c r="R137" s="932"/>
      <c r="S137" s="37"/>
      <c r="T137" s="37"/>
      <c r="U137" s="37"/>
      <c r="V137" s="932"/>
      <c r="W137" s="37"/>
      <c r="X137" s="932"/>
      <c r="Y137" s="37"/>
      <c r="Z137" s="932"/>
      <c r="AA137" s="37"/>
      <c r="AB137" s="932"/>
      <c r="AC137" s="37"/>
      <c r="AD137" s="932"/>
      <c r="AE137" s="37"/>
      <c r="AF137" s="932"/>
      <c r="AG137" s="37"/>
      <c r="AH137" s="37"/>
      <c r="AI137" s="37"/>
      <c r="AJ137" s="932"/>
      <c r="AK137" s="37"/>
      <c r="AL137" s="932"/>
      <c r="AM137" s="37"/>
      <c r="AN137" s="932"/>
      <c r="AO137" s="37"/>
      <c r="AP137" s="932"/>
      <c r="AQ137" s="37"/>
      <c r="AR137" s="37"/>
      <c r="AS137" s="37"/>
      <c r="AT137" s="37"/>
      <c r="AU137" s="37"/>
      <c r="AV137" s="37"/>
      <c r="AW137" s="37"/>
      <c r="AX137" s="932"/>
      <c r="AY137" s="37"/>
      <c r="AZ137" s="932"/>
      <c r="BA137" s="37"/>
      <c r="BB137" s="932"/>
      <c r="BC137" s="37"/>
      <c r="BD137" s="932"/>
      <c r="BE137" s="37"/>
      <c r="BF137" s="932"/>
      <c r="BG137" s="37"/>
      <c r="BH137" s="37"/>
      <c r="BI137" s="37"/>
      <c r="BJ137" s="37"/>
      <c r="BK137" s="37"/>
      <c r="BL137" s="932"/>
      <c r="BM137" s="37"/>
      <c r="BN137" s="932"/>
      <c r="BO137" s="37"/>
      <c r="BP137" s="932"/>
      <c r="BQ137" s="37"/>
      <c r="BR137" s="932"/>
      <c r="BS137" s="37"/>
      <c r="BT137" s="932"/>
      <c r="BU137" s="932"/>
      <c r="BV137" s="932"/>
      <c r="BW137" s="932"/>
      <c r="BX137" s="37"/>
      <c r="BY137" s="37"/>
      <c r="BZ137" s="932"/>
      <c r="CA137" s="37"/>
      <c r="CB137" s="932"/>
      <c r="CC137" s="37"/>
      <c r="CD137" s="932"/>
      <c r="CE137" s="37"/>
      <c r="CF137" s="932"/>
      <c r="CG137" s="37"/>
      <c r="CH137" s="932"/>
      <c r="CI137" s="932"/>
      <c r="CJ137" s="932"/>
      <c r="CK137" s="932"/>
      <c r="CL137" s="37"/>
      <c r="CM137" s="37"/>
      <c r="CN137" s="932"/>
      <c r="CO137" s="37"/>
      <c r="CP137" s="932"/>
      <c r="CQ137" s="37"/>
      <c r="CR137" s="932"/>
      <c r="CS137" s="37"/>
      <c r="CT137" s="932"/>
      <c r="CU137" s="37"/>
      <c r="CV137" s="932"/>
      <c r="CW137" s="932"/>
      <c r="CX137" s="932"/>
      <c r="CY137" s="932"/>
      <c r="CZ137" s="37"/>
      <c r="DA137" s="37"/>
      <c r="DB137" s="932"/>
      <c r="DC137" s="37"/>
      <c r="DD137" s="932"/>
      <c r="DE137" s="37"/>
      <c r="DF137" s="932"/>
      <c r="DG137" s="37"/>
      <c r="DH137" s="932"/>
      <c r="DI137" s="37"/>
      <c r="DJ137" s="932"/>
      <c r="DK137" s="932"/>
      <c r="DL137" s="932"/>
      <c r="DM137" s="932"/>
      <c r="DN137" s="37"/>
      <c r="DO137" s="37"/>
      <c r="DP137" s="932"/>
      <c r="DQ137" s="37"/>
      <c r="DR137" s="932"/>
      <c r="DS137" s="37"/>
      <c r="DT137" s="932"/>
      <c r="DU137" s="37"/>
      <c r="DV137" s="932"/>
      <c r="DW137" s="37"/>
      <c r="DX137" s="932"/>
      <c r="DY137" s="932"/>
      <c r="DZ137" s="932"/>
      <c r="EA137" s="932"/>
      <c r="EB137" s="37"/>
      <c r="EC137" s="37"/>
      <c r="EE137" s="941"/>
      <c r="EG137" s="938"/>
      <c r="EI137" s="938"/>
      <c r="EK137" s="938"/>
      <c r="EM137" s="938"/>
      <c r="EO137" s="938"/>
      <c r="EQ137" s="938"/>
      <c r="ES137" s="938"/>
      <c r="EU137" s="938"/>
      <c r="EW137" s="938"/>
      <c r="EY137" s="938"/>
      <c r="FA137" s="938"/>
      <c r="FC137" s="938"/>
      <c r="FE137" s="938"/>
      <c r="FG137" s="938"/>
      <c r="FI137" s="938"/>
      <c r="FK137" s="938"/>
      <c r="FM137" s="938"/>
      <c r="FO137" s="938"/>
      <c r="FQ137" s="938"/>
      <c r="FS137" s="938"/>
      <c r="FU137" s="938"/>
      <c r="FW137" s="938"/>
      <c r="FY137" s="938"/>
      <c r="GA137" s="938"/>
      <c r="GC137" s="938"/>
      <c r="GE137" s="938"/>
      <c r="GG137" s="938"/>
      <c r="GI137" s="938"/>
      <c r="GK137" s="938"/>
      <c r="GM137" s="938"/>
      <c r="GO137" s="938"/>
      <c r="GQ137" s="938"/>
      <c r="GS137" s="938"/>
      <c r="GU137" s="938"/>
      <c r="GW137" s="938"/>
      <c r="GY137" s="938"/>
      <c r="HA137" s="938"/>
      <c r="HC137" s="938"/>
      <c r="HE137" s="938"/>
      <c r="HG137" s="938"/>
      <c r="HI137" s="938"/>
      <c r="HK137" s="938"/>
      <c r="HM137" s="938"/>
      <c r="HO137" s="938"/>
      <c r="HQ137" s="938"/>
      <c r="HS137" s="938"/>
      <c r="HU137" s="938"/>
      <c r="HW137" s="938"/>
      <c r="HY137" s="938"/>
      <c r="IA137" s="938"/>
      <c r="IC137" s="938"/>
      <c r="IE137" s="938"/>
      <c r="IG137" s="938"/>
      <c r="II137" s="938"/>
      <c r="IK137" s="938"/>
      <c r="IM137" s="938"/>
      <c r="IO137" s="938"/>
      <c r="IQ137" s="938"/>
      <c r="IS137" s="938"/>
      <c r="IT137" s="932"/>
      <c r="IU137" s="938"/>
      <c r="IW137" s="939"/>
      <c r="IX137" s="938"/>
      <c r="IY137" s="938"/>
      <c r="IZ137" s="938"/>
      <c r="JB137" s="940"/>
      <c r="JC137" s="940"/>
      <c r="JD137" s="940"/>
      <c r="JE137" s="940"/>
      <c r="JF137" s="940"/>
      <c r="JG137" s="940"/>
      <c r="JH137" s="940"/>
      <c r="JI137" s="940"/>
      <c r="JJ137" s="940"/>
      <c r="JK137" s="940"/>
      <c r="JL137" s="940"/>
      <c r="JM137" s="940"/>
      <c r="JN137" s="940"/>
      <c r="JO137" s="940"/>
      <c r="JP137" s="940"/>
      <c r="JQ137" s="940"/>
      <c r="JR137" s="940"/>
      <c r="JS137" s="940"/>
      <c r="JT137" s="940"/>
      <c r="JU137" s="940"/>
      <c r="JV137" s="940"/>
      <c r="JW137" s="940"/>
      <c r="JX137" s="940"/>
      <c r="JY137" s="940"/>
      <c r="JZ137" s="940"/>
      <c r="KA137" s="940"/>
      <c r="KB137" s="940"/>
      <c r="KC137" s="940"/>
      <c r="KD137" s="940"/>
      <c r="KE137" s="940"/>
      <c r="KF137" s="940"/>
      <c r="KG137" s="940"/>
      <c r="KH137" s="940"/>
      <c r="KI137" s="940"/>
      <c r="KJ137" s="940"/>
      <c r="KK137" s="940"/>
      <c r="KL137" s="940"/>
      <c r="KM137" s="940"/>
      <c r="KN137" s="940"/>
      <c r="KO137" s="940"/>
      <c r="KP137" s="940"/>
      <c r="KQ137" s="940"/>
      <c r="KR137" s="940"/>
      <c r="KS137" s="940"/>
      <c r="KT137" s="940"/>
      <c r="KU137" s="940"/>
      <c r="KV137" s="940"/>
      <c r="KW137" s="940"/>
      <c r="KX137" s="940"/>
      <c r="KY137" s="940"/>
      <c r="KZ137" s="940"/>
      <c r="LA137" s="940"/>
      <c r="LB137" s="940"/>
      <c r="LC137" s="940"/>
      <c r="LD137" s="940"/>
      <c r="LE137" s="940"/>
      <c r="LF137" s="940"/>
      <c r="LG137" s="940"/>
      <c r="LH137" s="940"/>
    </row>
    <row r="138" spans="1:320" s="462" customFormat="1" ht="15" hidden="1" customHeight="1" outlineLevel="1" x14ac:dyDescent="0.25">
      <c r="A138" s="1205">
        <v>41971</v>
      </c>
      <c r="B138" s="1205"/>
      <c r="C138" s="463"/>
      <c r="D138" s="461"/>
      <c r="H138" s="932"/>
      <c r="I138" s="37"/>
      <c r="J138" s="932"/>
      <c r="K138" s="37"/>
      <c r="L138" s="932"/>
      <c r="M138" s="37"/>
      <c r="N138" s="932"/>
      <c r="O138" s="37"/>
      <c r="P138" s="932"/>
      <c r="Q138" s="37"/>
      <c r="R138" s="932"/>
      <c r="S138" s="37"/>
      <c r="T138" s="37"/>
      <c r="U138" s="37"/>
      <c r="V138" s="932"/>
      <c r="W138" s="37"/>
      <c r="X138" s="932"/>
      <c r="Y138" s="37"/>
      <c r="Z138" s="932"/>
      <c r="AA138" s="37"/>
      <c r="AB138" s="932"/>
      <c r="AC138" s="37"/>
      <c r="AD138" s="932"/>
      <c r="AE138" s="37"/>
      <c r="AF138" s="932"/>
      <c r="AG138" s="37"/>
      <c r="AH138" s="37"/>
      <c r="AI138" s="37"/>
      <c r="AJ138" s="932"/>
      <c r="AK138" s="37"/>
      <c r="AL138" s="932"/>
      <c r="AM138" s="37"/>
      <c r="AN138" s="932"/>
      <c r="AO138" s="37"/>
      <c r="AP138" s="932"/>
      <c r="AQ138" s="37"/>
      <c r="AR138" s="37"/>
      <c r="AS138" s="37"/>
      <c r="AT138" s="37"/>
      <c r="AU138" s="37"/>
      <c r="AV138" s="37"/>
      <c r="AW138" s="37"/>
      <c r="AX138" s="932"/>
      <c r="AY138" s="37"/>
      <c r="AZ138" s="932"/>
      <c r="BA138" s="37"/>
      <c r="BB138" s="932"/>
      <c r="BC138" s="37"/>
      <c r="BD138" s="932"/>
      <c r="BE138" s="37"/>
      <c r="BF138" s="932"/>
      <c r="BG138" s="37"/>
      <c r="BH138" s="37"/>
      <c r="BI138" s="37"/>
      <c r="BJ138" s="37"/>
      <c r="BK138" s="37"/>
      <c r="BL138" s="932"/>
      <c r="BM138" s="37"/>
      <c r="BN138" s="932"/>
      <c r="BO138" s="37"/>
      <c r="BP138" s="932"/>
      <c r="BQ138" s="37"/>
      <c r="BR138" s="932"/>
      <c r="BS138" s="37"/>
      <c r="BT138" s="932"/>
      <c r="BU138" s="932"/>
      <c r="BV138" s="932"/>
      <c r="BW138" s="932"/>
      <c r="BX138" s="37"/>
      <c r="BY138" s="37"/>
      <c r="BZ138" s="932"/>
      <c r="CA138" s="37"/>
      <c r="CB138" s="932"/>
      <c r="CC138" s="37"/>
      <c r="CD138" s="932"/>
      <c r="CE138" s="37"/>
      <c r="CF138" s="932"/>
      <c r="CG138" s="37"/>
      <c r="CH138" s="932"/>
      <c r="CI138" s="932"/>
      <c r="CJ138" s="932"/>
      <c r="CK138" s="932"/>
      <c r="CL138" s="37"/>
      <c r="CM138" s="37"/>
      <c r="CN138" s="932"/>
      <c r="CO138" s="37"/>
      <c r="CP138" s="932"/>
      <c r="CQ138" s="37"/>
      <c r="CR138" s="932"/>
      <c r="CS138" s="37"/>
      <c r="CT138" s="932"/>
      <c r="CU138" s="37"/>
      <c r="CV138" s="932"/>
      <c r="CW138" s="932"/>
      <c r="CX138" s="932"/>
      <c r="CY138" s="932"/>
      <c r="CZ138" s="37"/>
      <c r="DA138" s="37"/>
      <c r="DB138" s="932"/>
      <c r="DC138" s="37"/>
      <c r="DD138" s="932"/>
      <c r="DE138" s="37"/>
      <c r="DF138" s="932"/>
      <c r="DG138" s="37"/>
      <c r="DH138" s="932"/>
      <c r="DI138" s="37"/>
      <c r="DJ138" s="932"/>
      <c r="DK138" s="932"/>
      <c r="DL138" s="932"/>
      <c r="DM138" s="932"/>
      <c r="DN138" s="37"/>
      <c r="DO138" s="37"/>
      <c r="DP138" s="932"/>
      <c r="DQ138" s="37"/>
      <c r="DR138" s="932"/>
      <c r="DS138" s="37"/>
      <c r="DT138" s="932"/>
      <c r="DU138" s="37"/>
      <c r="DV138" s="932"/>
      <c r="DW138" s="37"/>
      <c r="DX138" s="932"/>
      <c r="DY138" s="932"/>
      <c r="DZ138" s="932"/>
      <c r="EA138" s="932"/>
      <c r="EB138" s="37"/>
      <c r="EC138" s="37"/>
      <c r="EE138" s="941"/>
      <c r="EG138" s="938"/>
      <c r="EI138" s="938"/>
      <c r="EK138" s="938"/>
      <c r="EM138" s="938"/>
      <c r="EO138" s="938"/>
      <c r="EQ138" s="938"/>
      <c r="ES138" s="938"/>
      <c r="EU138" s="938"/>
      <c r="EW138" s="938"/>
      <c r="EY138" s="938"/>
      <c r="FA138" s="938"/>
      <c r="FC138" s="938"/>
      <c r="FE138" s="938"/>
      <c r="FG138" s="938"/>
      <c r="FI138" s="938"/>
      <c r="FK138" s="938"/>
      <c r="FM138" s="938"/>
      <c r="FO138" s="938"/>
      <c r="FQ138" s="938"/>
      <c r="FS138" s="938"/>
      <c r="FU138" s="938"/>
      <c r="FW138" s="938"/>
      <c r="FY138" s="938"/>
      <c r="GA138" s="938"/>
      <c r="GC138" s="938"/>
      <c r="GE138" s="938"/>
      <c r="GG138" s="938"/>
      <c r="GI138" s="938"/>
      <c r="GK138" s="938"/>
      <c r="GM138" s="938"/>
      <c r="GO138" s="938"/>
      <c r="GQ138" s="938"/>
      <c r="GS138" s="938"/>
      <c r="GU138" s="938"/>
      <c r="GW138" s="938"/>
      <c r="GY138" s="938"/>
      <c r="HA138" s="938"/>
      <c r="HC138" s="938"/>
      <c r="HE138" s="938"/>
      <c r="HG138" s="938"/>
      <c r="HI138" s="938"/>
      <c r="HK138" s="938"/>
      <c r="HM138" s="938"/>
      <c r="HO138" s="938"/>
      <c r="HQ138" s="938"/>
      <c r="HS138" s="938"/>
      <c r="HU138" s="938"/>
      <c r="HW138" s="938"/>
      <c r="HY138" s="938"/>
      <c r="IA138" s="938"/>
      <c r="IC138" s="938"/>
      <c r="IE138" s="938"/>
      <c r="IG138" s="938"/>
      <c r="II138" s="938"/>
      <c r="IK138" s="938"/>
      <c r="IM138" s="938"/>
      <c r="IO138" s="938"/>
      <c r="IQ138" s="938"/>
      <c r="IS138" s="938"/>
      <c r="IT138" s="932"/>
      <c r="IU138" s="938"/>
      <c r="IW138" s="939"/>
      <c r="IX138" s="938"/>
      <c r="IY138" s="938"/>
      <c r="IZ138" s="938"/>
      <c r="JB138" s="940"/>
      <c r="JC138" s="940"/>
      <c r="JD138" s="940"/>
      <c r="JE138" s="940"/>
      <c r="JF138" s="940"/>
      <c r="JG138" s="940"/>
      <c r="JH138" s="940"/>
      <c r="JI138" s="940"/>
      <c r="JJ138" s="940"/>
      <c r="JK138" s="940"/>
      <c r="JL138" s="940"/>
      <c r="JM138" s="940"/>
      <c r="JN138" s="940"/>
      <c r="JO138" s="940"/>
      <c r="JP138" s="940"/>
      <c r="JQ138" s="940"/>
      <c r="JR138" s="940"/>
      <c r="JS138" s="940"/>
      <c r="JT138" s="940"/>
      <c r="JU138" s="940"/>
      <c r="JV138" s="940"/>
      <c r="JW138" s="940"/>
      <c r="JX138" s="940"/>
      <c r="JY138" s="940"/>
      <c r="JZ138" s="940"/>
      <c r="KA138" s="940"/>
      <c r="KB138" s="940"/>
      <c r="KC138" s="940"/>
      <c r="KD138" s="940"/>
      <c r="KE138" s="940"/>
      <c r="KF138" s="940"/>
      <c r="KG138" s="940"/>
      <c r="KH138" s="940"/>
      <c r="KI138" s="940"/>
      <c r="KJ138" s="940"/>
      <c r="KK138" s="940"/>
      <c r="KL138" s="940"/>
      <c r="KM138" s="940"/>
      <c r="KN138" s="940"/>
      <c r="KO138" s="940"/>
      <c r="KP138" s="940"/>
      <c r="KQ138" s="940"/>
      <c r="KR138" s="940"/>
      <c r="KS138" s="940"/>
      <c r="KT138" s="940"/>
      <c r="KU138" s="940"/>
      <c r="KV138" s="940"/>
      <c r="KW138" s="940"/>
      <c r="KX138" s="940"/>
      <c r="KY138" s="940"/>
      <c r="KZ138" s="940"/>
      <c r="LA138" s="940"/>
      <c r="LB138" s="940"/>
      <c r="LC138" s="940"/>
      <c r="LD138" s="940"/>
      <c r="LE138" s="940"/>
      <c r="LF138" s="940"/>
      <c r="LG138" s="940"/>
      <c r="LH138" s="940"/>
    </row>
    <row r="139" spans="1:320" s="462" customFormat="1" ht="15" hidden="1" customHeight="1" outlineLevel="1" x14ac:dyDescent="0.25">
      <c r="A139" s="1205">
        <v>41997</v>
      </c>
      <c r="B139" s="1205"/>
      <c r="C139" s="463"/>
      <c r="D139" s="461"/>
      <c r="H139" s="932"/>
      <c r="I139" s="37"/>
      <c r="J139" s="932"/>
      <c r="K139" s="37"/>
      <c r="L139" s="932"/>
      <c r="M139" s="37"/>
      <c r="N139" s="932"/>
      <c r="O139" s="37"/>
      <c r="P139" s="932"/>
      <c r="Q139" s="37"/>
      <c r="R139" s="932"/>
      <c r="S139" s="37"/>
      <c r="T139" s="37"/>
      <c r="U139" s="37"/>
      <c r="V139" s="932"/>
      <c r="W139" s="37"/>
      <c r="X139" s="932"/>
      <c r="Y139" s="37"/>
      <c r="Z139" s="932"/>
      <c r="AA139" s="37"/>
      <c r="AB139" s="932"/>
      <c r="AC139" s="37"/>
      <c r="AD139" s="932"/>
      <c r="AE139" s="37"/>
      <c r="AF139" s="932"/>
      <c r="AG139" s="37"/>
      <c r="AH139" s="37"/>
      <c r="AI139" s="37"/>
      <c r="AJ139" s="932"/>
      <c r="AK139" s="37"/>
      <c r="AL139" s="932"/>
      <c r="AM139" s="37"/>
      <c r="AN139" s="932"/>
      <c r="AO139" s="37"/>
      <c r="AP139" s="932"/>
      <c r="AQ139" s="37"/>
      <c r="AR139" s="37"/>
      <c r="AS139" s="37"/>
      <c r="AT139" s="37"/>
      <c r="AU139" s="37"/>
      <c r="AV139" s="37"/>
      <c r="AW139" s="37"/>
      <c r="AX139" s="932"/>
      <c r="AY139" s="37"/>
      <c r="AZ139" s="932"/>
      <c r="BA139" s="37"/>
      <c r="BB139" s="932"/>
      <c r="BC139" s="37"/>
      <c r="BD139" s="932"/>
      <c r="BE139" s="37"/>
      <c r="BF139" s="932"/>
      <c r="BG139" s="37"/>
      <c r="BH139" s="37"/>
      <c r="BI139" s="37"/>
      <c r="BJ139" s="37"/>
      <c r="BK139" s="37"/>
      <c r="BL139" s="932"/>
      <c r="BM139" s="37"/>
      <c r="BN139" s="932"/>
      <c r="BO139" s="37"/>
      <c r="BP139" s="932"/>
      <c r="BQ139" s="37"/>
      <c r="BR139" s="932"/>
      <c r="BS139" s="37"/>
      <c r="BT139" s="932"/>
      <c r="BU139" s="932"/>
      <c r="BV139" s="932"/>
      <c r="BW139" s="932"/>
      <c r="BX139" s="37"/>
      <c r="BY139" s="37"/>
      <c r="BZ139" s="932"/>
      <c r="CA139" s="37"/>
      <c r="CB139" s="932"/>
      <c r="CC139" s="37"/>
      <c r="CD139" s="932"/>
      <c r="CE139" s="37"/>
      <c r="CF139" s="932"/>
      <c r="CG139" s="37"/>
      <c r="CH139" s="932"/>
      <c r="CI139" s="932"/>
      <c r="CJ139" s="932"/>
      <c r="CK139" s="932"/>
      <c r="CL139" s="37"/>
      <c r="CM139" s="37"/>
      <c r="CN139" s="932"/>
      <c r="CO139" s="37"/>
      <c r="CP139" s="932"/>
      <c r="CQ139" s="37"/>
      <c r="CR139" s="932"/>
      <c r="CS139" s="37"/>
      <c r="CT139" s="932"/>
      <c r="CU139" s="37"/>
      <c r="CV139" s="932"/>
      <c r="CW139" s="932"/>
      <c r="CX139" s="932"/>
      <c r="CY139" s="932"/>
      <c r="CZ139" s="37"/>
      <c r="DA139" s="37"/>
      <c r="DB139" s="932"/>
      <c r="DC139" s="37"/>
      <c r="DD139" s="932"/>
      <c r="DE139" s="37"/>
      <c r="DF139" s="932"/>
      <c r="DG139" s="37"/>
      <c r="DH139" s="932"/>
      <c r="DI139" s="37"/>
      <c r="DJ139" s="932"/>
      <c r="DK139" s="932"/>
      <c r="DL139" s="932"/>
      <c r="DM139" s="932"/>
      <c r="DN139" s="37"/>
      <c r="DO139" s="37"/>
      <c r="DP139" s="932"/>
      <c r="DQ139" s="37"/>
      <c r="DR139" s="932"/>
      <c r="DS139" s="37"/>
      <c r="DT139" s="932"/>
      <c r="DU139" s="37"/>
      <c r="DV139" s="932"/>
      <c r="DW139" s="37"/>
      <c r="DX139" s="932"/>
      <c r="DY139" s="932"/>
      <c r="DZ139" s="932"/>
      <c r="EA139" s="932"/>
      <c r="EB139" s="37"/>
      <c r="EC139" s="37"/>
      <c r="EE139" s="941"/>
      <c r="EG139" s="938"/>
      <c r="EI139" s="938"/>
      <c r="EK139" s="938"/>
      <c r="EM139" s="938"/>
      <c r="EO139" s="938"/>
      <c r="EQ139" s="938"/>
      <c r="ES139" s="938"/>
      <c r="EU139" s="938"/>
      <c r="EW139" s="938"/>
      <c r="EY139" s="938"/>
      <c r="FA139" s="938"/>
      <c r="FC139" s="938"/>
      <c r="FE139" s="938"/>
      <c r="FG139" s="938"/>
      <c r="FI139" s="938"/>
      <c r="FK139" s="938"/>
      <c r="FM139" s="938"/>
      <c r="FO139" s="938"/>
      <c r="FQ139" s="938"/>
      <c r="FS139" s="938"/>
      <c r="FU139" s="938"/>
      <c r="FW139" s="938"/>
      <c r="FY139" s="938"/>
      <c r="GA139" s="938"/>
      <c r="GC139" s="938"/>
      <c r="GE139" s="938"/>
      <c r="GG139" s="938"/>
      <c r="GI139" s="938"/>
      <c r="GK139" s="938"/>
      <c r="GM139" s="938"/>
      <c r="GO139" s="938"/>
      <c r="GQ139" s="938"/>
      <c r="GS139" s="938"/>
      <c r="GU139" s="938"/>
      <c r="GW139" s="938"/>
      <c r="GY139" s="938"/>
      <c r="HA139" s="938"/>
      <c r="HC139" s="938"/>
      <c r="HE139" s="938"/>
      <c r="HG139" s="938"/>
      <c r="HI139" s="938"/>
      <c r="HK139" s="938"/>
      <c r="HM139" s="938"/>
      <c r="HO139" s="938"/>
      <c r="HQ139" s="938"/>
      <c r="HS139" s="938"/>
      <c r="HU139" s="938"/>
      <c r="HW139" s="938"/>
      <c r="HY139" s="938"/>
      <c r="IA139" s="938"/>
      <c r="IC139" s="938"/>
      <c r="IE139" s="938"/>
      <c r="IG139" s="938"/>
      <c r="II139" s="938"/>
      <c r="IK139" s="938"/>
      <c r="IM139" s="938"/>
      <c r="IO139" s="938"/>
      <c r="IQ139" s="938"/>
      <c r="IS139" s="938"/>
      <c r="IT139" s="932"/>
      <c r="IU139" s="938"/>
      <c r="IW139" s="939"/>
      <c r="IX139" s="938"/>
      <c r="IY139" s="938"/>
      <c r="IZ139" s="938"/>
      <c r="JB139" s="940"/>
      <c r="JC139" s="940"/>
      <c r="JD139" s="940"/>
      <c r="JE139" s="940"/>
      <c r="JF139" s="940"/>
      <c r="JG139" s="940"/>
      <c r="JH139" s="940"/>
      <c r="JI139" s="940"/>
      <c r="JJ139" s="940"/>
      <c r="JK139" s="940"/>
      <c r="JL139" s="940"/>
      <c r="JM139" s="940"/>
      <c r="JN139" s="940"/>
      <c r="JO139" s="940"/>
      <c r="JP139" s="940"/>
      <c r="JQ139" s="940"/>
      <c r="JR139" s="940"/>
      <c r="JS139" s="940"/>
      <c r="JT139" s="940"/>
      <c r="JU139" s="940"/>
      <c r="JV139" s="940"/>
      <c r="JW139" s="940"/>
      <c r="JX139" s="940"/>
      <c r="JY139" s="940"/>
      <c r="JZ139" s="940"/>
      <c r="KA139" s="940"/>
      <c r="KB139" s="940"/>
      <c r="KC139" s="940"/>
      <c r="KD139" s="940"/>
      <c r="KE139" s="940"/>
      <c r="KF139" s="940"/>
      <c r="KG139" s="940"/>
      <c r="KH139" s="940"/>
      <c r="KI139" s="940"/>
      <c r="KJ139" s="940"/>
      <c r="KK139" s="940"/>
      <c r="KL139" s="940"/>
      <c r="KM139" s="940"/>
      <c r="KN139" s="940"/>
      <c r="KO139" s="940"/>
      <c r="KP139" s="940"/>
      <c r="KQ139" s="940"/>
      <c r="KR139" s="940"/>
      <c r="KS139" s="940"/>
      <c r="KT139" s="940"/>
      <c r="KU139" s="940"/>
      <c r="KV139" s="940"/>
      <c r="KW139" s="940"/>
      <c r="KX139" s="940"/>
      <c r="KY139" s="940"/>
      <c r="KZ139" s="940"/>
      <c r="LA139" s="940"/>
      <c r="LB139" s="940"/>
      <c r="LC139" s="940"/>
      <c r="LD139" s="940"/>
      <c r="LE139" s="940"/>
      <c r="LF139" s="940"/>
      <c r="LG139" s="940"/>
      <c r="LH139" s="940"/>
    </row>
    <row r="140" spans="1:320" s="462" customFormat="1" ht="15" hidden="1" customHeight="1" outlineLevel="1" x14ac:dyDescent="0.25">
      <c r="A140" s="1205">
        <v>41998</v>
      </c>
      <c r="B140" s="1205"/>
      <c r="C140" s="463"/>
      <c r="D140" s="461"/>
      <c r="H140" s="932"/>
      <c r="I140" s="37"/>
      <c r="J140" s="932"/>
      <c r="K140" s="37"/>
      <c r="L140" s="932"/>
      <c r="M140" s="37"/>
      <c r="N140" s="932"/>
      <c r="O140" s="37"/>
      <c r="P140" s="932"/>
      <c r="Q140" s="37"/>
      <c r="R140" s="932"/>
      <c r="S140" s="37"/>
      <c r="T140" s="37"/>
      <c r="U140" s="37"/>
      <c r="V140" s="932"/>
      <c r="W140" s="37"/>
      <c r="X140" s="932"/>
      <c r="Y140" s="37"/>
      <c r="Z140" s="932"/>
      <c r="AA140" s="37"/>
      <c r="AB140" s="932"/>
      <c r="AC140" s="37"/>
      <c r="AD140" s="932"/>
      <c r="AE140" s="37"/>
      <c r="AF140" s="932"/>
      <c r="AG140" s="37"/>
      <c r="AH140" s="37"/>
      <c r="AI140" s="37"/>
      <c r="AJ140" s="932"/>
      <c r="AK140" s="37"/>
      <c r="AL140" s="932"/>
      <c r="AM140" s="37"/>
      <c r="AN140" s="932"/>
      <c r="AO140" s="37"/>
      <c r="AP140" s="932"/>
      <c r="AQ140" s="37"/>
      <c r="AR140" s="37"/>
      <c r="AS140" s="37"/>
      <c r="AT140" s="37"/>
      <c r="AU140" s="37"/>
      <c r="AV140" s="37"/>
      <c r="AW140" s="37"/>
      <c r="AX140" s="932"/>
      <c r="AY140" s="37"/>
      <c r="AZ140" s="932"/>
      <c r="BA140" s="37"/>
      <c r="BB140" s="932"/>
      <c r="BC140" s="37"/>
      <c r="BD140" s="932"/>
      <c r="BE140" s="37"/>
      <c r="BF140" s="932"/>
      <c r="BG140" s="37"/>
      <c r="BH140" s="37"/>
      <c r="BI140" s="37"/>
      <c r="BJ140" s="37"/>
      <c r="BK140" s="37"/>
      <c r="BL140" s="932"/>
      <c r="BM140" s="37"/>
      <c r="BN140" s="932"/>
      <c r="BO140" s="37"/>
      <c r="BP140" s="932"/>
      <c r="BQ140" s="37"/>
      <c r="BR140" s="932"/>
      <c r="BS140" s="37"/>
      <c r="BT140" s="932"/>
      <c r="BU140" s="932"/>
      <c r="BV140" s="932"/>
      <c r="BW140" s="932"/>
      <c r="BX140" s="37"/>
      <c r="BY140" s="37"/>
      <c r="BZ140" s="932"/>
      <c r="CA140" s="37"/>
      <c r="CB140" s="932"/>
      <c r="CC140" s="37"/>
      <c r="CD140" s="932"/>
      <c r="CE140" s="37"/>
      <c r="CF140" s="932"/>
      <c r="CG140" s="37"/>
      <c r="CH140" s="932"/>
      <c r="CI140" s="932"/>
      <c r="CJ140" s="932"/>
      <c r="CK140" s="932"/>
      <c r="CL140" s="37"/>
      <c r="CM140" s="37"/>
      <c r="CN140" s="932"/>
      <c r="CO140" s="37"/>
      <c r="CP140" s="932"/>
      <c r="CQ140" s="37"/>
      <c r="CR140" s="932"/>
      <c r="CS140" s="37"/>
      <c r="CT140" s="932"/>
      <c r="CU140" s="37"/>
      <c r="CV140" s="932"/>
      <c r="CW140" s="932"/>
      <c r="CX140" s="932"/>
      <c r="CY140" s="932"/>
      <c r="CZ140" s="37"/>
      <c r="DA140" s="37"/>
      <c r="DB140" s="932"/>
      <c r="DC140" s="37"/>
      <c r="DD140" s="932"/>
      <c r="DE140" s="37"/>
      <c r="DF140" s="932"/>
      <c r="DG140" s="37"/>
      <c r="DH140" s="932"/>
      <c r="DI140" s="37"/>
      <c r="DJ140" s="932"/>
      <c r="DK140" s="932"/>
      <c r="DL140" s="932"/>
      <c r="DM140" s="932"/>
      <c r="DN140" s="37"/>
      <c r="DO140" s="37"/>
      <c r="DP140" s="932"/>
      <c r="DQ140" s="37"/>
      <c r="DR140" s="932"/>
      <c r="DS140" s="37"/>
      <c r="DT140" s="932"/>
      <c r="DU140" s="37"/>
      <c r="DV140" s="932"/>
      <c r="DW140" s="37"/>
      <c r="DX140" s="932"/>
      <c r="DY140" s="932"/>
      <c r="DZ140" s="932"/>
      <c r="EA140" s="932"/>
      <c r="EB140" s="37"/>
      <c r="EC140" s="37"/>
      <c r="EE140" s="941"/>
      <c r="EG140" s="938"/>
      <c r="EI140" s="938"/>
      <c r="EK140" s="938"/>
      <c r="EM140" s="938"/>
      <c r="EO140" s="938"/>
      <c r="EQ140" s="938"/>
      <c r="ES140" s="938"/>
      <c r="EU140" s="938"/>
      <c r="EW140" s="938"/>
      <c r="EY140" s="938"/>
      <c r="FA140" s="938"/>
      <c r="FC140" s="938"/>
      <c r="FE140" s="938"/>
      <c r="FG140" s="938"/>
      <c r="FI140" s="938"/>
      <c r="FK140" s="938"/>
      <c r="FM140" s="938"/>
      <c r="FO140" s="938"/>
      <c r="FQ140" s="938"/>
      <c r="FS140" s="938"/>
      <c r="FU140" s="938"/>
      <c r="FW140" s="938"/>
      <c r="FY140" s="938"/>
      <c r="GA140" s="938"/>
      <c r="GC140" s="938"/>
      <c r="GE140" s="938"/>
      <c r="GG140" s="938"/>
      <c r="GI140" s="938"/>
      <c r="GK140" s="938"/>
      <c r="GM140" s="938"/>
      <c r="GO140" s="938"/>
      <c r="GQ140" s="938"/>
      <c r="GS140" s="938"/>
      <c r="GU140" s="938"/>
      <c r="GW140" s="938"/>
      <c r="GY140" s="938"/>
      <c r="HA140" s="938"/>
      <c r="HC140" s="938"/>
      <c r="HE140" s="938"/>
      <c r="HG140" s="938"/>
      <c r="HI140" s="938"/>
      <c r="HK140" s="938"/>
      <c r="HM140" s="938"/>
      <c r="HO140" s="938"/>
      <c r="HQ140" s="938"/>
      <c r="HS140" s="938"/>
      <c r="HU140" s="938"/>
      <c r="HW140" s="938"/>
      <c r="HY140" s="938"/>
      <c r="IA140" s="938"/>
      <c r="IC140" s="938"/>
      <c r="IE140" s="938"/>
      <c r="IG140" s="938"/>
      <c r="II140" s="938"/>
      <c r="IK140" s="938"/>
      <c r="IM140" s="938"/>
      <c r="IO140" s="938"/>
      <c r="IQ140" s="938"/>
      <c r="IS140" s="938"/>
      <c r="IT140" s="932"/>
      <c r="IU140" s="938"/>
      <c r="IW140" s="939"/>
      <c r="IX140" s="938"/>
      <c r="IY140" s="938"/>
      <c r="IZ140" s="938"/>
      <c r="JB140" s="940"/>
      <c r="JC140" s="940"/>
      <c r="JD140" s="940"/>
      <c r="JE140" s="940"/>
      <c r="JF140" s="940"/>
      <c r="JG140" s="940"/>
      <c r="JH140" s="940"/>
      <c r="JI140" s="940"/>
      <c r="JJ140" s="940"/>
      <c r="JK140" s="940"/>
      <c r="JL140" s="940"/>
      <c r="JM140" s="940"/>
      <c r="JN140" s="940"/>
      <c r="JO140" s="940"/>
      <c r="JP140" s="940"/>
      <c r="JQ140" s="940"/>
      <c r="JR140" s="940"/>
      <c r="JS140" s="940"/>
      <c r="JT140" s="940"/>
      <c r="JU140" s="940"/>
      <c r="JV140" s="940"/>
      <c r="JW140" s="940"/>
      <c r="JX140" s="940"/>
      <c r="JY140" s="940"/>
      <c r="JZ140" s="940"/>
      <c r="KA140" s="940"/>
      <c r="KB140" s="940"/>
      <c r="KC140" s="940"/>
      <c r="KD140" s="940"/>
      <c r="KE140" s="940"/>
      <c r="KF140" s="940"/>
      <c r="KG140" s="940"/>
      <c r="KH140" s="940"/>
      <c r="KI140" s="940"/>
      <c r="KJ140" s="940"/>
      <c r="KK140" s="940"/>
      <c r="KL140" s="940"/>
      <c r="KM140" s="940"/>
      <c r="KN140" s="940"/>
      <c r="KO140" s="940"/>
      <c r="KP140" s="940"/>
      <c r="KQ140" s="940"/>
      <c r="KR140" s="940"/>
      <c r="KS140" s="940"/>
      <c r="KT140" s="940"/>
      <c r="KU140" s="940"/>
      <c r="KV140" s="940"/>
      <c r="KW140" s="940"/>
      <c r="KX140" s="940"/>
      <c r="KY140" s="940"/>
      <c r="KZ140" s="940"/>
      <c r="LA140" s="940"/>
      <c r="LB140" s="940"/>
      <c r="LC140" s="940"/>
      <c r="LD140" s="940"/>
      <c r="LE140" s="940"/>
      <c r="LF140" s="940"/>
      <c r="LG140" s="940"/>
      <c r="LH140" s="940"/>
    </row>
    <row r="141" spans="1:320" s="462" customFormat="1" ht="15" hidden="1" customHeight="1" outlineLevel="1" x14ac:dyDescent="0.25">
      <c r="A141" s="1205">
        <v>41999</v>
      </c>
      <c r="B141" s="1205"/>
      <c r="C141" s="463"/>
      <c r="D141" s="461"/>
      <c r="H141" s="932"/>
      <c r="I141" s="37"/>
      <c r="J141" s="932"/>
      <c r="K141" s="37"/>
      <c r="L141" s="932"/>
      <c r="M141" s="37"/>
      <c r="N141" s="932"/>
      <c r="O141" s="37"/>
      <c r="P141" s="932"/>
      <c r="Q141" s="37"/>
      <c r="R141" s="932"/>
      <c r="S141" s="37"/>
      <c r="T141" s="37"/>
      <c r="U141" s="37"/>
      <c r="V141" s="932"/>
      <c r="W141" s="37"/>
      <c r="X141" s="932"/>
      <c r="Y141" s="37"/>
      <c r="Z141" s="932"/>
      <c r="AA141" s="37"/>
      <c r="AB141" s="932"/>
      <c r="AC141" s="37"/>
      <c r="AD141" s="932"/>
      <c r="AE141" s="37"/>
      <c r="AF141" s="932"/>
      <c r="AG141" s="37"/>
      <c r="AH141" s="37"/>
      <c r="AI141" s="37"/>
      <c r="AJ141" s="932"/>
      <c r="AK141" s="37"/>
      <c r="AL141" s="932"/>
      <c r="AM141" s="37"/>
      <c r="AN141" s="932"/>
      <c r="AO141" s="37"/>
      <c r="AP141" s="932"/>
      <c r="AQ141" s="37"/>
      <c r="AR141" s="37"/>
      <c r="AS141" s="37"/>
      <c r="AT141" s="37"/>
      <c r="AU141" s="37"/>
      <c r="AV141" s="37"/>
      <c r="AW141" s="37"/>
      <c r="AX141" s="932"/>
      <c r="AY141" s="37"/>
      <c r="AZ141" s="932"/>
      <c r="BA141" s="37"/>
      <c r="BB141" s="932"/>
      <c r="BC141" s="37"/>
      <c r="BD141" s="932"/>
      <c r="BE141" s="37"/>
      <c r="BF141" s="932"/>
      <c r="BG141" s="37"/>
      <c r="BH141" s="37"/>
      <c r="BI141" s="37"/>
      <c r="BJ141" s="37"/>
      <c r="BK141" s="37"/>
      <c r="BL141" s="932"/>
      <c r="BM141" s="37"/>
      <c r="BN141" s="932"/>
      <c r="BO141" s="37"/>
      <c r="BP141" s="932"/>
      <c r="BQ141" s="37"/>
      <c r="BR141" s="932"/>
      <c r="BS141" s="37"/>
      <c r="BT141" s="932"/>
      <c r="BU141" s="932"/>
      <c r="BV141" s="932"/>
      <c r="BW141" s="932"/>
      <c r="BX141" s="37"/>
      <c r="BY141" s="37"/>
      <c r="BZ141" s="932"/>
      <c r="CA141" s="37"/>
      <c r="CB141" s="932"/>
      <c r="CC141" s="37"/>
      <c r="CD141" s="932"/>
      <c r="CE141" s="37"/>
      <c r="CF141" s="932"/>
      <c r="CG141" s="37"/>
      <c r="CH141" s="932"/>
      <c r="CI141" s="932"/>
      <c r="CJ141" s="932"/>
      <c r="CK141" s="932"/>
      <c r="CL141" s="37"/>
      <c r="CM141" s="37"/>
      <c r="CN141" s="932"/>
      <c r="CO141" s="37"/>
      <c r="CP141" s="932"/>
      <c r="CQ141" s="37"/>
      <c r="CR141" s="932"/>
      <c r="CS141" s="37"/>
      <c r="CT141" s="932"/>
      <c r="CU141" s="37"/>
      <c r="CV141" s="932"/>
      <c r="CW141" s="932"/>
      <c r="CX141" s="932"/>
      <c r="CY141" s="932"/>
      <c r="CZ141" s="37"/>
      <c r="DA141" s="37"/>
      <c r="DB141" s="932"/>
      <c r="DC141" s="37"/>
      <c r="DD141" s="932"/>
      <c r="DE141" s="37"/>
      <c r="DF141" s="932"/>
      <c r="DG141" s="37"/>
      <c r="DH141" s="932"/>
      <c r="DI141" s="37"/>
      <c r="DJ141" s="932"/>
      <c r="DK141" s="932"/>
      <c r="DL141" s="932"/>
      <c r="DM141" s="932"/>
      <c r="DN141" s="37"/>
      <c r="DO141" s="37"/>
      <c r="DP141" s="932"/>
      <c r="DQ141" s="37"/>
      <c r="DR141" s="932"/>
      <c r="DS141" s="37"/>
      <c r="DT141" s="932"/>
      <c r="DU141" s="37"/>
      <c r="DV141" s="932"/>
      <c r="DW141" s="37"/>
      <c r="DX141" s="932"/>
      <c r="DY141" s="932"/>
      <c r="DZ141" s="932"/>
      <c r="EA141" s="932"/>
      <c r="EB141" s="37"/>
      <c r="EC141" s="37"/>
      <c r="EE141" s="941"/>
      <c r="EG141" s="938"/>
      <c r="EI141" s="938"/>
      <c r="EK141" s="938"/>
      <c r="EM141" s="938"/>
      <c r="EO141" s="938"/>
      <c r="EQ141" s="938"/>
      <c r="ES141" s="938"/>
      <c r="EU141" s="938"/>
      <c r="EW141" s="938"/>
      <c r="EY141" s="938"/>
      <c r="FA141" s="938"/>
      <c r="FC141" s="938"/>
      <c r="FE141" s="938"/>
      <c r="FG141" s="938"/>
      <c r="FI141" s="938"/>
      <c r="FK141" s="938"/>
      <c r="FM141" s="938"/>
      <c r="FO141" s="938"/>
      <c r="FQ141" s="938"/>
      <c r="FS141" s="938"/>
      <c r="FU141" s="938"/>
      <c r="FW141" s="938"/>
      <c r="FY141" s="938"/>
      <c r="GA141" s="938"/>
      <c r="GC141" s="938"/>
      <c r="GE141" s="938"/>
      <c r="GG141" s="938"/>
      <c r="GI141" s="938"/>
      <c r="GK141" s="938"/>
      <c r="GM141" s="938"/>
      <c r="GO141" s="938"/>
      <c r="GQ141" s="938"/>
      <c r="GS141" s="938"/>
      <c r="GU141" s="938"/>
      <c r="GW141" s="938"/>
      <c r="GY141" s="938"/>
      <c r="HA141" s="938"/>
      <c r="HC141" s="938"/>
      <c r="HE141" s="938"/>
      <c r="HG141" s="938"/>
      <c r="HI141" s="938"/>
      <c r="HK141" s="938"/>
      <c r="HM141" s="938"/>
      <c r="HO141" s="938"/>
      <c r="HQ141" s="938"/>
      <c r="HS141" s="938"/>
      <c r="HU141" s="938"/>
      <c r="HW141" s="938"/>
      <c r="HY141" s="938"/>
      <c r="IA141" s="938"/>
      <c r="IC141" s="938"/>
      <c r="IE141" s="938"/>
      <c r="IG141" s="938"/>
      <c r="II141" s="938"/>
      <c r="IK141" s="938"/>
      <c r="IM141" s="938"/>
      <c r="IO141" s="938"/>
      <c r="IQ141" s="938"/>
      <c r="IS141" s="938"/>
      <c r="IT141" s="932"/>
      <c r="IU141" s="938"/>
      <c r="IW141" s="939"/>
      <c r="IX141" s="938"/>
      <c r="IY141" s="938"/>
      <c r="IZ141" s="938"/>
      <c r="JB141" s="940"/>
      <c r="JC141" s="940"/>
      <c r="JD141" s="940"/>
      <c r="JE141" s="940"/>
      <c r="JF141" s="940"/>
      <c r="JG141" s="940"/>
      <c r="JH141" s="940"/>
      <c r="JI141" s="940"/>
      <c r="JJ141" s="940"/>
      <c r="JK141" s="940"/>
      <c r="JL141" s="940"/>
      <c r="JM141" s="940"/>
      <c r="JN141" s="940"/>
      <c r="JO141" s="940"/>
      <c r="JP141" s="940"/>
      <c r="JQ141" s="940"/>
      <c r="JR141" s="940"/>
      <c r="JS141" s="940"/>
      <c r="JT141" s="940"/>
      <c r="JU141" s="940"/>
      <c r="JV141" s="940"/>
      <c r="JW141" s="940"/>
      <c r="JX141" s="940"/>
      <c r="JY141" s="940"/>
      <c r="JZ141" s="940"/>
      <c r="KA141" s="940"/>
      <c r="KB141" s="940"/>
      <c r="KC141" s="940"/>
      <c r="KD141" s="940"/>
      <c r="KE141" s="940"/>
      <c r="KF141" s="940"/>
      <c r="KG141" s="940"/>
      <c r="KH141" s="940"/>
      <c r="KI141" s="940"/>
      <c r="KJ141" s="940"/>
      <c r="KK141" s="940"/>
      <c r="KL141" s="940"/>
      <c r="KM141" s="940"/>
      <c r="KN141" s="940"/>
      <c r="KO141" s="940"/>
      <c r="KP141" s="940"/>
      <c r="KQ141" s="940"/>
      <c r="KR141" s="940"/>
      <c r="KS141" s="940"/>
      <c r="KT141" s="940"/>
      <c r="KU141" s="940"/>
      <c r="KV141" s="940"/>
      <c r="KW141" s="940"/>
      <c r="KX141" s="940"/>
      <c r="KY141" s="940"/>
      <c r="KZ141" s="940"/>
      <c r="LA141" s="940"/>
      <c r="LB141" s="940"/>
      <c r="LC141" s="940"/>
      <c r="LD141" s="940"/>
      <c r="LE141" s="940"/>
      <c r="LF141" s="940"/>
      <c r="LG141" s="940"/>
      <c r="LH141" s="940"/>
    </row>
    <row r="142" spans="1:320" s="462" customFormat="1" ht="15" hidden="1" customHeight="1" outlineLevel="1" x14ac:dyDescent="0.25">
      <c r="A142" s="1205">
        <v>42005</v>
      </c>
      <c r="B142" s="1205"/>
      <c r="C142" s="463"/>
      <c r="D142" s="461"/>
      <c r="H142" s="932"/>
      <c r="I142" s="37"/>
      <c r="J142" s="932"/>
      <c r="K142" s="37"/>
      <c r="L142" s="932"/>
      <c r="M142" s="37"/>
      <c r="N142" s="932"/>
      <c r="O142" s="37"/>
      <c r="P142" s="932"/>
      <c r="Q142" s="37"/>
      <c r="R142" s="932"/>
      <c r="S142" s="37"/>
      <c r="T142" s="37"/>
      <c r="U142" s="37"/>
      <c r="V142" s="932"/>
      <c r="W142" s="37"/>
      <c r="X142" s="932"/>
      <c r="Y142" s="37"/>
      <c r="Z142" s="932"/>
      <c r="AA142" s="37"/>
      <c r="AB142" s="932"/>
      <c r="AC142" s="37"/>
      <c r="AD142" s="932"/>
      <c r="AE142" s="37"/>
      <c r="AF142" s="932"/>
      <c r="AG142" s="37"/>
      <c r="AH142" s="37"/>
      <c r="AI142" s="37"/>
      <c r="AJ142" s="932"/>
      <c r="AK142" s="37"/>
      <c r="AL142" s="932"/>
      <c r="AM142" s="37"/>
      <c r="AN142" s="932"/>
      <c r="AO142" s="37"/>
      <c r="AP142" s="932"/>
      <c r="AQ142" s="37"/>
      <c r="AR142" s="37"/>
      <c r="AS142" s="37"/>
      <c r="AT142" s="37"/>
      <c r="AU142" s="37"/>
      <c r="AV142" s="37"/>
      <c r="AW142" s="37"/>
      <c r="AX142" s="932"/>
      <c r="AY142" s="37"/>
      <c r="AZ142" s="932"/>
      <c r="BA142" s="37"/>
      <c r="BB142" s="932"/>
      <c r="BC142" s="37"/>
      <c r="BD142" s="932"/>
      <c r="BE142" s="37"/>
      <c r="BF142" s="932"/>
      <c r="BG142" s="37"/>
      <c r="BH142" s="37"/>
      <c r="BI142" s="37"/>
      <c r="BJ142" s="37"/>
      <c r="BK142" s="37"/>
      <c r="BL142" s="932"/>
      <c r="BM142" s="37"/>
      <c r="BN142" s="932"/>
      <c r="BO142" s="37"/>
      <c r="BP142" s="932"/>
      <c r="BQ142" s="37"/>
      <c r="BR142" s="932"/>
      <c r="BS142" s="37"/>
      <c r="BT142" s="932"/>
      <c r="BU142" s="932"/>
      <c r="BV142" s="932"/>
      <c r="BW142" s="932"/>
      <c r="BX142" s="37"/>
      <c r="BY142" s="37"/>
      <c r="BZ142" s="932"/>
      <c r="CA142" s="37"/>
      <c r="CB142" s="932"/>
      <c r="CC142" s="37"/>
      <c r="CD142" s="932"/>
      <c r="CE142" s="37"/>
      <c r="CF142" s="932"/>
      <c r="CG142" s="37"/>
      <c r="CH142" s="932"/>
      <c r="CI142" s="932"/>
      <c r="CJ142" s="932"/>
      <c r="CK142" s="932"/>
      <c r="CL142" s="37"/>
      <c r="CM142" s="37"/>
      <c r="CN142" s="932"/>
      <c r="CO142" s="37"/>
      <c r="CP142" s="932"/>
      <c r="CQ142" s="37"/>
      <c r="CR142" s="932"/>
      <c r="CS142" s="37"/>
      <c r="CT142" s="932"/>
      <c r="CU142" s="37"/>
      <c r="CV142" s="932"/>
      <c r="CW142" s="932"/>
      <c r="CX142" s="932"/>
      <c r="CY142" s="932"/>
      <c r="CZ142" s="37"/>
      <c r="DA142" s="37"/>
      <c r="DB142" s="932"/>
      <c r="DC142" s="37"/>
      <c r="DD142" s="932"/>
      <c r="DE142" s="37"/>
      <c r="DF142" s="932"/>
      <c r="DG142" s="37"/>
      <c r="DH142" s="932"/>
      <c r="DI142" s="37"/>
      <c r="DJ142" s="932"/>
      <c r="DK142" s="932"/>
      <c r="DL142" s="932"/>
      <c r="DM142" s="932"/>
      <c r="DN142" s="37"/>
      <c r="DO142" s="37"/>
      <c r="DP142" s="932"/>
      <c r="DQ142" s="37"/>
      <c r="DR142" s="932"/>
      <c r="DS142" s="37"/>
      <c r="DT142" s="932"/>
      <c r="DU142" s="37"/>
      <c r="DV142" s="932"/>
      <c r="DW142" s="37"/>
      <c r="DX142" s="932"/>
      <c r="DY142" s="932"/>
      <c r="DZ142" s="932"/>
      <c r="EA142" s="932"/>
      <c r="EB142" s="37"/>
      <c r="EC142" s="37"/>
      <c r="EE142" s="941"/>
      <c r="EG142" s="938"/>
      <c r="EI142" s="938"/>
      <c r="EK142" s="938"/>
      <c r="EM142" s="938"/>
      <c r="EO142" s="938"/>
      <c r="EQ142" s="938"/>
      <c r="ES142" s="938"/>
      <c r="EU142" s="938"/>
      <c r="EW142" s="938"/>
      <c r="EY142" s="938"/>
      <c r="FA142" s="938"/>
      <c r="FC142" s="938"/>
      <c r="FE142" s="938"/>
      <c r="FG142" s="938"/>
      <c r="FI142" s="938"/>
      <c r="FK142" s="938"/>
      <c r="FM142" s="938"/>
      <c r="FO142" s="938"/>
      <c r="FQ142" s="938"/>
      <c r="FS142" s="938"/>
      <c r="FU142" s="938"/>
      <c r="FW142" s="938"/>
      <c r="FY142" s="938"/>
      <c r="GA142" s="938"/>
      <c r="GC142" s="938"/>
      <c r="GE142" s="938"/>
      <c r="GG142" s="938"/>
      <c r="GI142" s="938"/>
      <c r="GK142" s="938"/>
      <c r="GM142" s="938"/>
      <c r="GO142" s="938"/>
      <c r="GQ142" s="938"/>
      <c r="GS142" s="938"/>
      <c r="GU142" s="938"/>
      <c r="GW142" s="938"/>
      <c r="GY142" s="938"/>
      <c r="HA142" s="938"/>
      <c r="HC142" s="938"/>
      <c r="HE142" s="938"/>
      <c r="HG142" s="938"/>
      <c r="HI142" s="938"/>
      <c r="HK142" s="938"/>
      <c r="HM142" s="938"/>
      <c r="HO142" s="938"/>
      <c r="HQ142" s="938"/>
      <c r="HS142" s="938"/>
      <c r="HU142" s="938"/>
      <c r="HW142" s="938"/>
      <c r="HY142" s="938"/>
      <c r="IA142" s="938"/>
      <c r="IC142" s="938"/>
      <c r="IE142" s="938"/>
      <c r="IG142" s="938"/>
      <c r="II142" s="938"/>
      <c r="IK142" s="938"/>
      <c r="IM142" s="938"/>
      <c r="IO142" s="938"/>
      <c r="IQ142" s="938"/>
      <c r="IS142" s="938"/>
      <c r="IT142" s="932"/>
      <c r="IU142" s="938"/>
      <c r="IW142" s="939"/>
      <c r="IX142" s="938"/>
      <c r="IY142" s="938"/>
      <c r="IZ142" s="938"/>
      <c r="JB142" s="940"/>
      <c r="JC142" s="940"/>
      <c r="JD142" s="940"/>
      <c r="JE142" s="940"/>
      <c r="JF142" s="940"/>
      <c r="JG142" s="940"/>
      <c r="JH142" s="940"/>
      <c r="JI142" s="940"/>
      <c r="JJ142" s="940"/>
      <c r="JK142" s="940"/>
      <c r="JL142" s="940"/>
      <c r="JM142" s="940"/>
      <c r="JN142" s="940"/>
      <c r="JO142" s="940"/>
      <c r="JP142" s="940"/>
      <c r="JQ142" s="940"/>
      <c r="JR142" s="940"/>
      <c r="JS142" s="940"/>
      <c r="JT142" s="940"/>
      <c r="JU142" s="940"/>
      <c r="JV142" s="940"/>
      <c r="JW142" s="940"/>
      <c r="JX142" s="940"/>
      <c r="JY142" s="940"/>
      <c r="JZ142" s="940"/>
      <c r="KA142" s="940"/>
      <c r="KB142" s="940"/>
      <c r="KC142" s="940"/>
      <c r="KD142" s="940"/>
      <c r="KE142" s="940"/>
      <c r="KF142" s="940"/>
      <c r="KG142" s="940"/>
      <c r="KH142" s="940"/>
      <c r="KI142" s="940"/>
      <c r="KJ142" s="940"/>
      <c r="KK142" s="940"/>
      <c r="KL142" s="940"/>
      <c r="KM142" s="940"/>
      <c r="KN142" s="940"/>
      <c r="KO142" s="940"/>
      <c r="KP142" s="940"/>
      <c r="KQ142" s="940"/>
      <c r="KR142" s="940"/>
      <c r="KS142" s="940"/>
      <c r="KT142" s="940"/>
      <c r="KU142" s="940"/>
      <c r="KV142" s="940"/>
      <c r="KW142" s="940"/>
      <c r="KX142" s="940"/>
      <c r="KY142" s="940"/>
      <c r="KZ142" s="940"/>
      <c r="LA142" s="940"/>
      <c r="LB142" s="940"/>
      <c r="LC142" s="940"/>
      <c r="LD142" s="940"/>
      <c r="LE142" s="940"/>
      <c r="LF142" s="940"/>
      <c r="LG142" s="940"/>
      <c r="LH142" s="940"/>
    </row>
    <row r="143" spans="1:320" s="462" customFormat="1" ht="15" hidden="1" customHeight="1" outlineLevel="1" x14ac:dyDescent="0.25">
      <c r="A143" s="1205">
        <v>42023</v>
      </c>
      <c r="B143" s="1205"/>
      <c r="C143" s="463"/>
      <c r="D143" s="461"/>
      <c r="H143" s="932"/>
      <c r="I143" s="37"/>
      <c r="J143" s="932"/>
      <c r="K143" s="37"/>
      <c r="L143" s="932"/>
      <c r="M143" s="37"/>
      <c r="N143" s="932"/>
      <c r="O143" s="37"/>
      <c r="P143" s="932"/>
      <c r="Q143" s="37"/>
      <c r="R143" s="932"/>
      <c r="S143" s="37"/>
      <c r="T143" s="37"/>
      <c r="U143" s="37"/>
      <c r="V143" s="932"/>
      <c r="W143" s="37"/>
      <c r="X143" s="932"/>
      <c r="Y143" s="37"/>
      <c r="Z143" s="932"/>
      <c r="AA143" s="37"/>
      <c r="AB143" s="932"/>
      <c r="AC143" s="37"/>
      <c r="AD143" s="932"/>
      <c r="AE143" s="37"/>
      <c r="AF143" s="932"/>
      <c r="AG143" s="37"/>
      <c r="AH143" s="37"/>
      <c r="AI143" s="37"/>
      <c r="AJ143" s="932"/>
      <c r="AK143" s="37"/>
      <c r="AL143" s="932"/>
      <c r="AM143" s="37"/>
      <c r="AN143" s="932"/>
      <c r="AO143" s="37"/>
      <c r="AP143" s="932"/>
      <c r="AQ143" s="37"/>
      <c r="AR143" s="37"/>
      <c r="AS143" s="37"/>
      <c r="AT143" s="37"/>
      <c r="AU143" s="37"/>
      <c r="AV143" s="37"/>
      <c r="AW143" s="37"/>
      <c r="AX143" s="932"/>
      <c r="AY143" s="37"/>
      <c r="AZ143" s="932"/>
      <c r="BA143" s="37"/>
      <c r="BB143" s="932"/>
      <c r="BC143" s="37"/>
      <c r="BD143" s="932"/>
      <c r="BE143" s="37"/>
      <c r="BF143" s="932"/>
      <c r="BG143" s="37"/>
      <c r="BH143" s="37"/>
      <c r="BI143" s="37"/>
      <c r="BJ143" s="37"/>
      <c r="BK143" s="37"/>
      <c r="BL143" s="932"/>
      <c r="BM143" s="37"/>
      <c r="BN143" s="932"/>
      <c r="BO143" s="37"/>
      <c r="BP143" s="932"/>
      <c r="BQ143" s="37"/>
      <c r="BR143" s="932"/>
      <c r="BS143" s="37"/>
      <c r="BT143" s="932"/>
      <c r="BU143" s="932"/>
      <c r="BV143" s="932"/>
      <c r="BW143" s="932"/>
      <c r="BX143" s="37"/>
      <c r="BY143" s="37"/>
      <c r="BZ143" s="932"/>
      <c r="CA143" s="37"/>
      <c r="CB143" s="932"/>
      <c r="CC143" s="37"/>
      <c r="CD143" s="932"/>
      <c r="CE143" s="37"/>
      <c r="CF143" s="932"/>
      <c r="CG143" s="37"/>
      <c r="CH143" s="932"/>
      <c r="CI143" s="932"/>
      <c r="CJ143" s="932"/>
      <c r="CK143" s="932"/>
      <c r="CL143" s="37"/>
      <c r="CM143" s="37"/>
      <c r="CN143" s="932"/>
      <c r="CO143" s="37"/>
      <c r="CP143" s="932"/>
      <c r="CQ143" s="37"/>
      <c r="CR143" s="932"/>
      <c r="CS143" s="37"/>
      <c r="CT143" s="932"/>
      <c r="CU143" s="37"/>
      <c r="CV143" s="932"/>
      <c r="CW143" s="932"/>
      <c r="CX143" s="932"/>
      <c r="CY143" s="932"/>
      <c r="CZ143" s="37"/>
      <c r="DA143" s="37"/>
      <c r="DB143" s="932"/>
      <c r="DC143" s="37"/>
      <c r="DD143" s="932"/>
      <c r="DE143" s="37"/>
      <c r="DF143" s="932"/>
      <c r="DG143" s="37"/>
      <c r="DH143" s="932"/>
      <c r="DI143" s="37"/>
      <c r="DJ143" s="932"/>
      <c r="DK143" s="932"/>
      <c r="DL143" s="932"/>
      <c r="DM143" s="932"/>
      <c r="DN143" s="37"/>
      <c r="DO143" s="37"/>
      <c r="DP143" s="932"/>
      <c r="DQ143" s="37"/>
      <c r="DR143" s="932"/>
      <c r="DS143" s="37"/>
      <c r="DT143" s="932"/>
      <c r="DU143" s="37"/>
      <c r="DV143" s="932"/>
      <c r="DW143" s="37"/>
      <c r="DX143" s="932"/>
      <c r="DY143" s="932"/>
      <c r="DZ143" s="932"/>
      <c r="EA143" s="932"/>
      <c r="EB143" s="37"/>
      <c r="EC143" s="37"/>
      <c r="EE143" s="941"/>
      <c r="EG143" s="938"/>
      <c r="EI143" s="938"/>
      <c r="EK143" s="938"/>
      <c r="EM143" s="938"/>
      <c r="EO143" s="938"/>
      <c r="EQ143" s="938"/>
      <c r="ES143" s="938"/>
      <c r="EU143" s="938"/>
      <c r="EW143" s="938"/>
      <c r="EY143" s="938"/>
      <c r="FA143" s="938"/>
      <c r="FC143" s="938"/>
      <c r="FE143" s="938"/>
      <c r="FG143" s="938"/>
      <c r="FI143" s="938"/>
      <c r="FK143" s="938"/>
      <c r="FM143" s="938"/>
      <c r="FO143" s="938"/>
      <c r="FQ143" s="938"/>
      <c r="FS143" s="938"/>
      <c r="FU143" s="938"/>
      <c r="FW143" s="938"/>
      <c r="FY143" s="938"/>
      <c r="GA143" s="938"/>
      <c r="GC143" s="938"/>
      <c r="GE143" s="938"/>
      <c r="GG143" s="938"/>
      <c r="GI143" s="938"/>
      <c r="GK143" s="938"/>
      <c r="GM143" s="938"/>
      <c r="GO143" s="938"/>
      <c r="GQ143" s="938"/>
      <c r="GS143" s="938"/>
      <c r="GU143" s="938"/>
      <c r="GW143" s="938"/>
      <c r="GY143" s="938"/>
      <c r="HA143" s="938"/>
      <c r="HC143" s="938"/>
      <c r="HE143" s="938"/>
      <c r="HG143" s="938"/>
      <c r="HI143" s="938"/>
      <c r="HK143" s="938"/>
      <c r="HM143" s="938"/>
      <c r="HO143" s="938"/>
      <c r="HQ143" s="938"/>
      <c r="HS143" s="938"/>
      <c r="HU143" s="938"/>
      <c r="HW143" s="938"/>
      <c r="HY143" s="938"/>
      <c r="IA143" s="938"/>
      <c r="IC143" s="938"/>
      <c r="IE143" s="938"/>
      <c r="IG143" s="938"/>
      <c r="II143" s="938"/>
      <c r="IK143" s="938"/>
      <c r="IM143" s="938"/>
      <c r="IO143" s="938"/>
      <c r="IQ143" s="938"/>
      <c r="IS143" s="938"/>
      <c r="IT143" s="932"/>
      <c r="IU143" s="938"/>
      <c r="IW143" s="939"/>
      <c r="IX143" s="938"/>
      <c r="IY143" s="938"/>
      <c r="IZ143" s="938"/>
      <c r="JB143" s="940"/>
      <c r="JC143" s="940"/>
      <c r="JD143" s="940"/>
      <c r="JE143" s="940"/>
      <c r="JF143" s="940"/>
      <c r="JG143" s="940"/>
      <c r="JH143" s="940"/>
      <c r="JI143" s="940"/>
      <c r="JJ143" s="940"/>
      <c r="JK143" s="940"/>
      <c r="JL143" s="940"/>
      <c r="JM143" s="940"/>
      <c r="JN143" s="940"/>
      <c r="JO143" s="940"/>
      <c r="JP143" s="940"/>
      <c r="JQ143" s="940"/>
      <c r="JR143" s="940"/>
      <c r="JS143" s="940"/>
      <c r="JT143" s="940"/>
      <c r="JU143" s="940"/>
      <c r="JV143" s="940"/>
      <c r="JW143" s="940"/>
      <c r="JX143" s="940"/>
      <c r="JY143" s="940"/>
      <c r="JZ143" s="940"/>
      <c r="KA143" s="940"/>
      <c r="KB143" s="940"/>
      <c r="KC143" s="940"/>
      <c r="KD143" s="940"/>
      <c r="KE143" s="940"/>
      <c r="KF143" s="940"/>
      <c r="KG143" s="940"/>
      <c r="KH143" s="940"/>
      <c r="KI143" s="940"/>
      <c r="KJ143" s="940"/>
      <c r="KK143" s="940"/>
      <c r="KL143" s="940"/>
      <c r="KM143" s="940"/>
      <c r="KN143" s="940"/>
      <c r="KO143" s="940"/>
      <c r="KP143" s="940"/>
      <c r="KQ143" s="940"/>
      <c r="KR143" s="940"/>
      <c r="KS143" s="940"/>
      <c r="KT143" s="940"/>
      <c r="KU143" s="940"/>
      <c r="KV143" s="940"/>
      <c r="KW143" s="940"/>
      <c r="KX143" s="940"/>
      <c r="KY143" s="940"/>
      <c r="KZ143" s="940"/>
      <c r="LA143" s="940"/>
      <c r="LB143" s="940"/>
      <c r="LC143" s="940"/>
      <c r="LD143" s="940"/>
      <c r="LE143" s="940"/>
      <c r="LF143" s="940"/>
      <c r="LG143" s="940"/>
      <c r="LH143" s="940"/>
    </row>
    <row r="144" spans="1:320" s="462" customFormat="1" ht="15" hidden="1" customHeight="1" outlineLevel="1" x14ac:dyDescent="0.25">
      <c r="A144" s="1205">
        <v>42097</v>
      </c>
      <c r="B144" s="1205"/>
      <c r="C144" s="463"/>
      <c r="D144" s="461"/>
      <c r="H144" s="932"/>
      <c r="I144" s="37"/>
      <c r="J144" s="932"/>
      <c r="K144" s="37"/>
      <c r="L144" s="932"/>
      <c r="M144" s="37"/>
      <c r="N144" s="932"/>
      <c r="O144" s="37"/>
      <c r="P144" s="932"/>
      <c r="Q144" s="37"/>
      <c r="R144" s="932"/>
      <c r="S144" s="37"/>
      <c r="T144" s="37"/>
      <c r="U144" s="37"/>
      <c r="V144" s="932"/>
      <c r="W144" s="37"/>
      <c r="X144" s="932"/>
      <c r="Y144" s="37"/>
      <c r="Z144" s="932"/>
      <c r="AA144" s="37"/>
      <c r="AB144" s="932"/>
      <c r="AC144" s="37"/>
      <c r="AD144" s="932"/>
      <c r="AE144" s="37"/>
      <c r="AF144" s="932"/>
      <c r="AG144" s="37"/>
      <c r="AH144" s="37"/>
      <c r="AI144" s="37"/>
      <c r="AJ144" s="932"/>
      <c r="AK144" s="37"/>
      <c r="AL144" s="932"/>
      <c r="AM144" s="37"/>
      <c r="AN144" s="932"/>
      <c r="AO144" s="37"/>
      <c r="AP144" s="932"/>
      <c r="AQ144" s="37"/>
      <c r="AR144" s="37"/>
      <c r="AS144" s="37"/>
      <c r="AT144" s="37"/>
      <c r="AU144" s="37"/>
      <c r="AV144" s="37"/>
      <c r="AW144" s="37"/>
      <c r="AX144" s="932"/>
      <c r="AY144" s="37"/>
      <c r="AZ144" s="932"/>
      <c r="BA144" s="37"/>
      <c r="BB144" s="932"/>
      <c r="BC144" s="37"/>
      <c r="BD144" s="932"/>
      <c r="BE144" s="37"/>
      <c r="BF144" s="932"/>
      <c r="BG144" s="37"/>
      <c r="BH144" s="37"/>
      <c r="BI144" s="37"/>
      <c r="BJ144" s="37"/>
      <c r="BK144" s="37"/>
      <c r="BL144" s="932"/>
      <c r="BM144" s="37"/>
      <c r="BN144" s="932"/>
      <c r="BO144" s="37"/>
      <c r="BP144" s="932"/>
      <c r="BQ144" s="37"/>
      <c r="BR144" s="932"/>
      <c r="BS144" s="37"/>
      <c r="BT144" s="932"/>
      <c r="BU144" s="932"/>
      <c r="BV144" s="932"/>
      <c r="BW144" s="932"/>
      <c r="BX144" s="37"/>
      <c r="BY144" s="37"/>
      <c r="BZ144" s="932"/>
      <c r="CA144" s="37"/>
      <c r="CB144" s="932"/>
      <c r="CC144" s="37"/>
      <c r="CD144" s="932"/>
      <c r="CE144" s="37"/>
      <c r="CF144" s="932"/>
      <c r="CG144" s="37"/>
      <c r="CH144" s="932"/>
      <c r="CI144" s="932"/>
      <c r="CJ144" s="932"/>
      <c r="CK144" s="932"/>
      <c r="CL144" s="37"/>
      <c r="CM144" s="37"/>
      <c r="CN144" s="932"/>
      <c r="CO144" s="37"/>
      <c r="CP144" s="932"/>
      <c r="CQ144" s="37"/>
      <c r="CR144" s="932"/>
      <c r="CS144" s="37"/>
      <c r="CT144" s="932"/>
      <c r="CU144" s="37"/>
      <c r="CV144" s="932"/>
      <c r="CW144" s="932"/>
      <c r="CX144" s="932"/>
      <c r="CY144" s="932"/>
      <c r="CZ144" s="37"/>
      <c r="DA144" s="37"/>
      <c r="DB144" s="932"/>
      <c r="DC144" s="37"/>
      <c r="DD144" s="932"/>
      <c r="DE144" s="37"/>
      <c r="DF144" s="932"/>
      <c r="DG144" s="37"/>
      <c r="DH144" s="932"/>
      <c r="DI144" s="37"/>
      <c r="DJ144" s="932"/>
      <c r="DK144" s="932"/>
      <c r="DL144" s="932"/>
      <c r="DM144" s="932"/>
      <c r="DN144" s="37"/>
      <c r="DO144" s="37"/>
      <c r="DP144" s="932"/>
      <c r="DQ144" s="37"/>
      <c r="DR144" s="932"/>
      <c r="DS144" s="37"/>
      <c r="DT144" s="932"/>
      <c r="DU144" s="37"/>
      <c r="DV144" s="932"/>
      <c r="DW144" s="37"/>
      <c r="DX144" s="932"/>
      <c r="DY144" s="932"/>
      <c r="DZ144" s="932"/>
      <c r="EA144" s="932"/>
      <c r="EB144" s="37"/>
      <c r="EC144" s="37"/>
      <c r="EE144" s="941"/>
      <c r="EG144" s="938"/>
      <c r="EI144" s="938"/>
      <c r="EK144" s="938"/>
      <c r="EM144" s="938"/>
      <c r="EO144" s="938"/>
      <c r="EQ144" s="938"/>
      <c r="ES144" s="938"/>
      <c r="EU144" s="938"/>
      <c r="EW144" s="938"/>
      <c r="EY144" s="938"/>
      <c r="FA144" s="938"/>
      <c r="FC144" s="938"/>
      <c r="FE144" s="938"/>
      <c r="FG144" s="938"/>
      <c r="FI144" s="938"/>
      <c r="FK144" s="938"/>
      <c r="FM144" s="938"/>
      <c r="FO144" s="938"/>
      <c r="FQ144" s="938"/>
      <c r="FS144" s="938"/>
      <c r="FU144" s="938"/>
      <c r="FW144" s="938"/>
      <c r="FY144" s="938"/>
      <c r="GA144" s="938"/>
      <c r="GC144" s="938"/>
      <c r="GE144" s="938"/>
      <c r="GG144" s="938"/>
      <c r="GI144" s="938"/>
      <c r="GK144" s="938"/>
      <c r="GM144" s="938"/>
      <c r="GO144" s="938"/>
      <c r="GQ144" s="938"/>
      <c r="GS144" s="938"/>
      <c r="GU144" s="938"/>
      <c r="GW144" s="938"/>
      <c r="GY144" s="938"/>
      <c r="HA144" s="938"/>
      <c r="HC144" s="938"/>
      <c r="HE144" s="938"/>
      <c r="HG144" s="938"/>
      <c r="HI144" s="938"/>
      <c r="HK144" s="938"/>
      <c r="HM144" s="938"/>
      <c r="HO144" s="938"/>
      <c r="HQ144" s="938"/>
      <c r="HS144" s="938"/>
      <c r="HU144" s="938"/>
      <c r="HW144" s="938"/>
      <c r="HY144" s="938"/>
      <c r="IA144" s="938"/>
      <c r="IC144" s="938"/>
      <c r="IE144" s="938"/>
      <c r="IG144" s="938"/>
      <c r="II144" s="938"/>
      <c r="IK144" s="938"/>
      <c r="IM144" s="938"/>
      <c r="IO144" s="938"/>
      <c r="IQ144" s="938"/>
      <c r="IS144" s="938"/>
      <c r="IT144" s="932"/>
      <c r="IU144" s="938"/>
      <c r="IW144" s="939"/>
      <c r="IX144" s="938"/>
      <c r="IY144" s="938"/>
      <c r="IZ144" s="938"/>
      <c r="JB144" s="940"/>
      <c r="JC144" s="940"/>
      <c r="JD144" s="940"/>
      <c r="JE144" s="940"/>
      <c r="JF144" s="940"/>
      <c r="JG144" s="940"/>
      <c r="JH144" s="940"/>
      <c r="JI144" s="940"/>
      <c r="JJ144" s="940"/>
      <c r="JK144" s="940"/>
      <c r="JL144" s="940"/>
      <c r="JM144" s="940"/>
      <c r="JN144" s="940"/>
      <c r="JO144" s="940"/>
      <c r="JP144" s="940"/>
      <c r="JQ144" s="940"/>
      <c r="JR144" s="940"/>
      <c r="JS144" s="940"/>
      <c r="JT144" s="940"/>
      <c r="JU144" s="940"/>
      <c r="JV144" s="940"/>
      <c r="JW144" s="940"/>
      <c r="JX144" s="940"/>
      <c r="JY144" s="940"/>
      <c r="JZ144" s="940"/>
      <c r="KA144" s="940"/>
      <c r="KB144" s="940"/>
      <c r="KC144" s="940"/>
      <c r="KD144" s="940"/>
      <c r="KE144" s="940"/>
      <c r="KF144" s="940"/>
      <c r="KG144" s="940"/>
      <c r="KH144" s="940"/>
      <c r="KI144" s="940"/>
      <c r="KJ144" s="940"/>
      <c r="KK144" s="940"/>
      <c r="KL144" s="940"/>
      <c r="KM144" s="940"/>
      <c r="KN144" s="940"/>
      <c r="KO144" s="940"/>
      <c r="KP144" s="940"/>
      <c r="KQ144" s="940"/>
      <c r="KR144" s="940"/>
      <c r="KS144" s="940"/>
      <c r="KT144" s="940"/>
      <c r="KU144" s="940"/>
      <c r="KV144" s="940"/>
      <c r="KW144" s="940"/>
      <c r="KX144" s="940"/>
      <c r="KY144" s="940"/>
      <c r="KZ144" s="940"/>
      <c r="LA144" s="940"/>
      <c r="LB144" s="940"/>
      <c r="LC144" s="940"/>
      <c r="LD144" s="940"/>
      <c r="LE144" s="940"/>
      <c r="LF144" s="940"/>
      <c r="LG144" s="940"/>
      <c r="LH144" s="940"/>
    </row>
    <row r="145" spans="1:320" s="462" customFormat="1" ht="15" hidden="1" customHeight="1" outlineLevel="1" x14ac:dyDescent="0.25">
      <c r="A145" s="1205">
        <v>42149</v>
      </c>
      <c r="B145" s="1205"/>
      <c r="C145" s="463"/>
      <c r="D145" s="461"/>
      <c r="H145" s="932"/>
      <c r="I145" s="37"/>
      <c r="J145" s="932"/>
      <c r="K145" s="37"/>
      <c r="L145" s="932"/>
      <c r="M145" s="37"/>
      <c r="N145" s="932"/>
      <c r="O145" s="37"/>
      <c r="P145" s="932"/>
      <c r="Q145" s="37"/>
      <c r="R145" s="932"/>
      <c r="S145" s="37"/>
      <c r="T145" s="37"/>
      <c r="U145" s="37"/>
      <c r="V145" s="932"/>
      <c r="W145" s="37"/>
      <c r="X145" s="932"/>
      <c r="Y145" s="37"/>
      <c r="Z145" s="932"/>
      <c r="AA145" s="37"/>
      <c r="AB145" s="932"/>
      <c r="AC145" s="37"/>
      <c r="AD145" s="932"/>
      <c r="AE145" s="37"/>
      <c r="AF145" s="932"/>
      <c r="AG145" s="37"/>
      <c r="AH145" s="37"/>
      <c r="AI145" s="37"/>
      <c r="AJ145" s="932"/>
      <c r="AK145" s="37"/>
      <c r="AL145" s="932"/>
      <c r="AM145" s="37"/>
      <c r="AN145" s="932"/>
      <c r="AO145" s="37"/>
      <c r="AP145" s="932"/>
      <c r="AQ145" s="37"/>
      <c r="AR145" s="37"/>
      <c r="AS145" s="37"/>
      <c r="AT145" s="37"/>
      <c r="AU145" s="37"/>
      <c r="AV145" s="37"/>
      <c r="AW145" s="37"/>
      <c r="AX145" s="932"/>
      <c r="AY145" s="37"/>
      <c r="AZ145" s="932"/>
      <c r="BA145" s="37"/>
      <c r="BB145" s="932"/>
      <c r="BC145" s="37"/>
      <c r="BD145" s="932"/>
      <c r="BE145" s="37"/>
      <c r="BF145" s="932"/>
      <c r="BG145" s="37"/>
      <c r="BH145" s="37"/>
      <c r="BI145" s="37"/>
      <c r="BJ145" s="37"/>
      <c r="BK145" s="37"/>
      <c r="BL145" s="932"/>
      <c r="BM145" s="37"/>
      <c r="BN145" s="932"/>
      <c r="BO145" s="37"/>
      <c r="BP145" s="932"/>
      <c r="BQ145" s="37"/>
      <c r="BR145" s="932"/>
      <c r="BS145" s="37"/>
      <c r="BT145" s="932"/>
      <c r="BU145" s="932"/>
      <c r="BV145" s="932"/>
      <c r="BW145" s="932"/>
      <c r="BX145" s="37"/>
      <c r="BY145" s="37"/>
      <c r="BZ145" s="932"/>
      <c r="CA145" s="37"/>
      <c r="CB145" s="932"/>
      <c r="CC145" s="37"/>
      <c r="CD145" s="932"/>
      <c r="CE145" s="37"/>
      <c r="CF145" s="932"/>
      <c r="CG145" s="37"/>
      <c r="CH145" s="932"/>
      <c r="CI145" s="932"/>
      <c r="CJ145" s="932"/>
      <c r="CK145" s="932"/>
      <c r="CL145" s="37"/>
      <c r="CM145" s="37"/>
      <c r="CN145" s="932"/>
      <c r="CO145" s="37"/>
      <c r="CP145" s="932"/>
      <c r="CQ145" s="37"/>
      <c r="CR145" s="932"/>
      <c r="CS145" s="37"/>
      <c r="CT145" s="932"/>
      <c r="CU145" s="37"/>
      <c r="CV145" s="932"/>
      <c r="CW145" s="932"/>
      <c r="CX145" s="932"/>
      <c r="CY145" s="932"/>
      <c r="CZ145" s="37"/>
      <c r="DA145" s="37"/>
      <c r="DB145" s="932"/>
      <c r="DC145" s="37"/>
      <c r="DD145" s="932"/>
      <c r="DE145" s="37"/>
      <c r="DF145" s="932"/>
      <c r="DG145" s="37"/>
      <c r="DH145" s="932"/>
      <c r="DI145" s="37"/>
      <c r="DJ145" s="932"/>
      <c r="DK145" s="932"/>
      <c r="DL145" s="932"/>
      <c r="DM145" s="932"/>
      <c r="DN145" s="37"/>
      <c r="DO145" s="37"/>
      <c r="DP145" s="932"/>
      <c r="DQ145" s="37"/>
      <c r="DR145" s="932"/>
      <c r="DS145" s="37"/>
      <c r="DT145" s="932"/>
      <c r="DU145" s="37"/>
      <c r="DV145" s="932"/>
      <c r="DW145" s="37"/>
      <c r="DX145" s="932"/>
      <c r="DY145" s="932"/>
      <c r="DZ145" s="932"/>
      <c r="EA145" s="932"/>
      <c r="EB145" s="37"/>
      <c r="EC145" s="37"/>
      <c r="EE145" s="941"/>
      <c r="EG145" s="938"/>
      <c r="EI145" s="938"/>
      <c r="EK145" s="938"/>
      <c r="EM145" s="938"/>
      <c r="EO145" s="938"/>
      <c r="EQ145" s="938"/>
      <c r="ES145" s="938"/>
      <c r="EU145" s="938"/>
      <c r="EW145" s="938"/>
      <c r="EY145" s="938"/>
      <c r="FA145" s="938"/>
      <c r="FC145" s="938"/>
      <c r="FE145" s="938"/>
      <c r="FG145" s="938"/>
      <c r="FI145" s="938"/>
      <c r="FK145" s="938"/>
      <c r="FM145" s="938"/>
      <c r="FO145" s="938"/>
      <c r="FQ145" s="938"/>
      <c r="FS145" s="938"/>
      <c r="FU145" s="938"/>
      <c r="FW145" s="938"/>
      <c r="FY145" s="938"/>
      <c r="GA145" s="938"/>
      <c r="GC145" s="938"/>
      <c r="GE145" s="938"/>
      <c r="GG145" s="938"/>
      <c r="GI145" s="938"/>
      <c r="GK145" s="938"/>
      <c r="GM145" s="938"/>
      <c r="GO145" s="938"/>
      <c r="GQ145" s="938"/>
      <c r="GS145" s="938"/>
      <c r="GU145" s="938"/>
      <c r="GW145" s="938"/>
      <c r="GY145" s="938"/>
      <c r="HA145" s="938"/>
      <c r="HC145" s="938"/>
      <c r="HE145" s="938"/>
      <c r="HG145" s="938"/>
      <c r="HI145" s="938"/>
      <c r="HK145" s="938"/>
      <c r="HM145" s="938"/>
      <c r="HO145" s="938"/>
      <c r="HQ145" s="938"/>
      <c r="HS145" s="938"/>
      <c r="HU145" s="938"/>
      <c r="HW145" s="938"/>
      <c r="HY145" s="938"/>
      <c r="IA145" s="938"/>
      <c r="IC145" s="938"/>
      <c r="IE145" s="938"/>
      <c r="IG145" s="938"/>
      <c r="II145" s="938"/>
      <c r="IK145" s="938"/>
      <c r="IM145" s="938"/>
      <c r="IO145" s="938"/>
      <c r="IQ145" s="938"/>
      <c r="IS145" s="938"/>
      <c r="IT145" s="932"/>
      <c r="IU145" s="938"/>
      <c r="IW145" s="939"/>
      <c r="IX145" s="938"/>
      <c r="IY145" s="938"/>
      <c r="IZ145" s="938"/>
      <c r="JB145" s="940"/>
      <c r="JC145" s="940"/>
      <c r="JD145" s="940"/>
      <c r="JE145" s="940"/>
      <c r="JF145" s="940"/>
      <c r="JG145" s="940"/>
      <c r="JH145" s="940"/>
      <c r="JI145" s="940"/>
      <c r="JJ145" s="940"/>
      <c r="JK145" s="940"/>
      <c r="JL145" s="940"/>
      <c r="JM145" s="940"/>
      <c r="JN145" s="940"/>
      <c r="JO145" s="940"/>
      <c r="JP145" s="940"/>
      <c r="JQ145" s="940"/>
      <c r="JR145" s="940"/>
      <c r="JS145" s="940"/>
      <c r="JT145" s="940"/>
      <c r="JU145" s="940"/>
      <c r="JV145" s="940"/>
      <c r="JW145" s="940"/>
      <c r="JX145" s="940"/>
      <c r="JY145" s="940"/>
      <c r="JZ145" s="940"/>
      <c r="KA145" s="940"/>
      <c r="KB145" s="940"/>
      <c r="KC145" s="940"/>
      <c r="KD145" s="940"/>
      <c r="KE145" s="940"/>
      <c r="KF145" s="940"/>
      <c r="KG145" s="940"/>
      <c r="KH145" s="940"/>
      <c r="KI145" s="940"/>
      <c r="KJ145" s="940"/>
      <c r="KK145" s="940"/>
      <c r="KL145" s="940"/>
      <c r="KM145" s="940"/>
      <c r="KN145" s="940"/>
      <c r="KO145" s="940"/>
      <c r="KP145" s="940"/>
      <c r="KQ145" s="940"/>
      <c r="KR145" s="940"/>
      <c r="KS145" s="940"/>
      <c r="KT145" s="940"/>
      <c r="KU145" s="940"/>
      <c r="KV145" s="940"/>
      <c r="KW145" s="940"/>
      <c r="KX145" s="940"/>
      <c r="KY145" s="940"/>
      <c r="KZ145" s="940"/>
      <c r="LA145" s="940"/>
      <c r="LB145" s="940"/>
      <c r="LC145" s="940"/>
      <c r="LD145" s="940"/>
      <c r="LE145" s="940"/>
      <c r="LF145" s="940"/>
      <c r="LG145" s="940"/>
      <c r="LH145" s="940"/>
    </row>
    <row r="146" spans="1:320" s="462" customFormat="1" ht="15" hidden="1" customHeight="1" outlineLevel="1" x14ac:dyDescent="0.25">
      <c r="A146" s="1205">
        <v>42188</v>
      </c>
      <c r="B146" s="1205"/>
      <c r="C146" s="463"/>
      <c r="D146" s="461"/>
      <c r="H146" s="932"/>
      <c r="I146" s="37"/>
      <c r="J146" s="932"/>
      <c r="K146" s="37"/>
      <c r="L146" s="932"/>
      <c r="M146" s="37"/>
      <c r="N146" s="932"/>
      <c r="O146" s="37"/>
      <c r="P146" s="932"/>
      <c r="Q146" s="37"/>
      <c r="R146" s="932"/>
      <c r="S146" s="37"/>
      <c r="T146" s="37"/>
      <c r="U146" s="37"/>
      <c r="V146" s="932"/>
      <c r="W146" s="37"/>
      <c r="X146" s="932"/>
      <c r="Y146" s="37"/>
      <c r="Z146" s="932"/>
      <c r="AA146" s="37"/>
      <c r="AB146" s="932"/>
      <c r="AC146" s="37"/>
      <c r="AD146" s="932"/>
      <c r="AE146" s="37"/>
      <c r="AF146" s="932"/>
      <c r="AG146" s="37"/>
      <c r="AH146" s="37"/>
      <c r="AI146" s="37"/>
      <c r="AJ146" s="932"/>
      <c r="AK146" s="37"/>
      <c r="AL146" s="932"/>
      <c r="AM146" s="37"/>
      <c r="AN146" s="932"/>
      <c r="AO146" s="37"/>
      <c r="AP146" s="932"/>
      <c r="AQ146" s="37"/>
      <c r="AR146" s="37"/>
      <c r="AS146" s="37"/>
      <c r="AT146" s="37"/>
      <c r="AU146" s="37"/>
      <c r="AV146" s="37"/>
      <c r="AW146" s="37"/>
      <c r="AX146" s="932"/>
      <c r="AY146" s="37"/>
      <c r="AZ146" s="932"/>
      <c r="BA146" s="37"/>
      <c r="BB146" s="932"/>
      <c r="BC146" s="37"/>
      <c r="BD146" s="932"/>
      <c r="BE146" s="37"/>
      <c r="BF146" s="932"/>
      <c r="BG146" s="37"/>
      <c r="BH146" s="37"/>
      <c r="BI146" s="37"/>
      <c r="BJ146" s="37"/>
      <c r="BK146" s="37"/>
      <c r="BL146" s="932"/>
      <c r="BM146" s="37"/>
      <c r="BN146" s="932"/>
      <c r="BO146" s="37"/>
      <c r="BP146" s="932"/>
      <c r="BQ146" s="37"/>
      <c r="BR146" s="932"/>
      <c r="BS146" s="37"/>
      <c r="BT146" s="932"/>
      <c r="BU146" s="932"/>
      <c r="BV146" s="932"/>
      <c r="BW146" s="932"/>
      <c r="BX146" s="37"/>
      <c r="BY146" s="37"/>
      <c r="BZ146" s="932"/>
      <c r="CA146" s="37"/>
      <c r="CB146" s="932"/>
      <c r="CC146" s="37"/>
      <c r="CD146" s="932"/>
      <c r="CE146" s="37"/>
      <c r="CF146" s="932"/>
      <c r="CG146" s="37"/>
      <c r="CH146" s="932"/>
      <c r="CI146" s="932"/>
      <c r="CJ146" s="932"/>
      <c r="CK146" s="932"/>
      <c r="CL146" s="37"/>
      <c r="CM146" s="37"/>
      <c r="CN146" s="932"/>
      <c r="CO146" s="37"/>
      <c r="CP146" s="932"/>
      <c r="CQ146" s="37"/>
      <c r="CR146" s="932"/>
      <c r="CS146" s="37"/>
      <c r="CT146" s="932"/>
      <c r="CU146" s="37"/>
      <c r="CV146" s="932"/>
      <c r="CW146" s="932"/>
      <c r="CX146" s="932"/>
      <c r="CY146" s="932"/>
      <c r="CZ146" s="37"/>
      <c r="DA146" s="37"/>
      <c r="DB146" s="932"/>
      <c r="DC146" s="37"/>
      <c r="DD146" s="932"/>
      <c r="DE146" s="37"/>
      <c r="DF146" s="932"/>
      <c r="DG146" s="37"/>
      <c r="DH146" s="932"/>
      <c r="DI146" s="37"/>
      <c r="DJ146" s="932"/>
      <c r="DK146" s="932"/>
      <c r="DL146" s="932"/>
      <c r="DM146" s="932"/>
      <c r="DN146" s="37"/>
      <c r="DO146" s="37"/>
      <c r="DP146" s="932"/>
      <c r="DQ146" s="37"/>
      <c r="DR146" s="932"/>
      <c r="DS146" s="37"/>
      <c r="DT146" s="932"/>
      <c r="DU146" s="37"/>
      <c r="DV146" s="932"/>
      <c r="DW146" s="37"/>
      <c r="DX146" s="932"/>
      <c r="DY146" s="932"/>
      <c r="DZ146" s="932"/>
      <c r="EA146" s="932"/>
      <c r="EB146" s="37"/>
      <c r="EC146" s="37"/>
      <c r="EE146" s="941"/>
      <c r="EG146" s="938"/>
      <c r="EI146" s="938"/>
      <c r="EK146" s="938"/>
      <c r="EM146" s="938"/>
      <c r="EO146" s="938"/>
      <c r="EQ146" s="938"/>
      <c r="ES146" s="938"/>
      <c r="EU146" s="938"/>
      <c r="EW146" s="938"/>
      <c r="EY146" s="938"/>
      <c r="FA146" s="938"/>
      <c r="FC146" s="938"/>
      <c r="FE146" s="938"/>
      <c r="FG146" s="938"/>
      <c r="FI146" s="938"/>
      <c r="FK146" s="938"/>
      <c r="FM146" s="938"/>
      <c r="FO146" s="938"/>
      <c r="FQ146" s="938"/>
      <c r="FS146" s="938"/>
      <c r="FU146" s="938"/>
      <c r="FW146" s="938"/>
      <c r="FY146" s="938"/>
      <c r="GA146" s="938"/>
      <c r="GC146" s="938"/>
      <c r="GE146" s="938"/>
      <c r="GG146" s="938"/>
      <c r="GI146" s="938"/>
      <c r="GK146" s="938"/>
      <c r="GM146" s="938"/>
      <c r="GO146" s="938"/>
      <c r="GQ146" s="938"/>
      <c r="GS146" s="938"/>
      <c r="GU146" s="938"/>
      <c r="GW146" s="938"/>
      <c r="GY146" s="938"/>
      <c r="HA146" s="938"/>
      <c r="HC146" s="938"/>
      <c r="HE146" s="938"/>
      <c r="HG146" s="938"/>
      <c r="HI146" s="938"/>
      <c r="HK146" s="938"/>
      <c r="HM146" s="938"/>
      <c r="HO146" s="938"/>
      <c r="HQ146" s="938"/>
      <c r="HS146" s="938"/>
      <c r="HU146" s="938"/>
      <c r="HW146" s="938"/>
      <c r="HY146" s="938"/>
      <c r="IA146" s="938"/>
      <c r="IC146" s="938"/>
      <c r="IE146" s="938"/>
      <c r="IG146" s="938"/>
      <c r="II146" s="938"/>
      <c r="IK146" s="938"/>
      <c r="IM146" s="938"/>
      <c r="IO146" s="938"/>
      <c r="IQ146" s="938"/>
      <c r="IS146" s="938"/>
      <c r="IT146" s="932"/>
      <c r="IU146" s="938"/>
      <c r="IW146" s="939"/>
      <c r="IX146" s="938"/>
      <c r="IY146" s="938"/>
      <c r="IZ146" s="938"/>
      <c r="JB146" s="940"/>
      <c r="JC146" s="940"/>
      <c r="JD146" s="940"/>
      <c r="JE146" s="940"/>
      <c r="JF146" s="940"/>
      <c r="JG146" s="940"/>
      <c r="JH146" s="940"/>
      <c r="JI146" s="940"/>
      <c r="JJ146" s="940"/>
      <c r="JK146" s="940"/>
      <c r="JL146" s="940"/>
      <c r="JM146" s="940"/>
      <c r="JN146" s="940"/>
      <c r="JO146" s="940"/>
      <c r="JP146" s="940"/>
      <c r="JQ146" s="940"/>
      <c r="JR146" s="940"/>
      <c r="JS146" s="940"/>
      <c r="JT146" s="940"/>
      <c r="JU146" s="940"/>
      <c r="JV146" s="940"/>
      <c r="JW146" s="940"/>
      <c r="JX146" s="940"/>
      <c r="JY146" s="940"/>
      <c r="JZ146" s="940"/>
      <c r="KA146" s="940"/>
      <c r="KB146" s="940"/>
      <c r="KC146" s="940"/>
      <c r="KD146" s="940"/>
      <c r="KE146" s="940"/>
      <c r="KF146" s="940"/>
      <c r="KG146" s="940"/>
      <c r="KH146" s="940"/>
      <c r="KI146" s="940"/>
      <c r="KJ146" s="940"/>
      <c r="KK146" s="940"/>
      <c r="KL146" s="940"/>
      <c r="KM146" s="940"/>
      <c r="KN146" s="940"/>
      <c r="KO146" s="940"/>
      <c r="KP146" s="940"/>
      <c r="KQ146" s="940"/>
      <c r="KR146" s="940"/>
      <c r="KS146" s="940"/>
      <c r="KT146" s="940"/>
      <c r="KU146" s="940"/>
      <c r="KV146" s="940"/>
      <c r="KW146" s="940"/>
      <c r="KX146" s="940"/>
      <c r="KY146" s="940"/>
      <c r="KZ146" s="940"/>
      <c r="LA146" s="940"/>
      <c r="LB146" s="940"/>
      <c r="LC146" s="940"/>
      <c r="LD146" s="940"/>
      <c r="LE146" s="940"/>
      <c r="LF146" s="940"/>
      <c r="LG146" s="940"/>
      <c r="LH146" s="940"/>
    </row>
    <row r="147" spans="1:320" s="462" customFormat="1" ht="15" hidden="1" customHeight="1" outlineLevel="1" x14ac:dyDescent="0.25">
      <c r="A147" s="1205">
        <v>42254</v>
      </c>
      <c r="B147" s="1205"/>
      <c r="C147" s="463"/>
      <c r="D147" s="461"/>
      <c r="H147" s="932"/>
      <c r="I147" s="37"/>
      <c r="J147" s="932"/>
      <c r="K147" s="37"/>
      <c r="L147" s="932"/>
      <c r="M147" s="37"/>
      <c r="N147" s="932"/>
      <c r="O147" s="37"/>
      <c r="P147" s="932"/>
      <c r="Q147" s="37"/>
      <c r="R147" s="932"/>
      <c r="S147" s="37"/>
      <c r="T147" s="37"/>
      <c r="U147" s="37"/>
      <c r="V147" s="932"/>
      <c r="W147" s="37"/>
      <c r="X147" s="932"/>
      <c r="Y147" s="37"/>
      <c r="Z147" s="932"/>
      <c r="AA147" s="37"/>
      <c r="AB147" s="932"/>
      <c r="AC147" s="37"/>
      <c r="AD147" s="932"/>
      <c r="AE147" s="37"/>
      <c r="AF147" s="932"/>
      <c r="AG147" s="37"/>
      <c r="AH147" s="37"/>
      <c r="AI147" s="37"/>
      <c r="AJ147" s="932"/>
      <c r="AK147" s="37"/>
      <c r="AL147" s="932"/>
      <c r="AM147" s="37"/>
      <c r="AN147" s="932"/>
      <c r="AO147" s="37"/>
      <c r="AP147" s="932"/>
      <c r="AQ147" s="37"/>
      <c r="AR147" s="37"/>
      <c r="AS147" s="37"/>
      <c r="AT147" s="37"/>
      <c r="AU147" s="37"/>
      <c r="AV147" s="37"/>
      <c r="AW147" s="37"/>
      <c r="AX147" s="932"/>
      <c r="AY147" s="37"/>
      <c r="AZ147" s="932"/>
      <c r="BA147" s="37"/>
      <c r="BB147" s="932"/>
      <c r="BC147" s="37"/>
      <c r="BD147" s="932"/>
      <c r="BE147" s="37"/>
      <c r="BF147" s="932"/>
      <c r="BG147" s="37"/>
      <c r="BH147" s="37"/>
      <c r="BI147" s="37"/>
      <c r="BJ147" s="37"/>
      <c r="BK147" s="37"/>
      <c r="BL147" s="932"/>
      <c r="BM147" s="37"/>
      <c r="BN147" s="932"/>
      <c r="BO147" s="37"/>
      <c r="BP147" s="932"/>
      <c r="BQ147" s="37"/>
      <c r="BR147" s="932"/>
      <c r="BS147" s="37"/>
      <c r="BT147" s="932"/>
      <c r="BU147" s="932"/>
      <c r="BV147" s="932"/>
      <c r="BW147" s="932"/>
      <c r="BX147" s="37"/>
      <c r="BY147" s="37"/>
      <c r="BZ147" s="932"/>
      <c r="CA147" s="37"/>
      <c r="CB147" s="932"/>
      <c r="CC147" s="37"/>
      <c r="CD147" s="932"/>
      <c r="CE147" s="37"/>
      <c r="CF147" s="932"/>
      <c r="CG147" s="37"/>
      <c r="CH147" s="932"/>
      <c r="CI147" s="932"/>
      <c r="CJ147" s="932"/>
      <c r="CK147" s="932"/>
      <c r="CL147" s="37"/>
      <c r="CM147" s="37"/>
      <c r="CN147" s="932"/>
      <c r="CO147" s="37"/>
      <c r="CP147" s="932"/>
      <c r="CQ147" s="37"/>
      <c r="CR147" s="932"/>
      <c r="CS147" s="37"/>
      <c r="CT147" s="932"/>
      <c r="CU147" s="37"/>
      <c r="CV147" s="932"/>
      <c r="CW147" s="932"/>
      <c r="CX147" s="932"/>
      <c r="CY147" s="932"/>
      <c r="CZ147" s="37"/>
      <c r="DA147" s="37"/>
      <c r="DB147" s="932"/>
      <c r="DC147" s="37"/>
      <c r="DD147" s="932"/>
      <c r="DE147" s="37"/>
      <c r="DF147" s="932"/>
      <c r="DG147" s="37"/>
      <c r="DH147" s="932"/>
      <c r="DI147" s="37"/>
      <c r="DJ147" s="932"/>
      <c r="DK147" s="932"/>
      <c r="DL147" s="932"/>
      <c r="DM147" s="932"/>
      <c r="DN147" s="37"/>
      <c r="DO147" s="37"/>
      <c r="DP147" s="932"/>
      <c r="DQ147" s="37"/>
      <c r="DR147" s="932"/>
      <c r="DS147" s="37"/>
      <c r="DT147" s="932"/>
      <c r="DU147" s="37"/>
      <c r="DV147" s="932"/>
      <c r="DW147" s="37"/>
      <c r="DX147" s="932"/>
      <c r="DY147" s="932"/>
      <c r="DZ147" s="932"/>
      <c r="EA147" s="932"/>
      <c r="EB147" s="37"/>
      <c r="EC147" s="37"/>
      <c r="EE147" s="941"/>
      <c r="EG147" s="938"/>
      <c r="EI147" s="938"/>
      <c r="EK147" s="938"/>
      <c r="EM147" s="938"/>
      <c r="EO147" s="938"/>
      <c r="EQ147" s="938"/>
      <c r="ES147" s="938"/>
      <c r="EU147" s="938"/>
      <c r="EW147" s="938"/>
      <c r="EY147" s="938"/>
      <c r="FA147" s="938"/>
      <c r="FC147" s="938"/>
      <c r="FE147" s="938"/>
      <c r="FG147" s="938"/>
      <c r="FI147" s="938"/>
      <c r="FK147" s="938"/>
      <c r="FM147" s="938"/>
      <c r="FO147" s="938"/>
      <c r="FQ147" s="938"/>
      <c r="FS147" s="938"/>
      <c r="FU147" s="938"/>
      <c r="FW147" s="938"/>
      <c r="FY147" s="938"/>
      <c r="GA147" s="938"/>
      <c r="GC147" s="938"/>
      <c r="GE147" s="938"/>
      <c r="GG147" s="938"/>
      <c r="GI147" s="938"/>
      <c r="GK147" s="938"/>
      <c r="GM147" s="938"/>
      <c r="GO147" s="938"/>
      <c r="GQ147" s="938"/>
      <c r="GS147" s="938"/>
      <c r="GU147" s="938"/>
      <c r="GW147" s="938"/>
      <c r="GY147" s="938"/>
      <c r="HA147" s="938"/>
      <c r="HC147" s="938"/>
      <c r="HE147" s="938"/>
      <c r="HG147" s="938"/>
      <c r="HI147" s="938"/>
      <c r="HK147" s="938"/>
      <c r="HM147" s="938"/>
      <c r="HO147" s="938"/>
      <c r="HQ147" s="938"/>
      <c r="HS147" s="938"/>
      <c r="HU147" s="938"/>
      <c r="HW147" s="938"/>
      <c r="HY147" s="938"/>
      <c r="IA147" s="938"/>
      <c r="IC147" s="938"/>
      <c r="IE147" s="938"/>
      <c r="IG147" s="938"/>
      <c r="II147" s="938"/>
      <c r="IK147" s="938"/>
      <c r="IM147" s="938"/>
      <c r="IO147" s="938"/>
      <c r="IQ147" s="938"/>
      <c r="IS147" s="938"/>
      <c r="IT147" s="932"/>
      <c r="IU147" s="938"/>
      <c r="IW147" s="939"/>
      <c r="IX147" s="938"/>
      <c r="IY147" s="938"/>
      <c r="IZ147" s="938"/>
      <c r="JB147" s="940"/>
      <c r="JC147" s="940"/>
      <c r="JD147" s="940"/>
      <c r="JE147" s="940"/>
      <c r="JF147" s="940"/>
      <c r="JG147" s="940"/>
      <c r="JH147" s="940"/>
      <c r="JI147" s="940"/>
      <c r="JJ147" s="940"/>
      <c r="JK147" s="940"/>
      <c r="JL147" s="940"/>
      <c r="JM147" s="940"/>
      <c r="JN147" s="940"/>
      <c r="JO147" s="940"/>
      <c r="JP147" s="940"/>
      <c r="JQ147" s="940"/>
      <c r="JR147" s="940"/>
      <c r="JS147" s="940"/>
      <c r="JT147" s="940"/>
      <c r="JU147" s="940"/>
      <c r="JV147" s="940"/>
      <c r="JW147" s="940"/>
      <c r="JX147" s="940"/>
      <c r="JY147" s="940"/>
      <c r="JZ147" s="940"/>
      <c r="KA147" s="940"/>
      <c r="KB147" s="940"/>
      <c r="KC147" s="940"/>
      <c r="KD147" s="940"/>
      <c r="KE147" s="940"/>
      <c r="KF147" s="940"/>
      <c r="KG147" s="940"/>
      <c r="KH147" s="940"/>
      <c r="KI147" s="940"/>
      <c r="KJ147" s="940"/>
      <c r="KK147" s="940"/>
      <c r="KL147" s="940"/>
      <c r="KM147" s="940"/>
      <c r="KN147" s="940"/>
      <c r="KO147" s="940"/>
      <c r="KP147" s="940"/>
      <c r="KQ147" s="940"/>
      <c r="KR147" s="940"/>
      <c r="KS147" s="940"/>
      <c r="KT147" s="940"/>
      <c r="KU147" s="940"/>
      <c r="KV147" s="940"/>
      <c r="KW147" s="940"/>
      <c r="KX147" s="940"/>
      <c r="KY147" s="940"/>
      <c r="KZ147" s="940"/>
      <c r="LA147" s="940"/>
      <c r="LB147" s="940"/>
      <c r="LC147" s="940"/>
      <c r="LD147" s="940"/>
      <c r="LE147" s="940"/>
      <c r="LF147" s="940"/>
      <c r="LG147" s="940"/>
      <c r="LH147" s="940"/>
    </row>
    <row r="148" spans="1:320" s="462" customFormat="1" ht="15" hidden="1" customHeight="1" outlineLevel="1" x14ac:dyDescent="0.25">
      <c r="A148" s="1205">
        <v>42319</v>
      </c>
      <c r="B148" s="1205"/>
      <c r="C148" s="463"/>
      <c r="D148" s="461"/>
      <c r="H148" s="932"/>
      <c r="I148" s="37"/>
      <c r="J148" s="932"/>
      <c r="K148" s="37"/>
      <c r="L148" s="932"/>
      <c r="M148" s="37"/>
      <c r="N148" s="932"/>
      <c r="O148" s="37"/>
      <c r="P148" s="932"/>
      <c r="Q148" s="37"/>
      <c r="R148" s="932"/>
      <c r="S148" s="37"/>
      <c r="T148" s="37"/>
      <c r="U148" s="37"/>
      <c r="V148" s="932"/>
      <c r="W148" s="37"/>
      <c r="X148" s="932"/>
      <c r="Y148" s="37"/>
      <c r="Z148" s="932"/>
      <c r="AA148" s="37"/>
      <c r="AB148" s="932"/>
      <c r="AC148" s="37"/>
      <c r="AD148" s="932"/>
      <c r="AE148" s="37"/>
      <c r="AF148" s="932"/>
      <c r="AG148" s="37"/>
      <c r="AH148" s="37"/>
      <c r="AI148" s="37"/>
      <c r="AJ148" s="932"/>
      <c r="AK148" s="37"/>
      <c r="AL148" s="932"/>
      <c r="AM148" s="37"/>
      <c r="AN148" s="932"/>
      <c r="AO148" s="37"/>
      <c r="AP148" s="932"/>
      <c r="AQ148" s="37"/>
      <c r="AR148" s="37"/>
      <c r="AS148" s="37"/>
      <c r="AT148" s="37"/>
      <c r="AU148" s="37"/>
      <c r="AV148" s="37"/>
      <c r="AW148" s="37"/>
      <c r="AX148" s="932"/>
      <c r="AY148" s="37"/>
      <c r="AZ148" s="932"/>
      <c r="BA148" s="37"/>
      <c r="BB148" s="932"/>
      <c r="BC148" s="37"/>
      <c r="BD148" s="932"/>
      <c r="BE148" s="37"/>
      <c r="BF148" s="932"/>
      <c r="BG148" s="37"/>
      <c r="BH148" s="37"/>
      <c r="BI148" s="37"/>
      <c r="BJ148" s="37"/>
      <c r="BK148" s="37"/>
      <c r="BL148" s="932"/>
      <c r="BM148" s="37"/>
      <c r="BN148" s="932"/>
      <c r="BO148" s="37"/>
      <c r="BP148" s="932"/>
      <c r="BQ148" s="37"/>
      <c r="BR148" s="932"/>
      <c r="BS148" s="37"/>
      <c r="BT148" s="932"/>
      <c r="BU148" s="932"/>
      <c r="BV148" s="932"/>
      <c r="BW148" s="932"/>
      <c r="BX148" s="37"/>
      <c r="BY148" s="37"/>
      <c r="BZ148" s="932"/>
      <c r="CA148" s="37"/>
      <c r="CB148" s="932"/>
      <c r="CC148" s="37"/>
      <c r="CD148" s="932"/>
      <c r="CE148" s="37"/>
      <c r="CF148" s="932"/>
      <c r="CG148" s="37"/>
      <c r="CH148" s="932"/>
      <c r="CI148" s="932"/>
      <c r="CJ148" s="932"/>
      <c r="CK148" s="932"/>
      <c r="CL148" s="37"/>
      <c r="CM148" s="37"/>
      <c r="CN148" s="932"/>
      <c r="CO148" s="37"/>
      <c r="CP148" s="932"/>
      <c r="CQ148" s="37"/>
      <c r="CR148" s="932"/>
      <c r="CS148" s="37"/>
      <c r="CT148" s="932"/>
      <c r="CU148" s="37"/>
      <c r="CV148" s="932"/>
      <c r="CW148" s="932"/>
      <c r="CX148" s="932"/>
      <c r="CY148" s="932"/>
      <c r="CZ148" s="37"/>
      <c r="DA148" s="37"/>
      <c r="DB148" s="932"/>
      <c r="DC148" s="37"/>
      <c r="DD148" s="932"/>
      <c r="DE148" s="37"/>
      <c r="DF148" s="932"/>
      <c r="DG148" s="37"/>
      <c r="DH148" s="932"/>
      <c r="DI148" s="37"/>
      <c r="DJ148" s="932"/>
      <c r="DK148" s="932"/>
      <c r="DL148" s="932"/>
      <c r="DM148" s="932"/>
      <c r="DN148" s="37"/>
      <c r="DO148" s="37"/>
      <c r="DP148" s="932"/>
      <c r="DQ148" s="37"/>
      <c r="DR148" s="932"/>
      <c r="DS148" s="37"/>
      <c r="DT148" s="932"/>
      <c r="DU148" s="37"/>
      <c r="DV148" s="932"/>
      <c r="DW148" s="37"/>
      <c r="DX148" s="932"/>
      <c r="DY148" s="932"/>
      <c r="DZ148" s="932"/>
      <c r="EA148" s="932"/>
      <c r="EB148" s="37"/>
      <c r="EC148" s="37"/>
      <c r="EE148" s="941"/>
      <c r="EG148" s="938"/>
      <c r="EI148" s="938"/>
      <c r="EK148" s="938"/>
      <c r="EM148" s="938"/>
      <c r="EO148" s="938"/>
      <c r="EQ148" s="938"/>
      <c r="ES148" s="938"/>
      <c r="EU148" s="938"/>
      <c r="EW148" s="938"/>
      <c r="EY148" s="938"/>
      <c r="FA148" s="938"/>
      <c r="FC148" s="938"/>
      <c r="FE148" s="938"/>
      <c r="FG148" s="938"/>
      <c r="FI148" s="938"/>
      <c r="FK148" s="938"/>
      <c r="FM148" s="938"/>
      <c r="FO148" s="938"/>
      <c r="FQ148" s="938"/>
      <c r="FS148" s="938"/>
      <c r="FU148" s="938"/>
      <c r="FW148" s="938"/>
      <c r="FY148" s="938"/>
      <c r="GA148" s="938"/>
      <c r="GC148" s="938"/>
      <c r="GE148" s="938"/>
      <c r="GG148" s="938"/>
      <c r="GI148" s="938"/>
      <c r="GK148" s="938"/>
      <c r="GM148" s="938"/>
      <c r="GO148" s="938"/>
      <c r="GQ148" s="938"/>
      <c r="GS148" s="938"/>
      <c r="GU148" s="938"/>
      <c r="GW148" s="938"/>
      <c r="GY148" s="938"/>
      <c r="HA148" s="938"/>
      <c r="HC148" s="938"/>
      <c r="HE148" s="938"/>
      <c r="HG148" s="938"/>
      <c r="HI148" s="938"/>
      <c r="HK148" s="938"/>
      <c r="HM148" s="938"/>
      <c r="HO148" s="938"/>
      <c r="HQ148" s="938"/>
      <c r="HS148" s="938"/>
      <c r="HU148" s="938"/>
      <c r="HW148" s="938"/>
      <c r="HY148" s="938"/>
      <c r="IA148" s="938"/>
      <c r="IC148" s="938"/>
      <c r="IE148" s="938"/>
      <c r="IG148" s="938"/>
      <c r="II148" s="938"/>
      <c r="IK148" s="938"/>
      <c r="IM148" s="938"/>
      <c r="IO148" s="938"/>
      <c r="IQ148" s="938"/>
      <c r="IS148" s="938"/>
      <c r="IT148" s="932"/>
      <c r="IU148" s="938"/>
      <c r="IW148" s="939"/>
      <c r="IX148" s="938"/>
      <c r="IY148" s="938"/>
      <c r="IZ148" s="938"/>
      <c r="JB148" s="940"/>
      <c r="JC148" s="940"/>
      <c r="JD148" s="940"/>
      <c r="JE148" s="940"/>
      <c r="JF148" s="940"/>
      <c r="JG148" s="940"/>
      <c r="JH148" s="940"/>
      <c r="JI148" s="940"/>
      <c r="JJ148" s="940"/>
      <c r="JK148" s="940"/>
      <c r="JL148" s="940"/>
      <c r="JM148" s="940"/>
      <c r="JN148" s="940"/>
      <c r="JO148" s="940"/>
      <c r="JP148" s="940"/>
      <c r="JQ148" s="940"/>
      <c r="JR148" s="940"/>
      <c r="JS148" s="940"/>
      <c r="JT148" s="940"/>
      <c r="JU148" s="940"/>
      <c r="JV148" s="940"/>
      <c r="JW148" s="940"/>
      <c r="JX148" s="940"/>
      <c r="JY148" s="940"/>
      <c r="JZ148" s="940"/>
      <c r="KA148" s="940"/>
      <c r="KB148" s="940"/>
      <c r="KC148" s="940"/>
      <c r="KD148" s="940"/>
      <c r="KE148" s="940"/>
      <c r="KF148" s="940"/>
      <c r="KG148" s="940"/>
      <c r="KH148" s="940"/>
      <c r="KI148" s="940"/>
      <c r="KJ148" s="940"/>
      <c r="KK148" s="940"/>
      <c r="KL148" s="940"/>
      <c r="KM148" s="940"/>
      <c r="KN148" s="940"/>
      <c r="KO148" s="940"/>
      <c r="KP148" s="940"/>
      <c r="KQ148" s="940"/>
      <c r="KR148" s="940"/>
      <c r="KS148" s="940"/>
      <c r="KT148" s="940"/>
      <c r="KU148" s="940"/>
      <c r="KV148" s="940"/>
      <c r="KW148" s="940"/>
      <c r="KX148" s="940"/>
      <c r="KY148" s="940"/>
      <c r="KZ148" s="940"/>
      <c r="LA148" s="940"/>
      <c r="LB148" s="940"/>
      <c r="LC148" s="940"/>
      <c r="LD148" s="940"/>
      <c r="LE148" s="940"/>
      <c r="LF148" s="940"/>
      <c r="LG148" s="940"/>
      <c r="LH148" s="940"/>
    </row>
    <row r="149" spans="1:320" s="462" customFormat="1" ht="15" hidden="1" customHeight="1" outlineLevel="1" x14ac:dyDescent="0.25">
      <c r="A149" s="1205">
        <v>42334</v>
      </c>
      <c r="B149" s="1205"/>
      <c r="C149" s="463"/>
      <c r="D149" s="461"/>
      <c r="H149" s="932"/>
      <c r="I149" s="37"/>
      <c r="J149" s="932"/>
      <c r="K149" s="37"/>
      <c r="L149" s="932"/>
      <c r="M149" s="37"/>
      <c r="N149" s="932"/>
      <c r="O149" s="37"/>
      <c r="P149" s="932"/>
      <c r="Q149" s="37"/>
      <c r="R149" s="932"/>
      <c r="S149" s="37"/>
      <c r="T149" s="37"/>
      <c r="U149" s="37"/>
      <c r="V149" s="932"/>
      <c r="W149" s="37"/>
      <c r="X149" s="932"/>
      <c r="Y149" s="37"/>
      <c r="Z149" s="932"/>
      <c r="AA149" s="37"/>
      <c r="AB149" s="932"/>
      <c r="AC149" s="37"/>
      <c r="AD149" s="932"/>
      <c r="AE149" s="37"/>
      <c r="AF149" s="932"/>
      <c r="AG149" s="37"/>
      <c r="AH149" s="37"/>
      <c r="AI149" s="37"/>
      <c r="AJ149" s="932"/>
      <c r="AK149" s="37"/>
      <c r="AL149" s="932"/>
      <c r="AM149" s="37"/>
      <c r="AN149" s="932"/>
      <c r="AO149" s="37"/>
      <c r="AP149" s="932"/>
      <c r="AQ149" s="37"/>
      <c r="AR149" s="37"/>
      <c r="AS149" s="37"/>
      <c r="AT149" s="37"/>
      <c r="AU149" s="37"/>
      <c r="AV149" s="37"/>
      <c r="AW149" s="37"/>
      <c r="AX149" s="932"/>
      <c r="AY149" s="37"/>
      <c r="AZ149" s="932"/>
      <c r="BA149" s="37"/>
      <c r="BB149" s="932"/>
      <c r="BC149" s="37"/>
      <c r="BD149" s="932"/>
      <c r="BE149" s="37"/>
      <c r="BF149" s="932"/>
      <c r="BG149" s="37"/>
      <c r="BH149" s="37"/>
      <c r="BI149" s="37"/>
      <c r="BJ149" s="37"/>
      <c r="BK149" s="37"/>
      <c r="BL149" s="932"/>
      <c r="BM149" s="37"/>
      <c r="BN149" s="932"/>
      <c r="BO149" s="37"/>
      <c r="BP149" s="932"/>
      <c r="BQ149" s="37"/>
      <c r="BR149" s="932"/>
      <c r="BS149" s="37"/>
      <c r="BT149" s="932"/>
      <c r="BU149" s="932"/>
      <c r="BV149" s="932"/>
      <c r="BW149" s="932"/>
      <c r="BX149" s="37"/>
      <c r="BY149" s="37"/>
      <c r="BZ149" s="932"/>
      <c r="CA149" s="37"/>
      <c r="CB149" s="932"/>
      <c r="CC149" s="37"/>
      <c r="CD149" s="932"/>
      <c r="CE149" s="37"/>
      <c r="CF149" s="932"/>
      <c r="CG149" s="37"/>
      <c r="CH149" s="932"/>
      <c r="CI149" s="932"/>
      <c r="CJ149" s="932"/>
      <c r="CK149" s="932"/>
      <c r="CL149" s="37"/>
      <c r="CM149" s="37"/>
      <c r="CN149" s="932"/>
      <c r="CO149" s="37"/>
      <c r="CP149" s="932"/>
      <c r="CQ149" s="37"/>
      <c r="CR149" s="932"/>
      <c r="CS149" s="37"/>
      <c r="CT149" s="932"/>
      <c r="CU149" s="37"/>
      <c r="CV149" s="932"/>
      <c r="CW149" s="932"/>
      <c r="CX149" s="932"/>
      <c r="CY149" s="932"/>
      <c r="CZ149" s="37"/>
      <c r="DA149" s="37"/>
      <c r="DB149" s="932"/>
      <c r="DC149" s="37"/>
      <c r="DD149" s="932"/>
      <c r="DE149" s="37"/>
      <c r="DF149" s="932"/>
      <c r="DG149" s="37"/>
      <c r="DH149" s="932"/>
      <c r="DI149" s="37"/>
      <c r="DJ149" s="932"/>
      <c r="DK149" s="932"/>
      <c r="DL149" s="932"/>
      <c r="DM149" s="932"/>
      <c r="DN149" s="37"/>
      <c r="DO149" s="37"/>
      <c r="DP149" s="932"/>
      <c r="DQ149" s="37"/>
      <c r="DR149" s="932"/>
      <c r="DS149" s="37"/>
      <c r="DT149" s="932"/>
      <c r="DU149" s="37"/>
      <c r="DV149" s="932"/>
      <c r="DW149" s="37"/>
      <c r="DX149" s="932"/>
      <c r="DY149" s="932"/>
      <c r="DZ149" s="932"/>
      <c r="EA149" s="932"/>
      <c r="EB149" s="37"/>
      <c r="EC149" s="37"/>
      <c r="EE149" s="941"/>
      <c r="EG149" s="938"/>
      <c r="EI149" s="938"/>
      <c r="EK149" s="938"/>
      <c r="EM149" s="938"/>
      <c r="EO149" s="938"/>
      <c r="EQ149" s="938"/>
      <c r="ES149" s="938"/>
      <c r="EU149" s="938"/>
      <c r="EW149" s="938"/>
      <c r="EY149" s="938"/>
      <c r="FA149" s="938"/>
      <c r="FC149" s="938"/>
      <c r="FE149" s="938"/>
      <c r="FG149" s="938"/>
      <c r="FI149" s="938"/>
      <c r="FK149" s="938"/>
      <c r="FM149" s="938"/>
      <c r="FO149" s="938"/>
      <c r="FQ149" s="938"/>
      <c r="FS149" s="938"/>
      <c r="FU149" s="938"/>
      <c r="FW149" s="938"/>
      <c r="FY149" s="938"/>
      <c r="GA149" s="938"/>
      <c r="GC149" s="938"/>
      <c r="GE149" s="938"/>
      <c r="GG149" s="938"/>
      <c r="GI149" s="938"/>
      <c r="GK149" s="938"/>
      <c r="GM149" s="938"/>
      <c r="GO149" s="938"/>
      <c r="GQ149" s="938"/>
      <c r="GS149" s="938"/>
      <c r="GU149" s="938"/>
      <c r="GW149" s="938"/>
      <c r="GY149" s="938"/>
      <c r="HA149" s="938"/>
      <c r="HC149" s="938"/>
      <c r="HE149" s="938"/>
      <c r="HG149" s="938"/>
      <c r="HI149" s="938"/>
      <c r="HK149" s="938"/>
      <c r="HM149" s="938"/>
      <c r="HO149" s="938"/>
      <c r="HQ149" s="938"/>
      <c r="HS149" s="938"/>
      <c r="HU149" s="938"/>
      <c r="HW149" s="938"/>
      <c r="HY149" s="938"/>
      <c r="IA149" s="938"/>
      <c r="IC149" s="938"/>
      <c r="IE149" s="938"/>
      <c r="IG149" s="938"/>
      <c r="II149" s="938"/>
      <c r="IK149" s="938"/>
      <c r="IM149" s="938"/>
      <c r="IO149" s="938"/>
      <c r="IQ149" s="938"/>
      <c r="IS149" s="938"/>
      <c r="IT149" s="932"/>
      <c r="IU149" s="938"/>
      <c r="IW149" s="939"/>
      <c r="IX149" s="938"/>
      <c r="IY149" s="938"/>
      <c r="IZ149" s="938"/>
      <c r="JB149" s="940"/>
      <c r="JC149" s="940"/>
      <c r="JD149" s="940"/>
      <c r="JE149" s="940"/>
      <c r="JF149" s="940"/>
      <c r="JG149" s="940"/>
      <c r="JH149" s="940"/>
      <c r="JI149" s="940"/>
      <c r="JJ149" s="940"/>
      <c r="JK149" s="940"/>
      <c r="JL149" s="940"/>
      <c r="JM149" s="940"/>
      <c r="JN149" s="940"/>
      <c r="JO149" s="940"/>
      <c r="JP149" s="940"/>
      <c r="JQ149" s="940"/>
      <c r="JR149" s="940"/>
      <c r="JS149" s="940"/>
      <c r="JT149" s="940"/>
      <c r="JU149" s="940"/>
      <c r="JV149" s="940"/>
      <c r="JW149" s="940"/>
      <c r="JX149" s="940"/>
      <c r="JY149" s="940"/>
      <c r="JZ149" s="940"/>
      <c r="KA149" s="940"/>
      <c r="KB149" s="940"/>
      <c r="KC149" s="940"/>
      <c r="KD149" s="940"/>
      <c r="KE149" s="940"/>
      <c r="KF149" s="940"/>
      <c r="KG149" s="940"/>
      <c r="KH149" s="940"/>
      <c r="KI149" s="940"/>
      <c r="KJ149" s="940"/>
      <c r="KK149" s="940"/>
      <c r="KL149" s="940"/>
      <c r="KM149" s="940"/>
      <c r="KN149" s="940"/>
      <c r="KO149" s="940"/>
      <c r="KP149" s="940"/>
      <c r="KQ149" s="940"/>
      <c r="KR149" s="940"/>
      <c r="KS149" s="940"/>
      <c r="KT149" s="940"/>
      <c r="KU149" s="940"/>
      <c r="KV149" s="940"/>
      <c r="KW149" s="940"/>
      <c r="KX149" s="940"/>
      <c r="KY149" s="940"/>
      <c r="KZ149" s="940"/>
      <c r="LA149" s="940"/>
      <c r="LB149" s="940"/>
      <c r="LC149" s="940"/>
      <c r="LD149" s="940"/>
      <c r="LE149" s="940"/>
      <c r="LF149" s="940"/>
      <c r="LG149" s="940"/>
      <c r="LH149" s="940"/>
    </row>
    <row r="150" spans="1:320" s="462" customFormat="1" ht="15" hidden="1" customHeight="1" outlineLevel="1" x14ac:dyDescent="0.25">
      <c r="A150" s="1205">
        <v>42335</v>
      </c>
      <c r="B150" s="1205"/>
      <c r="C150" s="463"/>
      <c r="D150" s="461"/>
      <c r="H150" s="932"/>
      <c r="I150" s="37"/>
      <c r="J150" s="932"/>
      <c r="K150" s="37"/>
      <c r="L150" s="932"/>
      <c r="M150" s="37"/>
      <c r="N150" s="932"/>
      <c r="O150" s="37"/>
      <c r="P150" s="932"/>
      <c r="Q150" s="37"/>
      <c r="R150" s="932"/>
      <c r="S150" s="37"/>
      <c r="T150" s="37"/>
      <c r="U150" s="37"/>
      <c r="V150" s="932"/>
      <c r="W150" s="37"/>
      <c r="X150" s="932"/>
      <c r="Y150" s="37"/>
      <c r="Z150" s="932"/>
      <c r="AA150" s="37"/>
      <c r="AB150" s="932"/>
      <c r="AC150" s="37"/>
      <c r="AD150" s="932"/>
      <c r="AE150" s="37"/>
      <c r="AF150" s="932"/>
      <c r="AG150" s="37"/>
      <c r="AH150" s="37"/>
      <c r="AI150" s="37"/>
      <c r="AJ150" s="932"/>
      <c r="AK150" s="37"/>
      <c r="AL150" s="932"/>
      <c r="AM150" s="37"/>
      <c r="AN150" s="932"/>
      <c r="AO150" s="37"/>
      <c r="AP150" s="932"/>
      <c r="AQ150" s="37"/>
      <c r="AR150" s="37"/>
      <c r="AS150" s="37"/>
      <c r="AT150" s="37"/>
      <c r="AU150" s="37"/>
      <c r="AV150" s="37"/>
      <c r="AW150" s="37"/>
      <c r="AX150" s="932"/>
      <c r="AY150" s="37"/>
      <c r="AZ150" s="932"/>
      <c r="BA150" s="37"/>
      <c r="BB150" s="932"/>
      <c r="BC150" s="37"/>
      <c r="BD150" s="932"/>
      <c r="BE150" s="37"/>
      <c r="BF150" s="932"/>
      <c r="BG150" s="37"/>
      <c r="BH150" s="37"/>
      <c r="BI150" s="37"/>
      <c r="BJ150" s="37"/>
      <c r="BK150" s="37"/>
      <c r="BL150" s="932"/>
      <c r="BM150" s="37"/>
      <c r="BN150" s="932"/>
      <c r="BO150" s="37"/>
      <c r="BP150" s="932"/>
      <c r="BQ150" s="37"/>
      <c r="BR150" s="932"/>
      <c r="BS150" s="37"/>
      <c r="BT150" s="932"/>
      <c r="BU150" s="932"/>
      <c r="BV150" s="932"/>
      <c r="BW150" s="932"/>
      <c r="BX150" s="37"/>
      <c r="BY150" s="37"/>
      <c r="BZ150" s="932"/>
      <c r="CA150" s="37"/>
      <c r="CB150" s="932"/>
      <c r="CC150" s="37"/>
      <c r="CD150" s="932"/>
      <c r="CE150" s="37"/>
      <c r="CF150" s="932"/>
      <c r="CG150" s="37"/>
      <c r="CH150" s="932"/>
      <c r="CI150" s="932"/>
      <c r="CJ150" s="932"/>
      <c r="CK150" s="932"/>
      <c r="CL150" s="37"/>
      <c r="CM150" s="37"/>
      <c r="CN150" s="932"/>
      <c r="CO150" s="37"/>
      <c r="CP150" s="932"/>
      <c r="CQ150" s="37"/>
      <c r="CR150" s="932"/>
      <c r="CS150" s="37"/>
      <c r="CT150" s="932"/>
      <c r="CU150" s="37"/>
      <c r="CV150" s="932"/>
      <c r="CW150" s="932"/>
      <c r="CX150" s="932"/>
      <c r="CY150" s="932"/>
      <c r="CZ150" s="37"/>
      <c r="DA150" s="37"/>
      <c r="DB150" s="932"/>
      <c r="DC150" s="37"/>
      <c r="DD150" s="932"/>
      <c r="DE150" s="37"/>
      <c r="DF150" s="932"/>
      <c r="DG150" s="37"/>
      <c r="DH150" s="932"/>
      <c r="DI150" s="37"/>
      <c r="DJ150" s="932"/>
      <c r="DK150" s="932"/>
      <c r="DL150" s="932"/>
      <c r="DM150" s="932"/>
      <c r="DN150" s="37"/>
      <c r="DO150" s="37"/>
      <c r="DP150" s="932"/>
      <c r="DQ150" s="37"/>
      <c r="DR150" s="932"/>
      <c r="DS150" s="37"/>
      <c r="DT150" s="932"/>
      <c r="DU150" s="37"/>
      <c r="DV150" s="932"/>
      <c r="DW150" s="37"/>
      <c r="DX150" s="932"/>
      <c r="DY150" s="932"/>
      <c r="DZ150" s="932"/>
      <c r="EA150" s="932"/>
      <c r="EB150" s="37"/>
      <c r="EC150" s="37"/>
      <c r="EE150" s="941"/>
      <c r="EG150" s="938"/>
      <c r="EI150" s="938"/>
      <c r="EK150" s="938"/>
      <c r="EM150" s="938"/>
      <c r="EO150" s="938"/>
      <c r="EQ150" s="938"/>
      <c r="ES150" s="938"/>
      <c r="EU150" s="938"/>
      <c r="EW150" s="938"/>
      <c r="EY150" s="938"/>
      <c r="FA150" s="938"/>
      <c r="FC150" s="938"/>
      <c r="FE150" s="938"/>
      <c r="FG150" s="938"/>
      <c r="FI150" s="938"/>
      <c r="FK150" s="938"/>
      <c r="FM150" s="938"/>
      <c r="FO150" s="938"/>
      <c r="FQ150" s="938"/>
      <c r="FS150" s="938"/>
      <c r="FU150" s="938"/>
      <c r="FW150" s="938"/>
      <c r="FY150" s="938"/>
      <c r="GA150" s="938"/>
      <c r="GC150" s="938"/>
      <c r="GE150" s="938"/>
      <c r="GG150" s="938"/>
      <c r="GI150" s="938"/>
      <c r="GK150" s="938"/>
      <c r="GM150" s="938"/>
      <c r="GO150" s="938"/>
      <c r="GQ150" s="938"/>
      <c r="GS150" s="938"/>
      <c r="GU150" s="938"/>
      <c r="GW150" s="938"/>
      <c r="GY150" s="938"/>
      <c r="HA150" s="938"/>
      <c r="HC150" s="938"/>
      <c r="HE150" s="938"/>
      <c r="HG150" s="938"/>
      <c r="HI150" s="938"/>
      <c r="HK150" s="938"/>
      <c r="HM150" s="938"/>
      <c r="HO150" s="938"/>
      <c r="HQ150" s="938"/>
      <c r="HS150" s="938"/>
      <c r="HU150" s="938"/>
      <c r="HW150" s="938"/>
      <c r="HY150" s="938"/>
      <c r="IA150" s="938"/>
      <c r="IC150" s="938"/>
      <c r="IE150" s="938"/>
      <c r="IG150" s="938"/>
      <c r="II150" s="938"/>
      <c r="IK150" s="938"/>
      <c r="IM150" s="938"/>
      <c r="IO150" s="938"/>
      <c r="IQ150" s="938"/>
      <c r="IS150" s="938"/>
      <c r="IT150" s="932"/>
      <c r="IU150" s="938"/>
      <c r="IW150" s="939"/>
      <c r="IX150" s="938"/>
      <c r="IY150" s="938"/>
      <c r="IZ150" s="938"/>
      <c r="JB150" s="940"/>
      <c r="JC150" s="940"/>
      <c r="JD150" s="940"/>
      <c r="JE150" s="940"/>
      <c r="JF150" s="940"/>
      <c r="JG150" s="940"/>
      <c r="JH150" s="940"/>
      <c r="JI150" s="940"/>
      <c r="JJ150" s="940"/>
      <c r="JK150" s="940"/>
      <c r="JL150" s="940"/>
      <c r="JM150" s="940"/>
      <c r="JN150" s="940"/>
      <c r="JO150" s="940"/>
      <c r="JP150" s="940"/>
      <c r="JQ150" s="940"/>
      <c r="JR150" s="940"/>
      <c r="JS150" s="940"/>
      <c r="JT150" s="940"/>
      <c r="JU150" s="940"/>
      <c r="JV150" s="940"/>
      <c r="JW150" s="940"/>
      <c r="JX150" s="940"/>
      <c r="JY150" s="940"/>
      <c r="JZ150" s="940"/>
      <c r="KA150" s="940"/>
      <c r="KB150" s="940"/>
      <c r="KC150" s="940"/>
      <c r="KD150" s="940"/>
      <c r="KE150" s="940"/>
      <c r="KF150" s="940"/>
      <c r="KG150" s="940"/>
      <c r="KH150" s="940"/>
      <c r="KI150" s="940"/>
      <c r="KJ150" s="940"/>
      <c r="KK150" s="940"/>
      <c r="KL150" s="940"/>
      <c r="KM150" s="940"/>
      <c r="KN150" s="940"/>
      <c r="KO150" s="940"/>
      <c r="KP150" s="940"/>
      <c r="KQ150" s="940"/>
      <c r="KR150" s="940"/>
      <c r="KS150" s="940"/>
      <c r="KT150" s="940"/>
      <c r="KU150" s="940"/>
      <c r="KV150" s="940"/>
      <c r="KW150" s="940"/>
      <c r="KX150" s="940"/>
      <c r="KY150" s="940"/>
      <c r="KZ150" s="940"/>
      <c r="LA150" s="940"/>
      <c r="LB150" s="940"/>
      <c r="LC150" s="940"/>
      <c r="LD150" s="940"/>
      <c r="LE150" s="940"/>
      <c r="LF150" s="940"/>
      <c r="LG150" s="940"/>
      <c r="LH150" s="940"/>
    </row>
    <row r="151" spans="1:320" s="462" customFormat="1" ht="15" hidden="1" customHeight="1" outlineLevel="1" x14ac:dyDescent="0.25">
      <c r="A151" s="1205">
        <v>42361</v>
      </c>
      <c r="B151" s="1205"/>
      <c r="C151" s="463"/>
      <c r="D151" s="461"/>
      <c r="H151" s="932"/>
      <c r="I151" s="37"/>
      <c r="J151" s="932"/>
      <c r="K151" s="37"/>
      <c r="L151" s="932"/>
      <c r="M151" s="37"/>
      <c r="N151" s="932"/>
      <c r="O151" s="37"/>
      <c r="P151" s="932"/>
      <c r="Q151" s="37"/>
      <c r="R151" s="932"/>
      <c r="S151" s="37"/>
      <c r="T151" s="37"/>
      <c r="U151" s="37"/>
      <c r="V151" s="932"/>
      <c r="W151" s="37"/>
      <c r="X151" s="932"/>
      <c r="Y151" s="37"/>
      <c r="Z151" s="932"/>
      <c r="AA151" s="37"/>
      <c r="AB151" s="932"/>
      <c r="AC151" s="37"/>
      <c r="AD151" s="932"/>
      <c r="AE151" s="37"/>
      <c r="AF151" s="932"/>
      <c r="AG151" s="37"/>
      <c r="AH151" s="37"/>
      <c r="AI151" s="37"/>
      <c r="AJ151" s="932"/>
      <c r="AK151" s="37"/>
      <c r="AL151" s="932"/>
      <c r="AM151" s="37"/>
      <c r="AN151" s="932"/>
      <c r="AO151" s="37"/>
      <c r="AP151" s="932"/>
      <c r="AQ151" s="37"/>
      <c r="AR151" s="37"/>
      <c r="AS151" s="37"/>
      <c r="AT151" s="37"/>
      <c r="AU151" s="37"/>
      <c r="AV151" s="37"/>
      <c r="AW151" s="37"/>
      <c r="AX151" s="932"/>
      <c r="AY151" s="37"/>
      <c r="AZ151" s="932"/>
      <c r="BA151" s="37"/>
      <c r="BB151" s="932"/>
      <c r="BC151" s="37"/>
      <c r="BD151" s="932"/>
      <c r="BE151" s="37"/>
      <c r="BF151" s="932"/>
      <c r="BG151" s="37"/>
      <c r="BH151" s="37"/>
      <c r="BI151" s="37"/>
      <c r="BJ151" s="37"/>
      <c r="BK151" s="37"/>
      <c r="BL151" s="932"/>
      <c r="BM151" s="37"/>
      <c r="BN151" s="932"/>
      <c r="BO151" s="37"/>
      <c r="BP151" s="932"/>
      <c r="BQ151" s="37"/>
      <c r="BR151" s="932"/>
      <c r="BS151" s="37"/>
      <c r="BT151" s="932"/>
      <c r="BU151" s="932"/>
      <c r="BV151" s="932"/>
      <c r="BW151" s="932"/>
      <c r="BX151" s="37"/>
      <c r="BY151" s="37"/>
      <c r="BZ151" s="932"/>
      <c r="CA151" s="37"/>
      <c r="CB151" s="932"/>
      <c r="CC151" s="37"/>
      <c r="CD151" s="932"/>
      <c r="CE151" s="37"/>
      <c r="CF151" s="932"/>
      <c r="CG151" s="37"/>
      <c r="CH151" s="932"/>
      <c r="CI151" s="932"/>
      <c r="CJ151" s="932"/>
      <c r="CK151" s="932"/>
      <c r="CL151" s="37"/>
      <c r="CM151" s="37"/>
      <c r="CN151" s="932"/>
      <c r="CO151" s="37"/>
      <c r="CP151" s="932"/>
      <c r="CQ151" s="37"/>
      <c r="CR151" s="932"/>
      <c r="CS151" s="37"/>
      <c r="CT151" s="932"/>
      <c r="CU151" s="37"/>
      <c r="CV151" s="932"/>
      <c r="CW151" s="932"/>
      <c r="CX151" s="932"/>
      <c r="CY151" s="932"/>
      <c r="CZ151" s="37"/>
      <c r="DA151" s="37"/>
      <c r="DB151" s="932"/>
      <c r="DC151" s="37"/>
      <c r="DD151" s="932"/>
      <c r="DE151" s="37"/>
      <c r="DF151" s="932"/>
      <c r="DG151" s="37"/>
      <c r="DH151" s="932"/>
      <c r="DI151" s="37"/>
      <c r="DJ151" s="932"/>
      <c r="DK151" s="932"/>
      <c r="DL151" s="932"/>
      <c r="DM151" s="932"/>
      <c r="DN151" s="37"/>
      <c r="DO151" s="37"/>
      <c r="DP151" s="932"/>
      <c r="DQ151" s="37"/>
      <c r="DR151" s="932"/>
      <c r="DS151" s="37"/>
      <c r="DT151" s="932"/>
      <c r="DU151" s="37"/>
      <c r="DV151" s="932"/>
      <c r="DW151" s="37"/>
      <c r="DX151" s="932"/>
      <c r="DY151" s="932"/>
      <c r="DZ151" s="932"/>
      <c r="EA151" s="932"/>
      <c r="EB151" s="37"/>
      <c r="EC151" s="37"/>
      <c r="EE151" s="941"/>
      <c r="EG151" s="938"/>
      <c r="EI151" s="938"/>
      <c r="EK151" s="938"/>
      <c r="EM151" s="938"/>
      <c r="EO151" s="938"/>
      <c r="EQ151" s="938"/>
      <c r="ES151" s="938"/>
      <c r="EU151" s="938"/>
      <c r="EW151" s="938"/>
      <c r="EY151" s="938"/>
      <c r="FA151" s="938"/>
      <c r="FC151" s="938"/>
      <c r="FE151" s="938"/>
      <c r="FG151" s="938"/>
      <c r="FI151" s="938"/>
      <c r="FK151" s="938"/>
      <c r="FM151" s="938"/>
      <c r="FO151" s="938"/>
      <c r="FQ151" s="938"/>
      <c r="FS151" s="938"/>
      <c r="FU151" s="938"/>
      <c r="FW151" s="938"/>
      <c r="FY151" s="938"/>
      <c r="GA151" s="938"/>
      <c r="GC151" s="938"/>
      <c r="GE151" s="938"/>
      <c r="GG151" s="938"/>
      <c r="GI151" s="938"/>
      <c r="GK151" s="938"/>
      <c r="GM151" s="938"/>
      <c r="GO151" s="938"/>
      <c r="GQ151" s="938"/>
      <c r="GS151" s="938"/>
      <c r="GU151" s="938"/>
      <c r="GW151" s="938"/>
      <c r="GY151" s="938"/>
      <c r="HA151" s="938"/>
      <c r="HC151" s="938"/>
      <c r="HE151" s="938"/>
      <c r="HG151" s="938"/>
      <c r="HI151" s="938"/>
      <c r="HK151" s="938"/>
      <c r="HM151" s="938"/>
      <c r="HO151" s="938"/>
      <c r="HQ151" s="938"/>
      <c r="HS151" s="938"/>
      <c r="HU151" s="938"/>
      <c r="HW151" s="938"/>
      <c r="HY151" s="938"/>
      <c r="IA151" s="938"/>
      <c r="IC151" s="938"/>
      <c r="IE151" s="938"/>
      <c r="IG151" s="938"/>
      <c r="II151" s="938"/>
      <c r="IK151" s="938"/>
      <c r="IM151" s="938"/>
      <c r="IO151" s="938"/>
      <c r="IQ151" s="938"/>
      <c r="IS151" s="938"/>
      <c r="IT151" s="932"/>
      <c r="IU151" s="938"/>
      <c r="IW151" s="939"/>
      <c r="IX151" s="938"/>
      <c r="IY151" s="938"/>
      <c r="IZ151" s="938"/>
      <c r="JB151" s="940"/>
      <c r="JC151" s="940"/>
      <c r="JD151" s="940"/>
      <c r="JE151" s="940"/>
      <c r="JF151" s="940"/>
      <c r="JG151" s="940"/>
      <c r="JH151" s="940"/>
      <c r="JI151" s="940"/>
      <c r="JJ151" s="940"/>
      <c r="JK151" s="940"/>
      <c r="JL151" s="940"/>
      <c r="JM151" s="940"/>
      <c r="JN151" s="940"/>
      <c r="JO151" s="940"/>
      <c r="JP151" s="940"/>
      <c r="JQ151" s="940"/>
      <c r="JR151" s="940"/>
      <c r="JS151" s="940"/>
      <c r="JT151" s="940"/>
      <c r="JU151" s="940"/>
      <c r="JV151" s="940"/>
      <c r="JW151" s="940"/>
      <c r="JX151" s="940"/>
      <c r="JY151" s="940"/>
      <c r="JZ151" s="940"/>
      <c r="KA151" s="940"/>
      <c r="KB151" s="940"/>
      <c r="KC151" s="940"/>
      <c r="KD151" s="940"/>
      <c r="KE151" s="940"/>
      <c r="KF151" s="940"/>
      <c r="KG151" s="940"/>
      <c r="KH151" s="940"/>
      <c r="KI151" s="940"/>
      <c r="KJ151" s="940"/>
      <c r="KK151" s="940"/>
      <c r="KL151" s="940"/>
      <c r="KM151" s="940"/>
      <c r="KN151" s="940"/>
      <c r="KO151" s="940"/>
      <c r="KP151" s="940"/>
      <c r="KQ151" s="940"/>
      <c r="KR151" s="940"/>
      <c r="KS151" s="940"/>
      <c r="KT151" s="940"/>
      <c r="KU151" s="940"/>
      <c r="KV151" s="940"/>
      <c r="KW151" s="940"/>
      <c r="KX151" s="940"/>
      <c r="KY151" s="940"/>
      <c r="KZ151" s="940"/>
      <c r="LA151" s="940"/>
      <c r="LB151" s="940"/>
      <c r="LC151" s="940"/>
      <c r="LD151" s="940"/>
      <c r="LE151" s="940"/>
      <c r="LF151" s="940"/>
      <c r="LG151" s="940"/>
      <c r="LH151" s="940"/>
    </row>
    <row r="152" spans="1:320" s="462" customFormat="1" ht="15" hidden="1" customHeight="1" outlineLevel="1" x14ac:dyDescent="0.25">
      <c r="A152" s="1205">
        <v>42362</v>
      </c>
      <c r="B152" s="1205"/>
      <c r="C152" s="463"/>
      <c r="D152" s="461"/>
      <c r="H152" s="932"/>
      <c r="I152" s="37"/>
      <c r="J152" s="932"/>
      <c r="K152" s="37"/>
      <c r="L152" s="932"/>
      <c r="M152" s="37"/>
      <c r="N152" s="932"/>
      <c r="O152" s="37"/>
      <c r="P152" s="932"/>
      <c r="Q152" s="37"/>
      <c r="R152" s="932"/>
      <c r="S152" s="37"/>
      <c r="T152" s="37"/>
      <c r="U152" s="37"/>
      <c r="V152" s="932"/>
      <c r="W152" s="37"/>
      <c r="X152" s="932"/>
      <c r="Y152" s="37"/>
      <c r="Z152" s="932"/>
      <c r="AA152" s="37"/>
      <c r="AB152" s="932"/>
      <c r="AC152" s="37"/>
      <c r="AD152" s="932"/>
      <c r="AE152" s="37"/>
      <c r="AF152" s="932"/>
      <c r="AG152" s="37"/>
      <c r="AH152" s="37"/>
      <c r="AI152" s="37"/>
      <c r="AJ152" s="932"/>
      <c r="AK152" s="37"/>
      <c r="AL152" s="932"/>
      <c r="AM152" s="37"/>
      <c r="AN152" s="932"/>
      <c r="AO152" s="37"/>
      <c r="AP152" s="932"/>
      <c r="AQ152" s="37"/>
      <c r="AR152" s="37"/>
      <c r="AS152" s="37"/>
      <c r="AT152" s="37"/>
      <c r="AU152" s="37"/>
      <c r="AV152" s="37"/>
      <c r="AW152" s="37"/>
      <c r="AX152" s="932"/>
      <c r="AY152" s="37"/>
      <c r="AZ152" s="932"/>
      <c r="BA152" s="37"/>
      <c r="BB152" s="932"/>
      <c r="BC152" s="37"/>
      <c r="BD152" s="932"/>
      <c r="BE152" s="37"/>
      <c r="BF152" s="932"/>
      <c r="BG152" s="37"/>
      <c r="BH152" s="37"/>
      <c r="BI152" s="37"/>
      <c r="BJ152" s="37"/>
      <c r="BK152" s="37"/>
      <c r="BL152" s="932"/>
      <c r="BM152" s="37"/>
      <c r="BN152" s="932"/>
      <c r="BO152" s="37"/>
      <c r="BP152" s="932"/>
      <c r="BQ152" s="37"/>
      <c r="BR152" s="932"/>
      <c r="BS152" s="37"/>
      <c r="BT152" s="932"/>
      <c r="BU152" s="932"/>
      <c r="BV152" s="932"/>
      <c r="BW152" s="932"/>
      <c r="BX152" s="37"/>
      <c r="BY152" s="37"/>
      <c r="BZ152" s="932"/>
      <c r="CA152" s="37"/>
      <c r="CB152" s="932"/>
      <c r="CC152" s="37"/>
      <c r="CD152" s="932"/>
      <c r="CE152" s="37"/>
      <c r="CF152" s="932"/>
      <c r="CG152" s="37"/>
      <c r="CH152" s="932"/>
      <c r="CI152" s="932"/>
      <c r="CJ152" s="932"/>
      <c r="CK152" s="932"/>
      <c r="CL152" s="37"/>
      <c r="CM152" s="37"/>
      <c r="CN152" s="932"/>
      <c r="CO152" s="37"/>
      <c r="CP152" s="932"/>
      <c r="CQ152" s="37"/>
      <c r="CR152" s="932"/>
      <c r="CS152" s="37"/>
      <c r="CT152" s="932"/>
      <c r="CU152" s="37"/>
      <c r="CV152" s="932"/>
      <c r="CW152" s="932"/>
      <c r="CX152" s="932"/>
      <c r="CY152" s="932"/>
      <c r="CZ152" s="37"/>
      <c r="DA152" s="37"/>
      <c r="DB152" s="932"/>
      <c r="DC152" s="37"/>
      <c r="DD152" s="932"/>
      <c r="DE152" s="37"/>
      <c r="DF152" s="932"/>
      <c r="DG152" s="37"/>
      <c r="DH152" s="932"/>
      <c r="DI152" s="37"/>
      <c r="DJ152" s="932"/>
      <c r="DK152" s="932"/>
      <c r="DL152" s="932"/>
      <c r="DM152" s="932"/>
      <c r="DN152" s="37"/>
      <c r="DO152" s="37"/>
      <c r="DP152" s="932"/>
      <c r="DQ152" s="37"/>
      <c r="DR152" s="932"/>
      <c r="DS152" s="37"/>
      <c r="DT152" s="932"/>
      <c r="DU152" s="37"/>
      <c r="DV152" s="932"/>
      <c r="DW152" s="37"/>
      <c r="DX152" s="932"/>
      <c r="DY152" s="932"/>
      <c r="DZ152" s="932"/>
      <c r="EA152" s="932"/>
      <c r="EB152" s="37"/>
      <c r="EC152" s="37"/>
      <c r="EE152" s="941"/>
      <c r="EG152" s="938"/>
      <c r="EI152" s="938"/>
      <c r="EK152" s="938"/>
      <c r="EM152" s="938"/>
      <c r="EO152" s="938"/>
      <c r="EQ152" s="938"/>
      <c r="ES152" s="938"/>
      <c r="EU152" s="938"/>
      <c r="EW152" s="938"/>
      <c r="EY152" s="938"/>
      <c r="FA152" s="938"/>
      <c r="FC152" s="938"/>
      <c r="FE152" s="938"/>
      <c r="FG152" s="938"/>
      <c r="FI152" s="938"/>
      <c r="FK152" s="938"/>
      <c r="FM152" s="938"/>
      <c r="FO152" s="938"/>
      <c r="FQ152" s="938"/>
      <c r="FS152" s="938"/>
      <c r="FU152" s="938"/>
      <c r="FW152" s="938"/>
      <c r="FY152" s="938"/>
      <c r="GA152" s="938"/>
      <c r="GC152" s="938"/>
      <c r="GE152" s="938"/>
      <c r="GG152" s="938"/>
      <c r="GI152" s="938"/>
      <c r="GK152" s="938"/>
      <c r="GM152" s="938"/>
      <c r="GO152" s="938"/>
      <c r="GQ152" s="938"/>
      <c r="GS152" s="938"/>
      <c r="GU152" s="938"/>
      <c r="GW152" s="938"/>
      <c r="GY152" s="938"/>
      <c r="HA152" s="938"/>
      <c r="HC152" s="938"/>
      <c r="HE152" s="938"/>
      <c r="HG152" s="938"/>
      <c r="HI152" s="938"/>
      <c r="HK152" s="938"/>
      <c r="HM152" s="938"/>
      <c r="HO152" s="938"/>
      <c r="HQ152" s="938"/>
      <c r="HS152" s="938"/>
      <c r="HU152" s="938"/>
      <c r="HW152" s="938"/>
      <c r="HY152" s="938"/>
      <c r="IA152" s="938"/>
      <c r="IC152" s="938"/>
      <c r="IE152" s="938"/>
      <c r="IG152" s="938"/>
      <c r="II152" s="938"/>
      <c r="IK152" s="938"/>
      <c r="IM152" s="938"/>
      <c r="IO152" s="938"/>
      <c r="IQ152" s="938"/>
      <c r="IS152" s="938"/>
      <c r="IT152" s="932"/>
      <c r="IU152" s="938"/>
      <c r="IW152" s="939"/>
      <c r="IX152" s="938"/>
      <c r="IY152" s="938"/>
      <c r="IZ152" s="938"/>
      <c r="JB152" s="940"/>
      <c r="JC152" s="940"/>
      <c r="JD152" s="940"/>
      <c r="JE152" s="940"/>
      <c r="JF152" s="940"/>
      <c r="JG152" s="940"/>
      <c r="JH152" s="940"/>
      <c r="JI152" s="940"/>
      <c r="JJ152" s="940"/>
      <c r="JK152" s="940"/>
      <c r="JL152" s="940"/>
      <c r="JM152" s="940"/>
      <c r="JN152" s="940"/>
      <c r="JO152" s="940"/>
      <c r="JP152" s="940"/>
      <c r="JQ152" s="940"/>
      <c r="JR152" s="940"/>
      <c r="JS152" s="940"/>
      <c r="JT152" s="940"/>
      <c r="JU152" s="940"/>
      <c r="JV152" s="940"/>
      <c r="JW152" s="940"/>
      <c r="JX152" s="940"/>
      <c r="JY152" s="940"/>
      <c r="JZ152" s="940"/>
      <c r="KA152" s="940"/>
      <c r="KB152" s="940"/>
      <c r="KC152" s="940"/>
      <c r="KD152" s="940"/>
      <c r="KE152" s="940"/>
      <c r="KF152" s="940"/>
      <c r="KG152" s="940"/>
      <c r="KH152" s="940"/>
      <c r="KI152" s="940"/>
      <c r="KJ152" s="940"/>
      <c r="KK152" s="940"/>
      <c r="KL152" s="940"/>
      <c r="KM152" s="940"/>
      <c r="KN152" s="940"/>
      <c r="KO152" s="940"/>
      <c r="KP152" s="940"/>
      <c r="KQ152" s="940"/>
      <c r="KR152" s="940"/>
      <c r="KS152" s="940"/>
      <c r="KT152" s="940"/>
      <c r="KU152" s="940"/>
      <c r="KV152" s="940"/>
      <c r="KW152" s="940"/>
      <c r="KX152" s="940"/>
      <c r="KY152" s="940"/>
      <c r="KZ152" s="940"/>
      <c r="LA152" s="940"/>
      <c r="LB152" s="940"/>
      <c r="LC152" s="940"/>
      <c r="LD152" s="940"/>
      <c r="LE152" s="940"/>
      <c r="LF152" s="940"/>
      <c r="LG152" s="940"/>
      <c r="LH152" s="940"/>
    </row>
    <row r="153" spans="1:320" s="462" customFormat="1" ht="15" hidden="1" customHeight="1" outlineLevel="1" x14ac:dyDescent="0.25">
      <c r="A153" s="1205">
        <v>42363</v>
      </c>
      <c r="B153" s="1205"/>
      <c r="C153" s="463"/>
      <c r="D153" s="461"/>
      <c r="H153" s="932"/>
      <c r="I153" s="37"/>
      <c r="J153" s="932"/>
      <c r="K153" s="37"/>
      <c r="L153" s="932"/>
      <c r="M153" s="37"/>
      <c r="N153" s="932"/>
      <c r="O153" s="37"/>
      <c r="P153" s="932"/>
      <c r="Q153" s="37"/>
      <c r="R153" s="932"/>
      <c r="S153" s="37"/>
      <c r="T153" s="37"/>
      <c r="U153" s="37"/>
      <c r="V153" s="932"/>
      <c r="W153" s="37"/>
      <c r="X153" s="932"/>
      <c r="Y153" s="37"/>
      <c r="Z153" s="932"/>
      <c r="AA153" s="37"/>
      <c r="AB153" s="932"/>
      <c r="AC153" s="37"/>
      <c r="AD153" s="932"/>
      <c r="AE153" s="37"/>
      <c r="AF153" s="932"/>
      <c r="AG153" s="37"/>
      <c r="AH153" s="37"/>
      <c r="AI153" s="37"/>
      <c r="AJ153" s="932"/>
      <c r="AK153" s="37"/>
      <c r="AL153" s="932"/>
      <c r="AM153" s="37"/>
      <c r="AN153" s="932"/>
      <c r="AO153" s="37"/>
      <c r="AP153" s="932"/>
      <c r="AQ153" s="37"/>
      <c r="AR153" s="37"/>
      <c r="AS153" s="37"/>
      <c r="AT153" s="37"/>
      <c r="AU153" s="37"/>
      <c r="AV153" s="37"/>
      <c r="AW153" s="37"/>
      <c r="AX153" s="932"/>
      <c r="AY153" s="37"/>
      <c r="AZ153" s="932"/>
      <c r="BA153" s="37"/>
      <c r="BB153" s="932"/>
      <c r="BC153" s="37"/>
      <c r="BD153" s="932"/>
      <c r="BE153" s="37"/>
      <c r="BF153" s="932"/>
      <c r="BG153" s="37"/>
      <c r="BH153" s="37"/>
      <c r="BI153" s="37"/>
      <c r="BJ153" s="37"/>
      <c r="BK153" s="37"/>
      <c r="BL153" s="932"/>
      <c r="BM153" s="37"/>
      <c r="BN153" s="932"/>
      <c r="BO153" s="37"/>
      <c r="BP153" s="932"/>
      <c r="BQ153" s="37"/>
      <c r="BR153" s="932"/>
      <c r="BS153" s="37"/>
      <c r="BT153" s="932"/>
      <c r="BU153" s="932"/>
      <c r="BV153" s="932"/>
      <c r="BW153" s="932"/>
      <c r="BX153" s="37"/>
      <c r="BY153" s="37"/>
      <c r="BZ153" s="932"/>
      <c r="CA153" s="37"/>
      <c r="CB153" s="932"/>
      <c r="CC153" s="37"/>
      <c r="CD153" s="932"/>
      <c r="CE153" s="37"/>
      <c r="CF153" s="932"/>
      <c r="CG153" s="37"/>
      <c r="CH153" s="932"/>
      <c r="CI153" s="932"/>
      <c r="CJ153" s="932"/>
      <c r="CK153" s="932"/>
      <c r="CL153" s="37"/>
      <c r="CM153" s="37"/>
      <c r="CN153" s="932"/>
      <c r="CO153" s="37"/>
      <c r="CP153" s="932"/>
      <c r="CQ153" s="37"/>
      <c r="CR153" s="932"/>
      <c r="CS153" s="37"/>
      <c r="CT153" s="932"/>
      <c r="CU153" s="37"/>
      <c r="CV153" s="932"/>
      <c r="CW153" s="932"/>
      <c r="CX153" s="932"/>
      <c r="CY153" s="932"/>
      <c r="CZ153" s="37"/>
      <c r="DA153" s="37"/>
      <c r="DB153" s="932"/>
      <c r="DC153" s="37"/>
      <c r="DD153" s="932"/>
      <c r="DE153" s="37"/>
      <c r="DF153" s="932"/>
      <c r="DG153" s="37"/>
      <c r="DH153" s="932"/>
      <c r="DI153" s="37"/>
      <c r="DJ153" s="932"/>
      <c r="DK153" s="932"/>
      <c r="DL153" s="932"/>
      <c r="DM153" s="932"/>
      <c r="DN153" s="37"/>
      <c r="DO153" s="37"/>
      <c r="DP153" s="932"/>
      <c r="DQ153" s="37"/>
      <c r="DR153" s="932"/>
      <c r="DS153" s="37"/>
      <c r="DT153" s="932"/>
      <c r="DU153" s="37"/>
      <c r="DV153" s="932"/>
      <c r="DW153" s="37"/>
      <c r="DX153" s="932"/>
      <c r="DY153" s="932"/>
      <c r="DZ153" s="932"/>
      <c r="EA153" s="932"/>
      <c r="EB153" s="37"/>
      <c r="EC153" s="37"/>
      <c r="EE153" s="941"/>
      <c r="EG153" s="938"/>
      <c r="EI153" s="938"/>
      <c r="EK153" s="938"/>
      <c r="EM153" s="938"/>
      <c r="EO153" s="938"/>
      <c r="EQ153" s="938"/>
      <c r="ES153" s="938"/>
      <c r="EU153" s="938"/>
      <c r="EW153" s="938"/>
      <c r="EY153" s="938"/>
      <c r="FA153" s="938"/>
      <c r="FC153" s="938"/>
      <c r="FE153" s="938"/>
      <c r="FG153" s="938"/>
      <c r="FI153" s="938"/>
      <c r="FK153" s="938"/>
      <c r="FM153" s="938"/>
      <c r="FO153" s="938"/>
      <c r="FQ153" s="938"/>
      <c r="FS153" s="938"/>
      <c r="FU153" s="938"/>
      <c r="FW153" s="938"/>
      <c r="FY153" s="938"/>
      <c r="GA153" s="938"/>
      <c r="GC153" s="938"/>
      <c r="GE153" s="938"/>
      <c r="GG153" s="938"/>
      <c r="GI153" s="938"/>
      <c r="GK153" s="938"/>
      <c r="GM153" s="938"/>
      <c r="GO153" s="938"/>
      <c r="GQ153" s="938"/>
      <c r="GS153" s="938"/>
      <c r="GU153" s="938"/>
      <c r="GW153" s="938"/>
      <c r="GY153" s="938"/>
      <c r="HA153" s="938"/>
      <c r="HC153" s="938"/>
      <c r="HE153" s="938"/>
      <c r="HG153" s="938"/>
      <c r="HI153" s="938"/>
      <c r="HK153" s="938"/>
      <c r="HM153" s="938"/>
      <c r="HO153" s="938"/>
      <c r="HQ153" s="938"/>
      <c r="HS153" s="938"/>
      <c r="HU153" s="938"/>
      <c r="HW153" s="938"/>
      <c r="HY153" s="938"/>
      <c r="IA153" s="938"/>
      <c r="IC153" s="938"/>
      <c r="IE153" s="938"/>
      <c r="IG153" s="938"/>
      <c r="II153" s="938"/>
      <c r="IK153" s="938"/>
      <c r="IM153" s="938"/>
      <c r="IO153" s="938"/>
      <c r="IQ153" s="938"/>
      <c r="IS153" s="938"/>
      <c r="IT153" s="932"/>
      <c r="IU153" s="938"/>
      <c r="IW153" s="939"/>
      <c r="IX153" s="938"/>
      <c r="IY153" s="938"/>
      <c r="IZ153" s="938"/>
      <c r="JB153" s="940"/>
      <c r="JC153" s="940"/>
      <c r="JD153" s="940"/>
      <c r="JE153" s="940"/>
      <c r="JF153" s="940"/>
      <c r="JG153" s="940"/>
      <c r="JH153" s="940"/>
      <c r="JI153" s="940"/>
      <c r="JJ153" s="940"/>
      <c r="JK153" s="940"/>
      <c r="JL153" s="940"/>
      <c r="JM153" s="940"/>
      <c r="JN153" s="940"/>
      <c r="JO153" s="940"/>
      <c r="JP153" s="940"/>
      <c r="JQ153" s="940"/>
      <c r="JR153" s="940"/>
      <c r="JS153" s="940"/>
      <c r="JT153" s="940"/>
      <c r="JU153" s="940"/>
      <c r="JV153" s="940"/>
      <c r="JW153" s="940"/>
      <c r="JX153" s="940"/>
      <c r="JY153" s="940"/>
      <c r="JZ153" s="940"/>
      <c r="KA153" s="940"/>
      <c r="KB153" s="940"/>
      <c r="KC153" s="940"/>
      <c r="KD153" s="940"/>
      <c r="KE153" s="940"/>
      <c r="KF153" s="940"/>
      <c r="KG153" s="940"/>
      <c r="KH153" s="940"/>
      <c r="KI153" s="940"/>
      <c r="KJ153" s="940"/>
      <c r="KK153" s="940"/>
      <c r="KL153" s="940"/>
      <c r="KM153" s="940"/>
      <c r="KN153" s="940"/>
      <c r="KO153" s="940"/>
      <c r="KP153" s="940"/>
      <c r="KQ153" s="940"/>
      <c r="KR153" s="940"/>
      <c r="KS153" s="940"/>
      <c r="KT153" s="940"/>
      <c r="KU153" s="940"/>
      <c r="KV153" s="940"/>
      <c r="KW153" s="940"/>
      <c r="KX153" s="940"/>
      <c r="KY153" s="940"/>
      <c r="KZ153" s="940"/>
      <c r="LA153" s="940"/>
      <c r="LB153" s="940"/>
      <c r="LC153" s="940"/>
      <c r="LD153" s="940"/>
      <c r="LE153" s="940"/>
      <c r="LF153" s="940"/>
      <c r="LG153" s="940"/>
      <c r="LH153" s="940"/>
    </row>
    <row r="154" spans="1:320" s="462" customFormat="1" ht="15" hidden="1" customHeight="1" outlineLevel="1" x14ac:dyDescent="0.25">
      <c r="A154" s="1205">
        <v>42370</v>
      </c>
      <c r="B154" s="1205"/>
      <c r="C154" s="463"/>
      <c r="D154" s="461"/>
      <c r="H154" s="932"/>
      <c r="I154" s="37"/>
      <c r="J154" s="932"/>
      <c r="K154" s="37"/>
      <c r="L154" s="932"/>
      <c r="M154" s="37"/>
      <c r="N154" s="932"/>
      <c r="O154" s="37"/>
      <c r="P154" s="932"/>
      <c r="Q154" s="37"/>
      <c r="R154" s="932"/>
      <c r="S154" s="37"/>
      <c r="T154" s="37"/>
      <c r="U154" s="37"/>
      <c r="V154" s="932"/>
      <c r="W154" s="37"/>
      <c r="X154" s="932"/>
      <c r="Y154" s="37"/>
      <c r="Z154" s="932"/>
      <c r="AA154" s="37"/>
      <c r="AB154" s="932"/>
      <c r="AC154" s="37"/>
      <c r="AD154" s="932"/>
      <c r="AE154" s="37"/>
      <c r="AF154" s="932"/>
      <c r="AG154" s="37"/>
      <c r="AH154" s="37"/>
      <c r="AI154" s="37"/>
      <c r="AJ154" s="932"/>
      <c r="AK154" s="37"/>
      <c r="AL154" s="932"/>
      <c r="AM154" s="37"/>
      <c r="AN154" s="932"/>
      <c r="AO154" s="37"/>
      <c r="AP154" s="932"/>
      <c r="AQ154" s="37"/>
      <c r="AR154" s="37"/>
      <c r="AS154" s="37"/>
      <c r="AT154" s="37"/>
      <c r="AU154" s="37"/>
      <c r="AV154" s="37"/>
      <c r="AW154" s="37"/>
      <c r="AX154" s="932"/>
      <c r="AY154" s="37"/>
      <c r="AZ154" s="932"/>
      <c r="BA154" s="37"/>
      <c r="BB154" s="932"/>
      <c r="BC154" s="37"/>
      <c r="BD154" s="932"/>
      <c r="BE154" s="37"/>
      <c r="BF154" s="932"/>
      <c r="BG154" s="37"/>
      <c r="BH154" s="37"/>
      <c r="BI154" s="37"/>
      <c r="BJ154" s="37"/>
      <c r="BK154" s="37"/>
      <c r="BL154" s="932"/>
      <c r="BM154" s="37"/>
      <c r="BN154" s="932"/>
      <c r="BO154" s="37"/>
      <c r="BP154" s="932"/>
      <c r="BQ154" s="37"/>
      <c r="BR154" s="932"/>
      <c r="BS154" s="37"/>
      <c r="BT154" s="932"/>
      <c r="BU154" s="932"/>
      <c r="BV154" s="932"/>
      <c r="BW154" s="932"/>
      <c r="BX154" s="37"/>
      <c r="BY154" s="37"/>
      <c r="BZ154" s="932"/>
      <c r="CA154" s="37"/>
      <c r="CB154" s="932"/>
      <c r="CC154" s="37"/>
      <c r="CD154" s="932"/>
      <c r="CE154" s="37"/>
      <c r="CF154" s="932"/>
      <c r="CG154" s="37"/>
      <c r="CH154" s="932"/>
      <c r="CI154" s="932"/>
      <c r="CJ154" s="932"/>
      <c r="CK154" s="932"/>
      <c r="CL154" s="37"/>
      <c r="CM154" s="37"/>
      <c r="CN154" s="932"/>
      <c r="CO154" s="37"/>
      <c r="CP154" s="932"/>
      <c r="CQ154" s="37"/>
      <c r="CR154" s="932"/>
      <c r="CS154" s="37"/>
      <c r="CT154" s="932"/>
      <c r="CU154" s="37"/>
      <c r="CV154" s="932"/>
      <c r="CW154" s="932"/>
      <c r="CX154" s="932"/>
      <c r="CY154" s="932"/>
      <c r="CZ154" s="37"/>
      <c r="DA154" s="37"/>
      <c r="DB154" s="932"/>
      <c r="DC154" s="37"/>
      <c r="DD154" s="932"/>
      <c r="DE154" s="37"/>
      <c r="DF154" s="932"/>
      <c r="DG154" s="37"/>
      <c r="DH154" s="932"/>
      <c r="DI154" s="37"/>
      <c r="DJ154" s="932"/>
      <c r="DK154" s="932"/>
      <c r="DL154" s="932"/>
      <c r="DM154" s="932"/>
      <c r="DN154" s="37"/>
      <c r="DO154" s="37"/>
      <c r="DP154" s="932"/>
      <c r="DQ154" s="37"/>
      <c r="DR154" s="932"/>
      <c r="DS154" s="37"/>
      <c r="DT154" s="932"/>
      <c r="DU154" s="37"/>
      <c r="DV154" s="932"/>
      <c r="DW154" s="37"/>
      <c r="DX154" s="932"/>
      <c r="DY154" s="932"/>
      <c r="DZ154" s="932"/>
      <c r="EA154" s="932"/>
      <c r="EB154" s="37"/>
      <c r="EC154" s="37"/>
      <c r="EE154" s="941"/>
      <c r="EG154" s="938"/>
      <c r="EI154" s="938"/>
      <c r="EK154" s="938"/>
      <c r="EM154" s="938"/>
      <c r="EO154" s="938"/>
      <c r="EQ154" s="938"/>
      <c r="ES154" s="938"/>
      <c r="EU154" s="938"/>
      <c r="EW154" s="938"/>
      <c r="EY154" s="938"/>
      <c r="FA154" s="938"/>
      <c r="FC154" s="938"/>
      <c r="FE154" s="938"/>
      <c r="FG154" s="938"/>
      <c r="FI154" s="938"/>
      <c r="FK154" s="938"/>
      <c r="FM154" s="938"/>
      <c r="FO154" s="938"/>
      <c r="FQ154" s="938"/>
      <c r="FS154" s="938"/>
      <c r="FU154" s="938"/>
      <c r="FW154" s="938"/>
      <c r="FY154" s="938"/>
      <c r="GA154" s="938"/>
      <c r="GC154" s="938"/>
      <c r="GE154" s="938"/>
      <c r="GG154" s="938"/>
      <c r="GI154" s="938"/>
      <c r="GK154" s="938"/>
      <c r="GM154" s="938"/>
      <c r="GO154" s="938"/>
      <c r="GQ154" s="938"/>
      <c r="GS154" s="938"/>
      <c r="GU154" s="938"/>
      <c r="GW154" s="938"/>
      <c r="GY154" s="938"/>
      <c r="HA154" s="938"/>
      <c r="HC154" s="938"/>
      <c r="HE154" s="938"/>
      <c r="HG154" s="938"/>
      <c r="HI154" s="938"/>
      <c r="HK154" s="938"/>
      <c r="HM154" s="938"/>
      <c r="HO154" s="938"/>
      <c r="HQ154" s="938"/>
      <c r="HS154" s="938"/>
      <c r="HU154" s="938"/>
      <c r="HW154" s="938"/>
      <c r="HY154" s="938"/>
      <c r="IA154" s="938"/>
      <c r="IC154" s="938"/>
      <c r="IE154" s="938"/>
      <c r="IG154" s="938"/>
      <c r="II154" s="938"/>
      <c r="IK154" s="938"/>
      <c r="IM154" s="938"/>
      <c r="IO154" s="938"/>
      <c r="IQ154" s="938"/>
      <c r="IS154" s="938"/>
      <c r="IT154" s="932"/>
      <c r="IU154" s="938"/>
      <c r="IW154" s="939"/>
      <c r="IX154" s="938"/>
      <c r="IY154" s="938"/>
      <c r="IZ154" s="938"/>
      <c r="JB154" s="940"/>
      <c r="JC154" s="940"/>
      <c r="JD154" s="940"/>
      <c r="JE154" s="940"/>
      <c r="JF154" s="940"/>
      <c r="JG154" s="940"/>
      <c r="JH154" s="940"/>
      <c r="JI154" s="940"/>
      <c r="JJ154" s="940"/>
      <c r="JK154" s="940"/>
      <c r="JL154" s="940"/>
      <c r="JM154" s="940"/>
      <c r="JN154" s="940"/>
      <c r="JO154" s="940"/>
      <c r="JP154" s="940"/>
      <c r="JQ154" s="940"/>
      <c r="JR154" s="940"/>
      <c r="JS154" s="940"/>
      <c r="JT154" s="940"/>
      <c r="JU154" s="940"/>
      <c r="JV154" s="940"/>
      <c r="JW154" s="940"/>
      <c r="JX154" s="940"/>
      <c r="JY154" s="940"/>
      <c r="JZ154" s="940"/>
      <c r="KA154" s="940"/>
      <c r="KB154" s="940"/>
      <c r="KC154" s="940"/>
      <c r="KD154" s="940"/>
      <c r="KE154" s="940"/>
      <c r="KF154" s="940"/>
      <c r="KG154" s="940"/>
      <c r="KH154" s="940"/>
      <c r="KI154" s="940"/>
      <c r="KJ154" s="940"/>
      <c r="KK154" s="940"/>
      <c r="KL154" s="940"/>
      <c r="KM154" s="940"/>
      <c r="KN154" s="940"/>
      <c r="KO154" s="940"/>
      <c r="KP154" s="940"/>
      <c r="KQ154" s="940"/>
      <c r="KR154" s="940"/>
      <c r="KS154" s="940"/>
      <c r="KT154" s="940"/>
      <c r="KU154" s="940"/>
      <c r="KV154" s="940"/>
      <c r="KW154" s="940"/>
      <c r="KX154" s="940"/>
      <c r="KY154" s="940"/>
      <c r="KZ154" s="940"/>
      <c r="LA154" s="940"/>
      <c r="LB154" s="940"/>
      <c r="LC154" s="940"/>
      <c r="LD154" s="940"/>
      <c r="LE154" s="940"/>
      <c r="LF154" s="940"/>
      <c r="LG154" s="940"/>
      <c r="LH154" s="940"/>
    </row>
    <row r="155" spans="1:320" s="462" customFormat="1" ht="15" hidden="1" customHeight="1" outlineLevel="1" x14ac:dyDescent="0.25">
      <c r="A155" s="1205">
        <v>42387</v>
      </c>
      <c r="B155" s="1205"/>
      <c r="C155" s="463"/>
      <c r="D155" s="461"/>
      <c r="H155" s="932"/>
      <c r="I155" s="37"/>
      <c r="J155" s="932"/>
      <c r="K155" s="37"/>
      <c r="L155" s="932"/>
      <c r="M155" s="37"/>
      <c r="N155" s="932"/>
      <c r="O155" s="37"/>
      <c r="P155" s="932"/>
      <c r="Q155" s="37"/>
      <c r="R155" s="932"/>
      <c r="S155" s="37"/>
      <c r="T155" s="37"/>
      <c r="U155" s="37"/>
      <c r="V155" s="932"/>
      <c r="W155" s="37"/>
      <c r="X155" s="932"/>
      <c r="Y155" s="37"/>
      <c r="Z155" s="932"/>
      <c r="AA155" s="37"/>
      <c r="AB155" s="932"/>
      <c r="AC155" s="37"/>
      <c r="AD155" s="932"/>
      <c r="AE155" s="37"/>
      <c r="AF155" s="932"/>
      <c r="AG155" s="37"/>
      <c r="AH155" s="37"/>
      <c r="AI155" s="37"/>
      <c r="AJ155" s="932"/>
      <c r="AK155" s="37"/>
      <c r="AL155" s="932"/>
      <c r="AM155" s="37"/>
      <c r="AN155" s="932"/>
      <c r="AO155" s="37"/>
      <c r="AP155" s="932"/>
      <c r="AQ155" s="37"/>
      <c r="AR155" s="37"/>
      <c r="AS155" s="37"/>
      <c r="AT155" s="37"/>
      <c r="AU155" s="37"/>
      <c r="AV155" s="37"/>
      <c r="AW155" s="37"/>
      <c r="AX155" s="932"/>
      <c r="AY155" s="37"/>
      <c r="AZ155" s="932"/>
      <c r="BA155" s="37"/>
      <c r="BB155" s="932"/>
      <c r="BC155" s="37"/>
      <c r="BD155" s="932"/>
      <c r="BE155" s="37"/>
      <c r="BF155" s="932"/>
      <c r="BG155" s="37"/>
      <c r="BH155" s="37"/>
      <c r="BI155" s="37"/>
      <c r="BJ155" s="37"/>
      <c r="BK155" s="37"/>
      <c r="BL155" s="932"/>
      <c r="BM155" s="37"/>
      <c r="BN155" s="932"/>
      <c r="BO155" s="37"/>
      <c r="BP155" s="932"/>
      <c r="BQ155" s="37"/>
      <c r="BR155" s="932"/>
      <c r="BS155" s="37"/>
      <c r="BT155" s="932"/>
      <c r="BU155" s="932"/>
      <c r="BV155" s="932"/>
      <c r="BW155" s="932"/>
      <c r="BX155" s="37"/>
      <c r="BY155" s="37"/>
      <c r="BZ155" s="932"/>
      <c r="CA155" s="37"/>
      <c r="CB155" s="932"/>
      <c r="CC155" s="37"/>
      <c r="CD155" s="932"/>
      <c r="CE155" s="37"/>
      <c r="CF155" s="932"/>
      <c r="CG155" s="37"/>
      <c r="CH155" s="932"/>
      <c r="CI155" s="932"/>
      <c r="CJ155" s="932"/>
      <c r="CK155" s="932"/>
      <c r="CL155" s="37"/>
      <c r="CM155" s="37"/>
      <c r="CN155" s="932"/>
      <c r="CO155" s="37"/>
      <c r="CP155" s="932"/>
      <c r="CQ155" s="37"/>
      <c r="CR155" s="932"/>
      <c r="CS155" s="37"/>
      <c r="CT155" s="932"/>
      <c r="CU155" s="37"/>
      <c r="CV155" s="932"/>
      <c r="CW155" s="932"/>
      <c r="CX155" s="932"/>
      <c r="CY155" s="932"/>
      <c r="CZ155" s="37"/>
      <c r="DA155" s="37"/>
      <c r="DB155" s="932"/>
      <c r="DC155" s="37"/>
      <c r="DD155" s="932"/>
      <c r="DE155" s="37"/>
      <c r="DF155" s="932"/>
      <c r="DG155" s="37"/>
      <c r="DH155" s="932"/>
      <c r="DI155" s="37"/>
      <c r="DJ155" s="932"/>
      <c r="DK155" s="932"/>
      <c r="DL155" s="932"/>
      <c r="DM155" s="932"/>
      <c r="DN155" s="37"/>
      <c r="DO155" s="37"/>
      <c r="DP155" s="932"/>
      <c r="DQ155" s="37"/>
      <c r="DR155" s="932"/>
      <c r="DS155" s="37"/>
      <c r="DT155" s="932"/>
      <c r="DU155" s="37"/>
      <c r="DV155" s="932"/>
      <c r="DW155" s="37"/>
      <c r="DX155" s="932"/>
      <c r="DY155" s="932"/>
      <c r="DZ155" s="932"/>
      <c r="EA155" s="932"/>
      <c r="EB155" s="37"/>
      <c r="EC155" s="37"/>
      <c r="EE155" s="941"/>
      <c r="EG155" s="938"/>
      <c r="EI155" s="938"/>
      <c r="EK155" s="938"/>
      <c r="EM155" s="938"/>
      <c r="EO155" s="938"/>
      <c r="EQ155" s="938"/>
      <c r="ES155" s="938"/>
      <c r="EU155" s="938"/>
      <c r="EW155" s="938"/>
      <c r="EY155" s="938"/>
      <c r="FA155" s="938"/>
      <c r="FC155" s="938"/>
      <c r="FE155" s="938"/>
      <c r="FG155" s="938"/>
      <c r="FI155" s="938"/>
      <c r="FK155" s="938"/>
      <c r="FM155" s="938"/>
      <c r="FO155" s="938"/>
      <c r="FQ155" s="938"/>
      <c r="FS155" s="938"/>
      <c r="FU155" s="938"/>
      <c r="FW155" s="938"/>
      <c r="FY155" s="938"/>
      <c r="GA155" s="938"/>
      <c r="GC155" s="938"/>
      <c r="GE155" s="938"/>
      <c r="GG155" s="938"/>
      <c r="GI155" s="938"/>
      <c r="GK155" s="938"/>
      <c r="GM155" s="938"/>
      <c r="GO155" s="938"/>
      <c r="GQ155" s="938"/>
      <c r="GS155" s="938"/>
      <c r="GU155" s="938"/>
      <c r="GW155" s="938"/>
      <c r="GY155" s="938"/>
      <c r="HA155" s="938"/>
      <c r="HC155" s="938"/>
      <c r="HE155" s="938"/>
      <c r="HG155" s="938"/>
      <c r="HI155" s="938"/>
      <c r="HK155" s="938"/>
      <c r="HM155" s="938"/>
      <c r="HO155" s="938"/>
      <c r="HQ155" s="938"/>
      <c r="HS155" s="938"/>
      <c r="HU155" s="938"/>
      <c r="HW155" s="938"/>
      <c r="HY155" s="938"/>
      <c r="IA155" s="938"/>
      <c r="IC155" s="938"/>
      <c r="IE155" s="938"/>
      <c r="IG155" s="938"/>
      <c r="II155" s="938"/>
      <c r="IK155" s="938"/>
      <c r="IM155" s="938"/>
      <c r="IO155" s="938"/>
      <c r="IQ155" s="938"/>
      <c r="IS155" s="938"/>
      <c r="IT155" s="932"/>
      <c r="IU155" s="938"/>
      <c r="IW155" s="939"/>
      <c r="IX155" s="938"/>
      <c r="IY155" s="938"/>
      <c r="IZ155" s="938"/>
      <c r="JB155" s="940"/>
      <c r="JC155" s="940"/>
      <c r="JD155" s="940"/>
      <c r="JE155" s="940"/>
      <c r="JF155" s="940"/>
      <c r="JG155" s="940"/>
      <c r="JH155" s="940"/>
      <c r="JI155" s="940"/>
      <c r="JJ155" s="940"/>
      <c r="JK155" s="940"/>
      <c r="JL155" s="940"/>
      <c r="JM155" s="940"/>
      <c r="JN155" s="940"/>
      <c r="JO155" s="940"/>
      <c r="JP155" s="940"/>
      <c r="JQ155" s="940"/>
      <c r="JR155" s="940"/>
      <c r="JS155" s="940"/>
      <c r="JT155" s="940"/>
      <c r="JU155" s="940"/>
      <c r="JV155" s="940"/>
      <c r="JW155" s="940"/>
      <c r="JX155" s="940"/>
      <c r="JY155" s="940"/>
      <c r="JZ155" s="940"/>
      <c r="KA155" s="940"/>
      <c r="KB155" s="940"/>
      <c r="KC155" s="940"/>
      <c r="KD155" s="940"/>
      <c r="KE155" s="940"/>
      <c r="KF155" s="940"/>
      <c r="KG155" s="940"/>
      <c r="KH155" s="940"/>
      <c r="KI155" s="940"/>
      <c r="KJ155" s="940"/>
      <c r="KK155" s="940"/>
      <c r="KL155" s="940"/>
      <c r="KM155" s="940"/>
      <c r="KN155" s="940"/>
      <c r="KO155" s="940"/>
      <c r="KP155" s="940"/>
      <c r="KQ155" s="940"/>
      <c r="KR155" s="940"/>
      <c r="KS155" s="940"/>
      <c r="KT155" s="940"/>
      <c r="KU155" s="940"/>
      <c r="KV155" s="940"/>
      <c r="KW155" s="940"/>
      <c r="KX155" s="940"/>
      <c r="KY155" s="940"/>
      <c r="KZ155" s="940"/>
      <c r="LA155" s="940"/>
      <c r="LB155" s="940"/>
      <c r="LC155" s="940"/>
      <c r="LD155" s="940"/>
      <c r="LE155" s="940"/>
      <c r="LF155" s="940"/>
      <c r="LG155" s="940"/>
      <c r="LH155" s="940"/>
    </row>
    <row r="156" spans="1:320" s="462" customFormat="1" ht="15" hidden="1" customHeight="1" outlineLevel="1" x14ac:dyDescent="0.25">
      <c r="A156" s="1205">
        <v>42454</v>
      </c>
      <c r="B156" s="1205"/>
      <c r="C156" s="463"/>
      <c r="D156" s="461"/>
      <c r="H156" s="932"/>
      <c r="I156" s="37"/>
      <c r="J156" s="932"/>
      <c r="K156" s="37"/>
      <c r="L156" s="932"/>
      <c r="M156" s="37"/>
      <c r="N156" s="932"/>
      <c r="O156" s="37"/>
      <c r="P156" s="932"/>
      <c r="Q156" s="37"/>
      <c r="R156" s="932"/>
      <c r="S156" s="37"/>
      <c r="T156" s="37"/>
      <c r="U156" s="37"/>
      <c r="V156" s="932"/>
      <c r="W156" s="37"/>
      <c r="X156" s="932"/>
      <c r="Y156" s="37"/>
      <c r="Z156" s="932"/>
      <c r="AA156" s="37"/>
      <c r="AB156" s="932"/>
      <c r="AC156" s="37"/>
      <c r="AD156" s="932"/>
      <c r="AE156" s="37"/>
      <c r="AF156" s="932"/>
      <c r="AG156" s="37"/>
      <c r="AH156" s="37"/>
      <c r="AI156" s="37"/>
      <c r="AJ156" s="932"/>
      <c r="AK156" s="37"/>
      <c r="AL156" s="932"/>
      <c r="AM156" s="37"/>
      <c r="AN156" s="932"/>
      <c r="AO156" s="37"/>
      <c r="AP156" s="932"/>
      <c r="AQ156" s="37"/>
      <c r="AR156" s="37"/>
      <c r="AS156" s="37"/>
      <c r="AT156" s="37"/>
      <c r="AU156" s="37"/>
      <c r="AV156" s="37"/>
      <c r="AW156" s="37"/>
      <c r="AX156" s="932"/>
      <c r="AY156" s="37"/>
      <c r="AZ156" s="932"/>
      <c r="BA156" s="37"/>
      <c r="BB156" s="932"/>
      <c r="BC156" s="37"/>
      <c r="BD156" s="932"/>
      <c r="BE156" s="37"/>
      <c r="BF156" s="932"/>
      <c r="BG156" s="37"/>
      <c r="BH156" s="37"/>
      <c r="BI156" s="37"/>
      <c r="BJ156" s="37"/>
      <c r="BK156" s="37"/>
      <c r="BL156" s="932"/>
      <c r="BM156" s="37"/>
      <c r="BN156" s="932"/>
      <c r="BO156" s="37"/>
      <c r="BP156" s="932"/>
      <c r="BQ156" s="37"/>
      <c r="BR156" s="932"/>
      <c r="BS156" s="37"/>
      <c r="BT156" s="932"/>
      <c r="BU156" s="932"/>
      <c r="BV156" s="932"/>
      <c r="BW156" s="932"/>
      <c r="BX156" s="37"/>
      <c r="BY156" s="37"/>
      <c r="BZ156" s="932"/>
      <c r="CA156" s="37"/>
      <c r="CB156" s="932"/>
      <c r="CC156" s="37"/>
      <c r="CD156" s="932"/>
      <c r="CE156" s="37"/>
      <c r="CF156" s="932"/>
      <c r="CG156" s="37"/>
      <c r="CH156" s="932"/>
      <c r="CI156" s="932"/>
      <c r="CJ156" s="932"/>
      <c r="CK156" s="932"/>
      <c r="CL156" s="37"/>
      <c r="CM156" s="37"/>
      <c r="CN156" s="932"/>
      <c r="CO156" s="37"/>
      <c r="CP156" s="932"/>
      <c r="CQ156" s="37"/>
      <c r="CR156" s="932"/>
      <c r="CS156" s="37"/>
      <c r="CT156" s="932"/>
      <c r="CU156" s="37"/>
      <c r="CV156" s="932"/>
      <c r="CW156" s="932"/>
      <c r="CX156" s="932"/>
      <c r="CY156" s="932"/>
      <c r="CZ156" s="37"/>
      <c r="DA156" s="37"/>
      <c r="DB156" s="932"/>
      <c r="DC156" s="37"/>
      <c r="DD156" s="932"/>
      <c r="DE156" s="37"/>
      <c r="DF156" s="932"/>
      <c r="DG156" s="37"/>
      <c r="DH156" s="932"/>
      <c r="DI156" s="37"/>
      <c r="DJ156" s="932"/>
      <c r="DK156" s="932"/>
      <c r="DL156" s="932"/>
      <c r="DM156" s="932"/>
      <c r="DN156" s="37"/>
      <c r="DO156" s="37"/>
      <c r="DP156" s="932"/>
      <c r="DQ156" s="37"/>
      <c r="DR156" s="932"/>
      <c r="DS156" s="37"/>
      <c r="DT156" s="932"/>
      <c r="DU156" s="37"/>
      <c r="DV156" s="932"/>
      <c r="DW156" s="37"/>
      <c r="DX156" s="932"/>
      <c r="DY156" s="932"/>
      <c r="DZ156" s="932"/>
      <c r="EA156" s="932"/>
      <c r="EB156" s="37"/>
      <c r="EC156" s="37"/>
      <c r="EE156" s="941"/>
      <c r="EG156" s="938"/>
      <c r="EI156" s="938"/>
      <c r="EK156" s="938"/>
      <c r="EM156" s="938"/>
      <c r="EO156" s="938"/>
      <c r="EQ156" s="938"/>
      <c r="ES156" s="938"/>
      <c r="EU156" s="938"/>
      <c r="EW156" s="938"/>
      <c r="EY156" s="938"/>
      <c r="FA156" s="938"/>
      <c r="FC156" s="938"/>
      <c r="FE156" s="938"/>
      <c r="FG156" s="938"/>
      <c r="FI156" s="938"/>
      <c r="FK156" s="938"/>
      <c r="FM156" s="938"/>
      <c r="FO156" s="938"/>
      <c r="FQ156" s="938"/>
      <c r="FS156" s="938"/>
      <c r="FU156" s="938"/>
      <c r="FW156" s="938"/>
      <c r="FY156" s="938"/>
      <c r="GA156" s="938"/>
      <c r="GC156" s="938"/>
      <c r="GE156" s="938"/>
      <c r="GG156" s="938"/>
      <c r="GI156" s="938"/>
      <c r="GK156" s="938"/>
      <c r="GM156" s="938"/>
      <c r="GO156" s="938"/>
      <c r="GQ156" s="938"/>
      <c r="GS156" s="938"/>
      <c r="GU156" s="938"/>
      <c r="GW156" s="938"/>
      <c r="GY156" s="938"/>
      <c r="HA156" s="938"/>
      <c r="HC156" s="938"/>
      <c r="HE156" s="938"/>
      <c r="HG156" s="938"/>
      <c r="HI156" s="938"/>
      <c r="HK156" s="938"/>
      <c r="HM156" s="938"/>
      <c r="HO156" s="938"/>
      <c r="HQ156" s="938"/>
      <c r="HS156" s="938"/>
      <c r="HU156" s="938"/>
      <c r="HW156" s="938"/>
      <c r="HY156" s="938"/>
      <c r="IA156" s="938"/>
      <c r="IC156" s="938"/>
      <c r="IE156" s="938"/>
      <c r="IG156" s="938"/>
      <c r="II156" s="938"/>
      <c r="IK156" s="938"/>
      <c r="IM156" s="938"/>
      <c r="IO156" s="938"/>
      <c r="IQ156" s="938"/>
      <c r="IS156" s="938"/>
      <c r="IT156" s="932"/>
      <c r="IU156" s="938"/>
      <c r="IW156" s="939"/>
      <c r="IX156" s="938"/>
      <c r="IY156" s="938"/>
      <c r="IZ156" s="938"/>
      <c r="JB156" s="940"/>
      <c r="JC156" s="940"/>
      <c r="JD156" s="940"/>
      <c r="JE156" s="940"/>
      <c r="JF156" s="940"/>
      <c r="JG156" s="940"/>
      <c r="JH156" s="940"/>
      <c r="JI156" s="940"/>
      <c r="JJ156" s="940"/>
      <c r="JK156" s="940"/>
      <c r="JL156" s="940"/>
      <c r="JM156" s="940"/>
      <c r="JN156" s="940"/>
      <c r="JO156" s="940"/>
      <c r="JP156" s="940"/>
      <c r="JQ156" s="940"/>
      <c r="JR156" s="940"/>
      <c r="JS156" s="940"/>
      <c r="JT156" s="940"/>
      <c r="JU156" s="940"/>
      <c r="JV156" s="940"/>
      <c r="JW156" s="940"/>
      <c r="JX156" s="940"/>
      <c r="JY156" s="940"/>
      <c r="JZ156" s="940"/>
      <c r="KA156" s="940"/>
      <c r="KB156" s="940"/>
      <c r="KC156" s="940"/>
      <c r="KD156" s="940"/>
      <c r="KE156" s="940"/>
      <c r="KF156" s="940"/>
      <c r="KG156" s="940"/>
      <c r="KH156" s="940"/>
      <c r="KI156" s="940"/>
      <c r="KJ156" s="940"/>
      <c r="KK156" s="940"/>
      <c r="KL156" s="940"/>
      <c r="KM156" s="940"/>
      <c r="KN156" s="940"/>
      <c r="KO156" s="940"/>
      <c r="KP156" s="940"/>
      <c r="KQ156" s="940"/>
      <c r="KR156" s="940"/>
      <c r="KS156" s="940"/>
      <c r="KT156" s="940"/>
      <c r="KU156" s="940"/>
      <c r="KV156" s="940"/>
      <c r="KW156" s="940"/>
      <c r="KX156" s="940"/>
      <c r="KY156" s="940"/>
      <c r="KZ156" s="940"/>
      <c r="LA156" s="940"/>
      <c r="LB156" s="940"/>
      <c r="LC156" s="940"/>
      <c r="LD156" s="940"/>
      <c r="LE156" s="940"/>
      <c r="LF156" s="940"/>
      <c r="LG156" s="940"/>
      <c r="LH156" s="940"/>
    </row>
    <row r="157" spans="1:320" s="462" customFormat="1" ht="15" hidden="1" customHeight="1" outlineLevel="1" x14ac:dyDescent="0.25">
      <c r="A157" s="1205">
        <v>42520</v>
      </c>
      <c r="B157" s="1205"/>
      <c r="C157" s="463"/>
      <c r="D157" s="461"/>
      <c r="H157" s="932"/>
      <c r="I157" s="37"/>
      <c r="J157" s="932"/>
      <c r="K157" s="37"/>
      <c r="L157" s="932"/>
      <c r="M157" s="37"/>
      <c r="N157" s="932"/>
      <c r="O157" s="37"/>
      <c r="P157" s="932"/>
      <c r="Q157" s="37"/>
      <c r="R157" s="932"/>
      <c r="S157" s="37"/>
      <c r="T157" s="37"/>
      <c r="U157" s="37"/>
      <c r="V157" s="932"/>
      <c r="W157" s="37"/>
      <c r="X157" s="932"/>
      <c r="Y157" s="37"/>
      <c r="Z157" s="932"/>
      <c r="AA157" s="37"/>
      <c r="AB157" s="932"/>
      <c r="AC157" s="37"/>
      <c r="AD157" s="932"/>
      <c r="AE157" s="37"/>
      <c r="AF157" s="932"/>
      <c r="AG157" s="37"/>
      <c r="AH157" s="37"/>
      <c r="AI157" s="37"/>
      <c r="AJ157" s="932"/>
      <c r="AK157" s="37"/>
      <c r="AL157" s="932"/>
      <c r="AM157" s="37"/>
      <c r="AN157" s="932"/>
      <c r="AO157" s="37"/>
      <c r="AP157" s="932"/>
      <c r="AQ157" s="37"/>
      <c r="AR157" s="37"/>
      <c r="AS157" s="37"/>
      <c r="AT157" s="37"/>
      <c r="AU157" s="37"/>
      <c r="AV157" s="37"/>
      <c r="AW157" s="37"/>
      <c r="AX157" s="932"/>
      <c r="AY157" s="37"/>
      <c r="AZ157" s="932"/>
      <c r="BA157" s="37"/>
      <c r="BB157" s="932"/>
      <c r="BC157" s="37"/>
      <c r="BD157" s="932"/>
      <c r="BE157" s="37"/>
      <c r="BF157" s="932"/>
      <c r="BG157" s="37"/>
      <c r="BH157" s="37"/>
      <c r="BI157" s="37"/>
      <c r="BJ157" s="37"/>
      <c r="BK157" s="37"/>
      <c r="BL157" s="932"/>
      <c r="BM157" s="37"/>
      <c r="BN157" s="932"/>
      <c r="BO157" s="37"/>
      <c r="BP157" s="932"/>
      <c r="BQ157" s="37"/>
      <c r="BR157" s="932"/>
      <c r="BS157" s="37"/>
      <c r="BT157" s="932"/>
      <c r="BU157" s="932"/>
      <c r="BV157" s="932"/>
      <c r="BW157" s="932"/>
      <c r="BX157" s="37"/>
      <c r="BY157" s="37"/>
      <c r="BZ157" s="932"/>
      <c r="CA157" s="37"/>
      <c r="CB157" s="932"/>
      <c r="CC157" s="37"/>
      <c r="CD157" s="932"/>
      <c r="CE157" s="37"/>
      <c r="CF157" s="932"/>
      <c r="CG157" s="37"/>
      <c r="CH157" s="932"/>
      <c r="CI157" s="932"/>
      <c r="CJ157" s="932"/>
      <c r="CK157" s="932"/>
      <c r="CL157" s="37"/>
      <c r="CM157" s="37"/>
      <c r="CN157" s="932"/>
      <c r="CO157" s="37"/>
      <c r="CP157" s="932"/>
      <c r="CQ157" s="37"/>
      <c r="CR157" s="932"/>
      <c r="CS157" s="37"/>
      <c r="CT157" s="932"/>
      <c r="CU157" s="37"/>
      <c r="CV157" s="932"/>
      <c r="CW157" s="932"/>
      <c r="CX157" s="932"/>
      <c r="CY157" s="932"/>
      <c r="CZ157" s="37"/>
      <c r="DA157" s="37"/>
      <c r="DB157" s="932"/>
      <c r="DC157" s="37"/>
      <c r="DD157" s="932"/>
      <c r="DE157" s="37"/>
      <c r="DF157" s="932"/>
      <c r="DG157" s="37"/>
      <c r="DH157" s="932"/>
      <c r="DI157" s="37"/>
      <c r="DJ157" s="932"/>
      <c r="DK157" s="932"/>
      <c r="DL157" s="932"/>
      <c r="DM157" s="932"/>
      <c r="DN157" s="37"/>
      <c r="DO157" s="37"/>
      <c r="DP157" s="932"/>
      <c r="DQ157" s="37"/>
      <c r="DR157" s="932"/>
      <c r="DS157" s="37"/>
      <c r="DT157" s="932"/>
      <c r="DU157" s="37"/>
      <c r="DV157" s="932"/>
      <c r="DW157" s="37"/>
      <c r="DX157" s="932"/>
      <c r="DY157" s="932"/>
      <c r="DZ157" s="932"/>
      <c r="EA157" s="932"/>
      <c r="EB157" s="37"/>
      <c r="EC157" s="37"/>
      <c r="EE157" s="941"/>
      <c r="EG157" s="938"/>
      <c r="EI157" s="938"/>
      <c r="EK157" s="938"/>
      <c r="EM157" s="938"/>
      <c r="EO157" s="938"/>
      <c r="EQ157" s="938"/>
      <c r="ES157" s="938"/>
      <c r="EU157" s="938"/>
      <c r="EW157" s="938"/>
      <c r="EY157" s="938"/>
      <c r="FA157" s="938"/>
      <c r="FC157" s="938"/>
      <c r="FE157" s="938"/>
      <c r="FG157" s="938"/>
      <c r="FI157" s="938"/>
      <c r="FK157" s="938"/>
      <c r="FM157" s="938"/>
      <c r="FO157" s="938"/>
      <c r="FQ157" s="938"/>
      <c r="FS157" s="938"/>
      <c r="FU157" s="938"/>
      <c r="FW157" s="938"/>
      <c r="FY157" s="938"/>
      <c r="GA157" s="938"/>
      <c r="GC157" s="938"/>
      <c r="GE157" s="938"/>
      <c r="GG157" s="938"/>
      <c r="GI157" s="938"/>
      <c r="GK157" s="938"/>
      <c r="GM157" s="938"/>
      <c r="GO157" s="938"/>
      <c r="GQ157" s="938"/>
      <c r="GS157" s="938"/>
      <c r="GU157" s="938"/>
      <c r="GW157" s="938"/>
      <c r="GY157" s="938"/>
      <c r="HA157" s="938"/>
      <c r="HC157" s="938"/>
      <c r="HE157" s="938"/>
      <c r="HG157" s="938"/>
      <c r="HI157" s="938"/>
      <c r="HK157" s="938"/>
      <c r="HM157" s="938"/>
      <c r="HO157" s="938"/>
      <c r="HQ157" s="938"/>
      <c r="HS157" s="938"/>
      <c r="HU157" s="938"/>
      <c r="HW157" s="938"/>
      <c r="HY157" s="938"/>
      <c r="IA157" s="938"/>
      <c r="IC157" s="938"/>
      <c r="IE157" s="938"/>
      <c r="IG157" s="938"/>
      <c r="II157" s="938"/>
      <c r="IK157" s="938"/>
      <c r="IM157" s="938"/>
      <c r="IO157" s="938"/>
      <c r="IQ157" s="938"/>
      <c r="IS157" s="938"/>
      <c r="IT157" s="932"/>
      <c r="IU157" s="938"/>
      <c r="IW157" s="939"/>
      <c r="IX157" s="938"/>
      <c r="IY157" s="938"/>
      <c r="IZ157" s="938"/>
      <c r="JB157" s="940"/>
      <c r="JC157" s="940"/>
      <c r="JD157" s="940"/>
      <c r="JE157" s="940"/>
      <c r="JF157" s="940"/>
      <c r="JG157" s="940"/>
      <c r="JH157" s="940"/>
      <c r="JI157" s="940"/>
      <c r="JJ157" s="940"/>
      <c r="JK157" s="940"/>
      <c r="JL157" s="940"/>
      <c r="JM157" s="940"/>
      <c r="JN157" s="940"/>
      <c r="JO157" s="940"/>
      <c r="JP157" s="940"/>
      <c r="JQ157" s="940"/>
      <c r="JR157" s="940"/>
      <c r="JS157" s="940"/>
      <c r="JT157" s="940"/>
      <c r="JU157" s="940"/>
      <c r="JV157" s="940"/>
      <c r="JW157" s="940"/>
      <c r="JX157" s="940"/>
      <c r="JY157" s="940"/>
      <c r="JZ157" s="940"/>
      <c r="KA157" s="940"/>
      <c r="KB157" s="940"/>
      <c r="KC157" s="940"/>
      <c r="KD157" s="940"/>
      <c r="KE157" s="940"/>
      <c r="KF157" s="940"/>
      <c r="KG157" s="940"/>
      <c r="KH157" s="940"/>
      <c r="KI157" s="940"/>
      <c r="KJ157" s="940"/>
      <c r="KK157" s="940"/>
      <c r="KL157" s="940"/>
      <c r="KM157" s="940"/>
      <c r="KN157" s="940"/>
      <c r="KO157" s="940"/>
      <c r="KP157" s="940"/>
      <c r="KQ157" s="940"/>
      <c r="KR157" s="940"/>
      <c r="KS157" s="940"/>
      <c r="KT157" s="940"/>
      <c r="KU157" s="940"/>
      <c r="KV157" s="940"/>
      <c r="KW157" s="940"/>
      <c r="KX157" s="940"/>
      <c r="KY157" s="940"/>
      <c r="KZ157" s="940"/>
      <c r="LA157" s="940"/>
      <c r="LB157" s="940"/>
      <c r="LC157" s="940"/>
      <c r="LD157" s="940"/>
      <c r="LE157" s="940"/>
      <c r="LF157" s="940"/>
      <c r="LG157" s="940"/>
      <c r="LH157" s="940"/>
    </row>
    <row r="158" spans="1:320" s="462" customFormat="1" ht="15" hidden="1" customHeight="1" outlineLevel="1" x14ac:dyDescent="0.25">
      <c r="A158" s="1205">
        <v>42555</v>
      </c>
      <c r="B158" s="1205"/>
      <c r="C158" s="463"/>
      <c r="D158" s="461"/>
      <c r="H158" s="932"/>
      <c r="I158" s="37"/>
      <c r="J158" s="932"/>
      <c r="K158" s="37"/>
      <c r="L158" s="932"/>
      <c r="M158" s="37"/>
      <c r="N158" s="932"/>
      <c r="O158" s="37"/>
      <c r="P158" s="932"/>
      <c r="Q158" s="37"/>
      <c r="R158" s="932"/>
      <c r="S158" s="37"/>
      <c r="T158" s="37"/>
      <c r="U158" s="37"/>
      <c r="V158" s="932"/>
      <c r="W158" s="37"/>
      <c r="X158" s="932"/>
      <c r="Y158" s="37"/>
      <c r="Z158" s="932"/>
      <c r="AA158" s="37"/>
      <c r="AB158" s="932"/>
      <c r="AC158" s="37"/>
      <c r="AD158" s="932"/>
      <c r="AE158" s="37"/>
      <c r="AF158" s="932"/>
      <c r="AG158" s="37"/>
      <c r="AH158" s="37"/>
      <c r="AI158" s="37"/>
      <c r="AJ158" s="932"/>
      <c r="AK158" s="37"/>
      <c r="AL158" s="932"/>
      <c r="AM158" s="37"/>
      <c r="AN158" s="932"/>
      <c r="AO158" s="37"/>
      <c r="AP158" s="932"/>
      <c r="AQ158" s="37"/>
      <c r="AR158" s="37"/>
      <c r="AS158" s="37"/>
      <c r="AT158" s="37"/>
      <c r="AU158" s="37"/>
      <c r="AV158" s="37"/>
      <c r="AW158" s="37"/>
      <c r="AX158" s="932"/>
      <c r="AY158" s="37"/>
      <c r="AZ158" s="932"/>
      <c r="BA158" s="37"/>
      <c r="BB158" s="932"/>
      <c r="BC158" s="37"/>
      <c r="BD158" s="932"/>
      <c r="BE158" s="37"/>
      <c r="BF158" s="932"/>
      <c r="BG158" s="37"/>
      <c r="BH158" s="37"/>
      <c r="BI158" s="37"/>
      <c r="BJ158" s="37"/>
      <c r="BK158" s="37"/>
      <c r="BL158" s="932"/>
      <c r="BM158" s="37"/>
      <c r="BN158" s="932"/>
      <c r="BO158" s="37"/>
      <c r="BP158" s="932"/>
      <c r="BQ158" s="37"/>
      <c r="BR158" s="932"/>
      <c r="BS158" s="37"/>
      <c r="BT158" s="932"/>
      <c r="BU158" s="932"/>
      <c r="BV158" s="932"/>
      <c r="BW158" s="932"/>
      <c r="BX158" s="37"/>
      <c r="BY158" s="37"/>
      <c r="BZ158" s="932"/>
      <c r="CA158" s="37"/>
      <c r="CB158" s="932"/>
      <c r="CC158" s="37"/>
      <c r="CD158" s="932"/>
      <c r="CE158" s="37"/>
      <c r="CF158" s="932"/>
      <c r="CG158" s="37"/>
      <c r="CH158" s="932"/>
      <c r="CI158" s="932"/>
      <c r="CJ158" s="932"/>
      <c r="CK158" s="932"/>
      <c r="CL158" s="37"/>
      <c r="CM158" s="37"/>
      <c r="CN158" s="932"/>
      <c r="CO158" s="37"/>
      <c r="CP158" s="932"/>
      <c r="CQ158" s="37"/>
      <c r="CR158" s="932"/>
      <c r="CS158" s="37"/>
      <c r="CT158" s="932"/>
      <c r="CU158" s="37"/>
      <c r="CV158" s="932"/>
      <c r="CW158" s="932"/>
      <c r="CX158" s="932"/>
      <c r="CY158" s="932"/>
      <c r="CZ158" s="37"/>
      <c r="DA158" s="37"/>
      <c r="DB158" s="932"/>
      <c r="DC158" s="37"/>
      <c r="DD158" s="932"/>
      <c r="DE158" s="37"/>
      <c r="DF158" s="932"/>
      <c r="DG158" s="37"/>
      <c r="DH158" s="932"/>
      <c r="DI158" s="37"/>
      <c r="DJ158" s="932"/>
      <c r="DK158" s="932"/>
      <c r="DL158" s="932"/>
      <c r="DM158" s="932"/>
      <c r="DN158" s="37"/>
      <c r="DO158" s="37"/>
      <c r="DP158" s="932"/>
      <c r="DQ158" s="37"/>
      <c r="DR158" s="932"/>
      <c r="DS158" s="37"/>
      <c r="DT158" s="932"/>
      <c r="DU158" s="37"/>
      <c r="DV158" s="932"/>
      <c r="DW158" s="37"/>
      <c r="DX158" s="932"/>
      <c r="DY158" s="932"/>
      <c r="DZ158" s="932"/>
      <c r="EA158" s="932"/>
      <c r="EB158" s="37"/>
      <c r="EC158" s="37"/>
      <c r="EE158" s="941"/>
      <c r="EG158" s="938"/>
      <c r="EI158" s="938"/>
      <c r="EK158" s="938"/>
      <c r="EM158" s="938"/>
      <c r="EO158" s="938"/>
      <c r="EQ158" s="938"/>
      <c r="ES158" s="938"/>
      <c r="EU158" s="938"/>
      <c r="EW158" s="938"/>
      <c r="EY158" s="938"/>
      <c r="FA158" s="938"/>
      <c r="FC158" s="938"/>
      <c r="FE158" s="938"/>
      <c r="FG158" s="938"/>
      <c r="FI158" s="938"/>
      <c r="FK158" s="938"/>
      <c r="FM158" s="938"/>
      <c r="FO158" s="938"/>
      <c r="FQ158" s="938"/>
      <c r="FS158" s="938"/>
      <c r="FU158" s="938"/>
      <c r="FW158" s="938"/>
      <c r="FY158" s="938"/>
      <c r="GA158" s="938"/>
      <c r="GC158" s="938"/>
      <c r="GE158" s="938"/>
      <c r="GG158" s="938"/>
      <c r="GI158" s="938"/>
      <c r="GK158" s="938"/>
      <c r="GM158" s="938"/>
      <c r="GO158" s="938"/>
      <c r="GQ158" s="938"/>
      <c r="GS158" s="938"/>
      <c r="GU158" s="938"/>
      <c r="GW158" s="938"/>
      <c r="GY158" s="938"/>
      <c r="HA158" s="938"/>
      <c r="HC158" s="938"/>
      <c r="HE158" s="938"/>
      <c r="HG158" s="938"/>
      <c r="HI158" s="938"/>
      <c r="HK158" s="938"/>
      <c r="HM158" s="938"/>
      <c r="HO158" s="938"/>
      <c r="HQ158" s="938"/>
      <c r="HS158" s="938"/>
      <c r="HU158" s="938"/>
      <c r="HW158" s="938"/>
      <c r="HY158" s="938"/>
      <c r="IA158" s="938"/>
      <c r="IC158" s="938"/>
      <c r="IE158" s="938"/>
      <c r="IG158" s="938"/>
      <c r="II158" s="938"/>
      <c r="IK158" s="938"/>
      <c r="IM158" s="938"/>
      <c r="IO158" s="938"/>
      <c r="IQ158" s="938"/>
      <c r="IS158" s="938"/>
      <c r="IT158" s="932"/>
      <c r="IU158" s="938"/>
      <c r="IW158" s="939"/>
      <c r="IX158" s="938"/>
      <c r="IY158" s="938"/>
      <c r="IZ158" s="938"/>
      <c r="JB158" s="940"/>
      <c r="JC158" s="940"/>
      <c r="JD158" s="940"/>
      <c r="JE158" s="940"/>
      <c r="JF158" s="940"/>
      <c r="JG158" s="940"/>
      <c r="JH158" s="940"/>
      <c r="JI158" s="940"/>
      <c r="JJ158" s="940"/>
      <c r="JK158" s="940"/>
      <c r="JL158" s="940"/>
      <c r="JM158" s="940"/>
      <c r="JN158" s="940"/>
      <c r="JO158" s="940"/>
      <c r="JP158" s="940"/>
      <c r="JQ158" s="940"/>
      <c r="JR158" s="940"/>
      <c r="JS158" s="940"/>
      <c r="JT158" s="940"/>
      <c r="JU158" s="940"/>
      <c r="JV158" s="940"/>
      <c r="JW158" s="940"/>
      <c r="JX158" s="940"/>
      <c r="JY158" s="940"/>
      <c r="JZ158" s="940"/>
      <c r="KA158" s="940"/>
      <c r="KB158" s="940"/>
      <c r="KC158" s="940"/>
      <c r="KD158" s="940"/>
      <c r="KE158" s="940"/>
      <c r="KF158" s="940"/>
      <c r="KG158" s="940"/>
      <c r="KH158" s="940"/>
      <c r="KI158" s="940"/>
      <c r="KJ158" s="940"/>
      <c r="KK158" s="940"/>
      <c r="KL158" s="940"/>
      <c r="KM158" s="940"/>
      <c r="KN158" s="940"/>
      <c r="KO158" s="940"/>
      <c r="KP158" s="940"/>
      <c r="KQ158" s="940"/>
      <c r="KR158" s="940"/>
      <c r="KS158" s="940"/>
      <c r="KT158" s="940"/>
      <c r="KU158" s="940"/>
      <c r="KV158" s="940"/>
      <c r="KW158" s="940"/>
      <c r="KX158" s="940"/>
      <c r="KY158" s="940"/>
      <c r="KZ158" s="940"/>
      <c r="LA158" s="940"/>
      <c r="LB158" s="940"/>
      <c r="LC158" s="940"/>
      <c r="LD158" s="940"/>
      <c r="LE158" s="940"/>
      <c r="LF158" s="940"/>
      <c r="LG158" s="940"/>
      <c r="LH158" s="940"/>
    </row>
    <row r="159" spans="1:320" s="462" customFormat="1" ht="15" hidden="1" customHeight="1" outlineLevel="1" x14ac:dyDescent="0.25">
      <c r="A159" s="1205">
        <v>42618</v>
      </c>
      <c r="B159" s="1205"/>
      <c r="C159" s="463"/>
      <c r="D159" s="461"/>
      <c r="H159" s="932"/>
      <c r="I159" s="37"/>
      <c r="J159" s="932"/>
      <c r="K159" s="37"/>
      <c r="L159" s="932"/>
      <c r="M159" s="37"/>
      <c r="N159" s="932"/>
      <c r="O159" s="37"/>
      <c r="P159" s="932"/>
      <c r="Q159" s="37"/>
      <c r="R159" s="932"/>
      <c r="S159" s="37"/>
      <c r="T159" s="37"/>
      <c r="U159" s="37"/>
      <c r="V159" s="932"/>
      <c r="W159" s="37"/>
      <c r="X159" s="932"/>
      <c r="Y159" s="37"/>
      <c r="Z159" s="932"/>
      <c r="AA159" s="37"/>
      <c r="AB159" s="932"/>
      <c r="AC159" s="37"/>
      <c r="AD159" s="932"/>
      <c r="AE159" s="37"/>
      <c r="AF159" s="932"/>
      <c r="AG159" s="37"/>
      <c r="AH159" s="37"/>
      <c r="AI159" s="37"/>
      <c r="AJ159" s="932"/>
      <c r="AK159" s="37"/>
      <c r="AL159" s="932"/>
      <c r="AM159" s="37"/>
      <c r="AN159" s="932"/>
      <c r="AO159" s="37"/>
      <c r="AP159" s="932"/>
      <c r="AQ159" s="37"/>
      <c r="AR159" s="37"/>
      <c r="AS159" s="37"/>
      <c r="AT159" s="37"/>
      <c r="AU159" s="37"/>
      <c r="AV159" s="37"/>
      <c r="AW159" s="37"/>
      <c r="AX159" s="932"/>
      <c r="AY159" s="37"/>
      <c r="AZ159" s="932"/>
      <c r="BA159" s="37"/>
      <c r="BB159" s="932"/>
      <c r="BC159" s="37"/>
      <c r="BD159" s="932"/>
      <c r="BE159" s="37"/>
      <c r="BF159" s="932"/>
      <c r="BG159" s="37"/>
      <c r="BH159" s="37"/>
      <c r="BI159" s="37"/>
      <c r="BJ159" s="37"/>
      <c r="BK159" s="37"/>
      <c r="BL159" s="932"/>
      <c r="BM159" s="37"/>
      <c r="BN159" s="932"/>
      <c r="BO159" s="37"/>
      <c r="BP159" s="932"/>
      <c r="BQ159" s="37"/>
      <c r="BR159" s="932"/>
      <c r="BS159" s="37"/>
      <c r="BT159" s="932"/>
      <c r="BU159" s="932"/>
      <c r="BV159" s="932"/>
      <c r="BW159" s="932"/>
      <c r="BX159" s="37"/>
      <c r="BY159" s="37"/>
      <c r="BZ159" s="932"/>
      <c r="CA159" s="37"/>
      <c r="CB159" s="932"/>
      <c r="CC159" s="37"/>
      <c r="CD159" s="932"/>
      <c r="CE159" s="37"/>
      <c r="CF159" s="932"/>
      <c r="CG159" s="37"/>
      <c r="CH159" s="932"/>
      <c r="CI159" s="932"/>
      <c r="CJ159" s="932"/>
      <c r="CK159" s="932"/>
      <c r="CL159" s="37"/>
      <c r="CM159" s="37"/>
      <c r="CN159" s="932"/>
      <c r="CO159" s="37"/>
      <c r="CP159" s="932"/>
      <c r="CQ159" s="37"/>
      <c r="CR159" s="932"/>
      <c r="CS159" s="37"/>
      <c r="CT159" s="932"/>
      <c r="CU159" s="37"/>
      <c r="CV159" s="932"/>
      <c r="CW159" s="932"/>
      <c r="CX159" s="932"/>
      <c r="CY159" s="932"/>
      <c r="CZ159" s="37"/>
      <c r="DA159" s="37"/>
      <c r="DB159" s="932"/>
      <c r="DC159" s="37"/>
      <c r="DD159" s="932"/>
      <c r="DE159" s="37"/>
      <c r="DF159" s="932"/>
      <c r="DG159" s="37"/>
      <c r="DH159" s="932"/>
      <c r="DI159" s="37"/>
      <c r="DJ159" s="932"/>
      <c r="DK159" s="932"/>
      <c r="DL159" s="932"/>
      <c r="DM159" s="932"/>
      <c r="DN159" s="37"/>
      <c r="DO159" s="37"/>
      <c r="DP159" s="932"/>
      <c r="DQ159" s="37"/>
      <c r="DR159" s="932"/>
      <c r="DS159" s="37"/>
      <c r="DT159" s="932"/>
      <c r="DU159" s="37"/>
      <c r="DV159" s="932"/>
      <c r="DW159" s="37"/>
      <c r="DX159" s="932"/>
      <c r="DY159" s="932"/>
      <c r="DZ159" s="932"/>
      <c r="EA159" s="932"/>
      <c r="EB159" s="37"/>
      <c r="EC159" s="37"/>
      <c r="EE159" s="941"/>
      <c r="EG159" s="938"/>
      <c r="EI159" s="938"/>
      <c r="EK159" s="938"/>
      <c r="EM159" s="938"/>
      <c r="EO159" s="938"/>
      <c r="EQ159" s="938"/>
      <c r="ES159" s="938"/>
      <c r="EU159" s="938"/>
      <c r="EW159" s="938"/>
      <c r="EY159" s="938"/>
      <c r="FA159" s="938"/>
      <c r="FC159" s="938"/>
      <c r="FE159" s="938"/>
      <c r="FG159" s="938"/>
      <c r="FI159" s="938"/>
      <c r="FK159" s="938"/>
      <c r="FM159" s="938"/>
      <c r="FO159" s="938"/>
      <c r="FQ159" s="938"/>
      <c r="FS159" s="938"/>
      <c r="FU159" s="938"/>
      <c r="FW159" s="938"/>
      <c r="FY159" s="938"/>
      <c r="GA159" s="938"/>
      <c r="GC159" s="938"/>
      <c r="GE159" s="938"/>
      <c r="GG159" s="938"/>
      <c r="GI159" s="938"/>
      <c r="GK159" s="938"/>
      <c r="GM159" s="938"/>
      <c r="GO159" s="938"/>
      <c r="GQ159" s="938"/>
      <c r="GS159" s="938"/>
      <c r="GU159" s="938"/>
      <c r="GW159" s="938"/>
      <c r="GY159" s="938"/>
      <c r="HA159" s="938"/>
      <c r="HC159" s="938"/>
      <c r="HE159" s="938"/>
      <c r="HG159" s="938"/>
      <c r="HI159" s="938"/>
      <c r="HK159" s="938"/>
      <c r="HM159" s="938"/>
      <c r="HO159" s="938"/>
      <c r="HQ159" s="938"/>
      <c r="HS159" s="938"/>
      <c r="HU159" s="938"/>
      <c r="HW159" s="938"/>
      <c r="HY159" s="938"/>
      <c r="IA159" s="938"/>
      <c r="IC159" s="938"/>
      <c r="IE159" s="938"/>
      <c r="IG159" s="938"/>
      <c r="II159" s="938"/>
      <c r="IK159" s="938"/>
      <c r="IM159" s="938"/>
      <c r="IO159" s="938"/>
      <c r="IQ159" s="938"/>
      <c r="IS159" s="938"/>
      <c r="IT159" s="932"/>
      <c r="IU159" s="938"/>
      <c r="IW159" s="939"/>
      <c r="IX159" s="938"/>
      <c r="IY159" s="938"/>
      <c r="IZ159" s="938"/>
      <c r="JB159" s="940"/>
      <c r="JC159" s="940"/>
      <c r="JD159" s="940"/>
      <c r="JE159" s="940"/>
      <c r="JF159" s="940"/>
      <c r="JG159" s="940"/>
      <c r="JH159" s="940"/>
      <c r="JI159" s="940"/>
      <c r="JJ159" s="940"/>
      <c r="JK159" s="940"/>
      <c r="JL159" s="940"/>
      <c r="JM159" s="940"/>
      <c r="JN159" s="940"/>
      <c r="JO159" s="940"/>
      <c r="JP159" s="940"/>
      <c r="JQ159" s="940"/>
      <c r="JR159" s="940"/>
      <c r="JS159" s="940"/>
      <c r="JT159" s="940"/>
      <c r="JU159" s="940"/>
      <c r="JV159" s="940"/>
      <c r="JW159" s="940"/>
      <c r="JX159" s="940"/>
      <c r="JY159" s="940"/>
      <c r="JZ159" s="940"/>
      <c r="KA159" s="940"/>
      <c r="KB159" s="940"/>
      <c r="KC159" s="940"/>
      <c r="KD159" s="940"/>
      <c r="KE159" s="940"/>
      <c r="KF159" s="940"/>
      <c r="KG159" s="940"/>
      <c r="KH159" s="940"/>
      <c r="KI159" s="940"/>
      <c r="KJ159" s="940"/>
      <c r="KK159" s="940"/>
      <c r="KL159" s="940"/>
      <c r="KM159" s="940"/>
      <c r="KN159" s="940"/>
      <c r="KO159" s="940"/>
      <c r="KP159" s="940"/>
      <c r="KQ159" s="940"/>
      <c r="KR159" s="940"/>
      <c r="KS159" s="940"/>
      <c r="KT159" s="940"/>
      <c r="KU159" s="940"/>
      <c r="KV159" s="940"/>
      <c r="KW159" s="940"/>
      <c r="KX159" s="940"/>
      <c r="KY159" s="940"/>
      <c r="KZ159" s="940"/>
      <c r="LA159" s="940"/>
      <c r="LB159" s="940"/>
      <c r="LC159" s="940"/>
      <c r="LD159" s="940"/>
      <c r="LE159" s="940"/>
      <c r="LF159" s="940"/>
      <c r="LG159" s="940"/>
      <c r="LH159" s="940"/>
    </row>
    <row r="160" spans="1:320" s="462" customFormat="1" ht="15" hidden="1" customHeight="1" outlineLevel="1" x14ac:dyDescent="0.25">
      <c r="A160" s="1205">
        <v>42685</v>
      </c>
      <c r="B160" s="1205"/>
      <c r="C160" s="463"/>
      <c r="D160" s="461"/>
      <c r="H160" s="932"/>
      <c r="I160" s="37"/>
      <c r="J160" s="932"/>
      <c r="K160" s="37"/>
      <c r="L160" s="932"/>
      <c r="M160" s="37"/>
      <c r="N160" s="932"/>
      <c r="O160" s="37"/>
      <c r="P160" s="932"/>
      <c r="Q160" s="37"/>
      <c r="R160" s="932"/>
      <c r="S160" s="37"/>
      <c r="T160" s="37"/>
      <c r="U160" s="37"/>
      <c r="V160" s="932"/>
      <c r="W160" s="37"/>
      <c r="X160" s="932"/>
      <c r="Y160" s="37"/>
      <c r="Z160" s="932"/>
      <c r="AA160" s="37"/>
      <c r="AB160" s="932"/>
      <c r="AC160" s="37"/>
      <c r="AD160" s="932"/>
      <c r="AE160" s="37"/>
      <c r="AF160" s="932"/>
      <c r="AG160" s="37"/>
      <c r="AH160" s="37"/>
      <c r="AI160" s="37"/>
      <c r="AJ160" s="932"/>
      <c r="AK160" s="37"/>
      <c r="AL160" s="932"/>
      <c r="AM160" s="37"/>
      <c r="AN160" s="932"/>
      <c r="AO160" s="37"/>
      <c r="AP160" s="932"/>
      <c r="AQ160" s="37"/>
      <c r="AR160" s="37"/>
      <c r="AS160" s="37"/>
      <c r="AT160" s="37"/>
      <c r="AU160" s="37"/>
      <c r="AV160" s="37"/>
      <c r="AW160" s="37"/>
      <c r="AX160" s="932"/>
      <c r="AY160" s="37"/>
      <c r="AZ160" s="932"/>
      <c r="BA160" s="37"/>
      <c r="BB160" s="932"/>
      <c r="BC160" s="37"/>
      <c r="BD160" s="932"/>
      <c r="BE160" s="37"/>
      <c r="BF160" s="932"/>
      <c r="BG160" s="37"/>
      <c r="BH160" s="37"/>
      <c r="BI160" s="37"/>
      <c r="BJ160" s="37"/>
      <c r="BK160" s="37"/>
      <c r="BL160" s="932"/>
      <c r="BM160" s="37"/>
      <c r="BN160" s="932"/>
      <c r="BO160" s="37"/>
      <c r="BP160" s="932"/>
      <c r="BQ160" s="37"/>
      <c r="BR160" s="932"/>
      <c r="BS160" s="37"/>
      <c r="BT160" s="932"/>
      <c r="BU160" s="932"/>
      <c r="BV160" s="932"/>
      <c r="BW160" s="932"/>
      <c r="BX160" s="37"/>
      <c r="BY160" s="37"/>
      <c r="BZ160" s="932"/>
      <c r="CA160" s="37"/>
      <c r="CB160" s="932"/>
      <c r="CC160" s="37"/>
      <c r="CD160" s="932"/>
      <c r="CE160" s="37"/>
      <c r="CF160" s="932"/>
      <c r="CG160" s="37"/>
      <c r="CH160" s="932"/>
      <c r="CI160" s="932"/>
      <c r="CJ160" s="932"/>
      <c r="CK160" s="932"/>
      <c r="CL160" s="37"/>
      <c r="CM160" s="37"/>
      <c r="CN160" s="932"/>
      <c r="CO160" s="37"/>
      <c r="CP160" s="932"/>
      <c r="CQ160" s="37"/>
      <c r="CR160" s="932"/>
      <c r="CS160" s="37"/>
      <c r="CT160" s="932"/>
      <c r="CU160" s="37"/>
      <c r="CV160" s="932"/>
      <c r="CW160" s="932"/>
      <c r="CX160" s="932"/>
      <c r="CY160" s="932"/>
      <c r="CZ160" s="37"/>
      <c r="DA160" s="37"/>
      <c r="DB160" s="932"/>
      <c r="DC160" s="37"/>
      <c r="DD160" s="932"/>
      <c r="DE160" s="37"/>
      <c r="DF160" s="932"/>
      <c r="DG160" s="37"/>
      <c r="DH160" s="932"/>
      <c r="DI160" s="37"/>
      <c r="DJ160" s="932"/>
      <c r="DK160" s="932"/>
      <c r="DL160" s="932"/>
      <c r="DM160" s="932"/>
      <c r="DN160" s="37"/>
      <c r="DO160" s="37"/>
      <c r="DP160" s="932"/>
      <c r="DQ160" s="37"/>
      <c r="DR160" s="932"/>
      <c r="DS160" s="37"/>
      <c r="DT160" s="932"/>
      <c r="DU160" s="37"/>
      <c r="DV160" s="932"/>
      <c r="DW160" s="37"/>
      <c r="DX160" s="932"/>
      <c r="DY160" s="932"/>
      <c r="DZ160" s="932"/>
      <c r="EA160" s="932"/>
      <c r="EB160" s="37"/>
      <c r="EC160" s="37"/>
      <c r="EE160" s="941"/>
      <c r="EG160" s="938"/>
      <c r="EI160" s="938"/>
      <c r="EK160" s="938"/>
      <c r="EM160" s="938"/>
      <c r="EO160" s="938"/>
      <c r="EQ160" s="938"/>
      <c r="ES160" s="938"/>
      <c r="EU160" s="938"/>
      <c r="EW160" s="938"/>
      <c r="EY160" s="938"/>
      <c r="FA160" s="938"/>
      <c r="FC160" s="938"/>
      <c r="FE160" s="938"/>
      <c r="FG160" s="938"/>
      <c r="FI160" s="938"/>
      <c r="FK160" s="938"/>
      <c r="FM160" s="938"/>
      <c r="FO160" s="938"/>
      <c r="FQ160" s="938"/>
      <c r="FS160" s="938"/>
      <c r="FU160" s="938"/>
      <c r="FW160" s="938"/>
      <c r="FY160" s="938"/>
      <c r="GA160" s="938"/>
      <c r="GC160" s="938"/>
      <c r="GE160" s="938"/>
      <c r="GG160" s="938"/>
      <c r="GI160" s="938"/>
      <c r="GK160" s="938"/>
      <c r="GM160" s="938"/>
      <c r="GO160" s="938"/>
      <c r="GQ160" s="938"/>
      <c r="GS160" s="938"/>
      <c r="GU160" s="938"/>
      <c r="GW160" s="938"/>
      <c r="GY160" s="938"/>
      <c r="HA160" s="938"/>
      <c r="HC160" s="938"/>
      <c r="HE160" s="938"/>
      <c r="HG160" s="938"/>
      <c r="HI160" s="938"/>
      <c r="HK160" s="938"/>
      <c r="HM160" s="938"/>
      <c r="HO160" s="938"/>
      <c r="HQ160" s="938"/>
      <c r="HS160" s="938"/>
      <c r="HU160" s="938"/>
      <c r="HW160" s="938"/>
      <c r="HY160" s="938"/>
      <c r="IA160" s="938"/>
      <c r="IC160" s="938"/>
      <c r="IE160" s="938"/>
      <c r="IG160" s="938"/>
      <c r="II160" s="938"/>
      <c r="IK160" s="938"/>
      <c r="IM160" s="938"/>
      <c r="IO160" s="938"/>
      <c r="IQ160" s="938"/>
      <c r="IS160" s="938"/>
      <c r="IT160" s="932"/>
      <c r="IU160" s="938"/>
      <c r="IW160" s="939"/>
      <c r="IX160" s="938"/>
      <c r="IY160" s="938"/>
      <c r="IZ160" s="938"/>
      <c r="JB160" s="940"/>
      <c r="JC160" s="940"/>
      <c r="JD160" s="940"/>
      <c r="JE160" s="940"/>
      <c r="JF160" s="940"/>
      <c r="JG160" s="940"/>
      <c r="JH160" s="940"/>
      <c r="JI160" s="940"/>
      <c r="JJ160" s="940"/>
      <c r="JK160" s="940"/>
      <c r="JL160" s="940"/>
      <c r="JM160" s="940"/>
      <c r="JN160" s="940"/>
      <c r="JO160" s="940"/>
      <c r="JP160" s="940"/>
      <c r="JQ160" s="940"/>
      <c r="JR160" s="940"/>
      <c r="JS160" s="940"/>
      <c r="JT160" s="940"/>
      <c r="JU160" s="940"/>
      <c r="JV160" s="940"/>
      <c r="JW160" s="940"/>
      <c r="JX160" s="940"/>
      <c r="JY160" s="940"/>
      <c r="JZ160" s="940"/>
      <c r="KA160" s="940"/>
      <c r="KB160" s="940"/>
      <c r="KC160" s="940"/>
      <c r="KD160" s="940"/>
      <c r="KE160" s="940"/>
      <c r="KF160" s="940"/>
      <c r="KG160" s="940"/>
      <c r="KH160" s="940"/>
      <c r="KI160" s="940"/>
      <c r="KJ160" s="940"/>
      <c r="KK160" s="940"/>
      <c r="KL160" s="940"/>
      <c r="KM160" s="940"/>
      <c r="KN160" s="940"/>
      <c r="KO160" s="940"/>
      <c r="KP160" s="940"/>
      <c r="KQ160" s="940"/>
      <c r="KR160" s="940"/>
      <c r="KS160" s="940"/>
      <c r="KT160" s="940"/>
      <c r="KU160" s="940"/>
      <c r="KV160" s="940"/>
      <c r="KW160" s="940"/>
      <c r="KX160" s="940"/>
      <c r="KY160" s="940"/>
      <c r="KZ160" s="940"/>
      <c r="LA160" s="940"/>
      <c r="LB160" s="940"/>
      <c r="LC160" s="940"/>
      <c r="LD160" s="940"/>
      <c r="LE160" s="940"/>
      <c r="LF160" s="940"/>
      <c r="LG160" s="940"/>
      <c r="LH160" s="940"/>
    </row>
    <row r="161" spans="1:320" s="462" customFormat="1" ht="15" hidden="1" customHeight="1" outlineLevel="1" x14ac:dyDescent="0.25">
      <c r="A161" s="1205">
        <v>42688</v>
      </c>
      <c r="B161" s="1205"/>
      <c r="C161" s="463"/>
      <c r="D161" s="461"/>
      <c r="H161" s="932"/>
      <c r="I161" s="37"/>
      <c r="J161" s="932"/>
      <c r="K161" s="37"/>
      <c r="L161" s="932"/>
      <c r="M161" s="37"/>
      <c r="N161" s="932"/>
      <c r="O161" s="37"/>
      <c r="P161" s="932"/>
      <c r="Q161" s="37"/>
      <c r="R161" s="932"/>
      <c r="S161" s="37"/>
      <c r="T161" s="37"/>
      <c r="U161" s="37"/>
      <c r="V161" s="932"/>
      <c r="W161" s="37"/>
      <c r="X161" s="932"/>
      <c r="Y161" s="37"/>
      <c r="Z161" s="932"/>
      <c r="AA161" s="37"/>
      <c r="AB161" s="932"/>
      <c r="AC161" s="37"/>
      <c r="AD161" s="932"/>
      <c r="AE161" s="37"/>
      <c r="AF161" s="932"/>
      <c r="AG161" s="37"/>
      <c r="AH161" s="37"/>
      <c r="AI161" s="37"/>
      <c r="AJ161" s="932"/>
      <c r="AK161" s="37"/>
      <c r="AL161" s="932"/>
      <c r="AM161" s="37"/>
      <c r="AN161" s="932"/>
      <c r="AO161" s="37"/>
      <c r="AP161" s="932"/>
      <c r="AQ161" s="37"/>
      <c r="AR161" s="37"/>
      <c r="AS161" s="37"/>
      <c r="AT161" s="37"/>
      <c r="AU161" s="37"/>
      <c r="AV161" s="37"/>
      <c r="AW161" s="37"/>
      <c r="AX161" s="932"/>
      <c r="AY161" s="37"/>
      <c r="AZ161" s="932"/>
      <c r="BA161" s="37"/>
      <c r="BB161" s="932"/>
      <c r="BC161" s="37"/>
      <c r="BD161" s="932"/>
      <c r="BE161" s="37"/>
      <c r="BF161" s="932"/>
      <c r="BG161" s="37"/>
      <c r="BH161" s="37"/>
      <c r="BI161" s="37"/>
      <c r="BJ161" s="37"/>
      <c r="BK161" s="37"/>
      <c r="BL161" s="932"/>
      <c r="BM161" s="37"/>
      <c r="BN161" s="932"/>
      <c r="BO161" s="37"/>
      <c r="BP161" s="932"/>
      <c r="BQ161" s="37"/>
      <c r="BR161" s="932"/>
      <c r="BS161" s="37"/>
      <c r="BT161" s="932"/>
      <c r="BU161" s="932"/>
      <c r="BV161" s="932"/>
      <c r="BW161" s="932"/>
      <c r="BX161" s="37"/>
      <c r="BY161" s="37"/>
      <c r="BZ161" s="932"/>
      <c r="CA161" s="37"/>
      <c r="CB161" s="932"/>
      <c r="CC161" s="37"/>
      <c r="CD161" s="932"/>
      <c r="CE161" s="37"/>
      <c r="CF161" s="932"/>
      <c r="CG161" s="37"/>
      <c r="CH161" s="932"/>
      <c r="CI161" s="932"/>
      <c r="CJ161" s="932"/>
      <c r="CK161" s="932"/>
      <c r="CL161" s="37"/>
      <c r="CM161" s="37"/>
      <c r="CN161" s="932"/>
      <c r="CO161" s="37"/>
      <c r="CP161" s="932"/>
      <c r="CQ161" s="37"/>
      <c r="CR161" s="932"/>
      <c r="CS161" s="37"/>
      <c r="CT161" s="932"/>
      <c r="CU161" s="37"/>
      <c r="CV161" s="932"/>
      <c r="CW161" s="932"/>
      <c r="CX161" s="932"/>
      <c r="CY161" s="932"/>
      <c r="CZ161" s="37"/>
      <c r="DA161" s="37"/>
      <c r="DB161" s="932"/>
      <c r="DC161" s="37"/>
      <c r="DD161" s="932"/>
      <c r="DE161" s="37"/>
      <c r="DF161" s="932"/>
      <c r="DG161" s="37"/>
      <c r="DH161" s="932"/>
      <c r="DI161" s="37"/>
      <c r="DJ161" s="932"/>
      <c r="DK161" s="932"/>
      <c r="DL161" s="932"/>
      <c r="DM161" s="932"/>
      <c r="DN161" s="37"/>
      <c r="DO161" s="37"/>
      <c r="DP161" s="932"/>
      <c r="DQ161" s="37"/>
      <c r="DR161" s="932"/>
      <c r="DS161" s="37"/>
      <c r="DT161" s="932"/>
      <c r="DU161" s="37"/>
      <c r="DV161" s="932"/>
      <c r="DW161" s="37"/>
      <c r="DX161" s="932"/>
      <c r="DY161" s="932"/>
      <c r="DZ161" s="932"/>
      <c r="EA161" s="932"/>
      <c r="EB161" s="37"/>
      <c r="EC161" s="37"/>
      <c r="EE161" s="941"/>
      <c r="EG161" s="938"/>
      <c r="EI161" s="938"/>
      <c r="EK161" s="938"/>
      <c r="EM161" s="938"/>
      <c r="EO161" s="938"/>
      <c r="EQ161" s="938"/>
      <c r="ES161" s="938"/>
      <c r="EU161" s="938"/>
      <c r="EW161" s="938"/>
      <c r="EY161" s="938"/>
      <c r="FA161" s="938"/>
      <c r="FC161" s="938"/>
      <c r="FE161" s="938"/>
      <c r="FG161" s="938"/>
      <c r="FI161" s="938"/>
      <c r="FK161" s="938"/>
      <c r="FM161" s="938"/>
      <c r="FO161" s="938"/>
      <c r="FQ161" s="938"/>
      <c r="FS161" s="938"/>
      <c r="FU161" s="938"/>
      <c r="FW161" s="938"/>
      <c r="FY161" s="938"/>
      <c r="GA161" s="938"/>
      <c r="GC161" s="938"/>
      <c r="GE161" s="938"/>
      <c r="GG161" s="938"/>
      <c r="GI161" s="938"/>
      <c r="GK161" s="938"/>
      <c r="GM161" s="938"/>
      <c r="GO161" s="938"/>
      <c r="GQ161" s="938"/>
      <c r="GS161" s="938"/>
      <c r="GU161" s="938"/>
      <c r="GW161" s="938"/>
      <c r="GY161" s="938"/>
      <c r="HA161" s="938"/>
      <c r="HC161" s="938"/>
      <c r="HE161" s="938"/>
      <c r="HG161" s="938"/>
      <c r="HI161" s="938"/>
      <c r="HK161" s="938"/>
      <c r="HM161" s="938"/>
      <c r="HO161" s="938"/>
      <c r="HQ161" s="938"/>
      <c r="HS161" s="938"/>
      <c r="HU161" s="938"/>
      <c r="HW161" s="938"/>
      <c r="HY161" s="938"/>
      <c r="IA161" s="938"/>
      <c r="IC161" s="938"/>
      <c r="IE161" s="938"/>
      <c r="IG161" s="938"/>
      <c r="II161" s="938"/>
      <c r="IK161" s="938"/>
      <c r="IM161" s="938"/>
      <c r="IO161" s="938"/>
      <c r="IQ161" s="938"/>
      <c r="IS161" s="938"/>
      <c r="IT161" s="932"/>
      <c r="IU161" s="938"/>
      <c r="IW161" s="939"/>
      <c r="IX161" s="938"/>
      <c r="IY161" s="938"/>
      <c r="IZ161" s="938"/>
      <c r="JB161" s="940"/>
      <c r="JC161" s="940"/>
      <c r="JD161" s="940"/>
      <c r="JE161" s="940"/>
      <c r="JF161" s="940"/>
      <c r="JG161" s="940"/>
      <c r="JH161" s="940"/>
      <c r="JI161" s="940"/>
      <c r="JJ161" s="940"/>
      <c r="JK161" s="940"/>
      <c r="JL161" s="940"/>
      <c r="JM161" s="940"/>
      <c r="JN161" s="940"/>
      <c r="JO161" s="940"/>
      <c r="JP161" s="940"/>
      <c r="JQ161" s="940"/>
      <c r="JR161" s="940"/>
      <c r="JS161" s="940"/>
      <c r="JT161" s="940"/>
      <c r="JU161" s="940"/>
      <c r="JV161" s="940"/>
      <c r="JW161" s="940"/>
      <c r="JX161" s="940"/>
      <c r="JY161" s="940"/>
      <c r="JZ161" s="940"/>
      <c r="KA161" s="940"/>
      <c r="KB161" s="940"/>
      <c r="KC161" s="940"/>
      <c r="KD161" s="940"/>
      <c r="KE161" s="940"/>
      <c r="KF161" s="940"/>
      <c r="KG161" s="940"/>
      <c r="KH161" s="940"/>
      <c r="KI161" s="940"/>
      <c r="KJ161" s="940"/>
      <c r="KK161" s="940"/>
      <c r="KL161" s="940"/>
      <c r="KM161" s="940"/>
      <c r="KN161" s="940"/>
      <c r="KO161" s="940"/>
      <c r="KP161" s="940"/>
      <c r="KQ161" s="940"/>
      <c r="KR161" s="940"/>
      <c r="KS161" s="940"/>
      <c r="KT161" s="940"/>
      <c r="KU161" s="940"/>
      <c r="KV161" s="940"/>
      <c r="KW161" s="940"/>
      <c r="KX161" s="940"/>
      <c r="KY161" s="940"/>
      <c r="KZ161" s="940"/>
      <c r="LA161" s="940"/>
      <c r="LB161" s="940"/>
      <c r="LC161" s="940"/>
      <c r="LD161" s="940"/>
      <c r="LE161" s="940"/>
      <c r="LF161" s="940"/>
      <c r="LG161" s="940"/>
      <c r="LH161" s="940"/>
    </row>
    <row r="162" spans="1:320" s="462" customFormat="1" ht="15" hidden="1" customHeight="1" outlineLevel="1" x14ac:dyDescent="0.25">
      <c r="A162" s="1205">
        <v>42699</v>
      </c>
      <c r="B162" s="1205"/>
      <c r="C162" s="463"/>
      <c r="D162" s="461"/>
      <c r="H162" s="932"/>
      <c r="I162" s="37"/>
      <c r="J162" s="932"/>
      <c r="K162" s="37"/>
      <c r="L162" s="932"/>
      <c r="M162" s="37"/>
      <c r="N162" s="932"/>
      <c r="O162" s="37"/>
      <c r="P162" s="932"/>
      <c r="Q162" s="37"/>
      <c r="R162" s="932"/>
      <c r="S162" s="37"/>
      <c r="T162" s="37"/>
      <c r="U162" s="37"/>
      <c r="V162" s="932"/>
      <c r="W162" s="37"/>
      <c r="X162" s="932"/>
      <c r="Y162" s="37"/>
      <c r="Z162" s="932"/>
      <c r="AA162" s="37"/>
      <c r="AB162" s="932"/>
      <c r="AC162" s="37"/>
      <c r="AD162" s="932"/>
      <c r="AE162" s="37"/>
      <c r="AF162" s="932"/>
      <c r="AG162" s="37"/>
      <c r="AH162" s="37"/>
      <c r="AI162" s="37"/>
      <c r="AJ162" s="932"/>
      <c r="AK162" s="37"/>
      <c r="AL162" s="932"/>
      <c r="AM162" s="37"/>
      <c r="AN162" s="932"/>
      <c r="AO162" s="37"/>
      <c r="AP162" s="932"/>
      <c r="AQ162" s="37"/>
      <c r="AR162" s="37"/>
      <c r="AS162" s="37"/>
      <c r="AT162" s="37"/>
      <c r="AU162" s="37"/>
      <c r="AV162" s="37"/>
      <c r="AW162" s="37"/>
      <c r="AX162" s="932"/>
      <c r="AY162" s="37"/>
      <c r="AZ162" s="932"/>
      <c r="BA162" s="37"/>
      <c r="BB162" s="932"/>
      <c r="BC162" s="37"/>
      <c r="BD162" s="932"/>
      <c r="BE162" s="37"/>
      <c r="BF162" s="932"/>
      <c r="BG162" s="37"/>
      <c r="BH162" s="37"/>
      <c r="BI162" s="37"/>
      <c r="BJ162" s="37"/>
      <c r="BK162" s="37"/>
      <c r="BL162" s="932"/>
      <c r="BM162" s="37"/>
      <c r="BN162" s="932"/>
      <c r="BO162" s="37"/>
      <c r="BP162" s="932"/>
      <c r="BQ162" s="37"/>
      <c r="BR162" s="932"/>
      <c r="BS162" s="37"/>
      <c r="BT162" s="932"/>
      <c r="BU162" s="932"/>
      <c r="BV162" s="932"/>
      <c r="BW162" s="932"/>
      <c r="BX162" s="37"/>
      <c r="BY162" s="37"/>
      <c r="BZ162" s="932"/>
      <c r="CA162" s="37"/>
      <c r="CB162" s="932"/>
      <c r="CC162" s="37"/>
      <c r="CD162" s="932"/>
      <c r="CE162" s="37"/>
      <c r="CF162" s="932"/>
      <c r="CG162" s="37"/>
      <c r="CH162" s="932"/>
      <c r="CI162" s="932"/>
      <c r="CJ162" s="932"/>
      <c r="CK162" s="932"/>
      <c r="CL162" s="37"/>
      <c r="CM162" s="37"/>
      <c r="CN162" s="932"/>
      <c r="CO162" s="37"/>
      <c r="CP162" s="932"/>
      <c r="CQ162" s="37"/>
      <c r="CR162" s="932"/>
      <c r="CS162" s="37"/>
      <c r="CT162" s="932"/>
      <c r="CU162" s="37"/>
      <c r="CV162" s="932"/>
      <c r="CW162" s="932"/>
      <c r="CX162" s="932"/>
      <c r="CY162" s="932"/>
      <c r="CZ162" s="37"/>
      <c r="DA162" s="37"/>
      <c r="DB162" s="932"/>
      <c r="DC162" s="37"/>
      <c r="DD162" s="932"/>
      <c r="DE162" s="37"/>
      <c r="DF162" s="932"/>
      <c r="DG162" s="37"/>
      <c r="DH162" s="932"/>
      <c r="DI162" s="37"/>
      <c r="DJ162" s="932"/>
      <c r="DK162" s="932"/>
      <c r="DL162" s="932"/>
      <c r="DM162" s="932"/>
      <c r="DN162" s="37"/>
      <c r="DO162" s="37"/>
      <c r="DP162" s="932"/>
      <c r="DQ162" s="37"/>
      <c r="DR162" s="932"/>
      <c r="DS162" s="37"/>
      <c r="DT162" s="932"/>
      <c r="DU162" s="37"/>
      <c r="DV162" s="932"/>
      <c r="DW162" s="37"/>
      <c r="DX162" s="932"/>
      <c r="DY162" s="932"/>
      <c r="DZ162" s="932"/>
      <c r="EA162" s="932"/>
      <c r="EB162" s="37"/>
      <c r="EC162" s="37"/>
      <c r="EE162" s="941"/>
      <c r="EG162" s="938"/>
      <c r="EI162" s="938"/>
      <c r="EK162" s="938"/>
      <c r="EM162" s="938"/>
      <c r="EO162" s="938"/>
      <c r="EQ162" s="938"/>
      <c r="ES162" s="938"/>
      <c r="EU162" s="938"/>
      <c r="EW162" s="938"/>
      <c r="EY162" s="938"/>
      <c r="FA162" s="938"/>
      <c r="FC162" s="938"/>
      <c r="FE162" s="938"/>
      <c r="FG162" s="938"/>
      <c r="FI162" s="938"/>
      <c r="FK162" s="938"/>
      <c r="FM162" s="938"/>
      <c r="FO162" s="938"/>
      <c r="FQ162" s="938"/>
      <c r="FS162" s="938"/>
      <c r="FU162" s="938"/>
      <c r="FW162" s="938"/>
      <c r="FY162" s="938"/>
      <c r="GA162" s="938"/>
      <c r="GC162" s="938"/>
      <c r="GE162" s="938"/>
      <c r="GG162" s="938"/>
      <c r="GI162" s="938"/>
      <c r="GK162" s="938"/>
      <c r="GM162" s="938"/>
      <c r="GO162" s="938"/>
      <c r="GQ162" s="938"/>
      <c r="GS162" s="938"/>
      <c r="GU162" s="938"/>
      <c r="GW162" s="938"/>
      <c r="GY162" s="938"/>
      <c r="HA162" s="938"/>
      <c r="HC162" s="938"/>
      <c r="HE162" s="938"/>
      <c r="HG162" s="938"/>
      <c r="HI162" s="938"/>
      <c r="HK162" s="938"/>
      <c r="HM162" s="938"/>
      <c r="HO162" s="938"/>
      <c r="HQ162" s="938"/>
      <c r="HS162" s="938"/>
      <c r="HU162" s="938"/>
      <c r="HW162" s="938"/>
      <c r="HY162" s="938"/>
      <c r="IA162" s="938"/>
      <c r="IC162" s="938"/>
      <c r="IE162" s="938"/>
      <c r="IG162" s="938"/>
      <c r="II162" s="938"/>
      <c r="IK162" s="938"/>
      <c r="IM162" s="938"/>
      <c r="IO162" s="938"/>
      <c r="IQ162" s="938"/>
      <c r="IS162" s="938"/>
      <c r="IT162" s="932"/>
      <c r="IU162" s="938"/>
      <c r="IW162" s="939"/>
      <c r="IX162" s="938"/>
      <c r="IY162" s="938"/>
      <c r="IZ162" s="938"/>
      <c r="JB162" s="940"/>
      <c r="JC162" s="940"/>
      <c r="JD162" s="940"/>
      <c r="JE162" s="940"/>
      <c r="JF162" s="940"/>
      <c r="JG162" s="940"/>
      <c r="JH162" s="940"/>
      <c r="JI162" s="940"/>
      <c r="JJ162" s="940"/>
      <c r="JK162" s="940"/>
      <c r="JL162" s="940"/>
      <c r="JM162" s="940"/>
      <c r="JN162" s="940"/>
      <c r="JO162" s="940"/>
      <c r="JP162" s="940"/>
      <c r="JQ162" s="940"/>
      <c r="JR162" s="940"/>
      <c r="JS162" s="940"/>
      <c r="JT162" s="940"/>
      <c r="JU162" s="940"/>
      <c r="JV162" s="940"/>
      <c r="JW162" s="940"/>
      <c r="JX162" s="940"/>
      <c r="JY162" s="940"/>
      <c r="JZ162" s="940"/>
      <c r="KA162" s="940"/>
      <c r="KB162" s="940"/>
      <c r="KC162" s="940"/>
      <c r="KD162" s="940"/>
      <c r="KE162" s="940"/>
      <c r="KF162" s="940"/>
      <c r="KG162" s="940"/>
      <c r="KH162" s="940"/>
      <c r="KI162" s="940"/>
      <c r="KJ162" s="940"/>
      <c r="KK162" s="940"/>
      <c r="KL162" s="940"/>
      <c r="KM162" s="940"/>
      <c r="KN162" s="940"/>
      <c r="KO162" s="940"/>
      <c r="KP162" s="940"/>
      <c r="KQ162" s="940"/>
      <c r="KR162" s="940"/>
      <c r="KS162" s="940"/>
      <c r="KT162" s="940"/>
      <c r="KU162" s="940"/>
      <c r="KV162" s="940"/>
      <c r="KW162" s="940"/>
      <c r="KX162" s="940"/>
      <c r="KY162" s="940"/>
      <c r="KZ162" s="940"/>
      <c r="LA162" s="940"/>
      <c r="LB162" s="940"/>
      <c r="LC162" s="940"/>
      <c r="LD162" s="940"/>
      <c r="LE162" s="940"/>
      <c r="LF162" s="940"/>
      <c r="LG162" s="940"/>
      <c r="LH162" s="940"/>
    </row>
    <row r="163" spans="1:320" s="462" customFormat="1" ht="15" hidden="1" customHeight="1" outlineLevel="1" x14ac:dyDescent="0.25">
      <c r="A163" s="1205">
        <v>42727</v>
      </c>
      <c r="B163" s="1205"/>
      <c r="C163" s="463"/>
      <c r="D163" s="461"/>
      <c r="H163" s="932"/>
      <c r="I163" s="37"/>
      <c r="J163" s="932"/>
      <c r="K163" s="37"/>
      <c r="L163" s="932"/>
      <c r="M163" s="37"/>
      <c r="N163" s="932"/>
      <c r="O163" s="37"/>
      <c r="P163" s="932"/>
      <c r="Q163" s="37"/>
      <c r="R163" s="932"/>
      <c r="S163" s="37"/>
      <c r="T163" s="37"/>
      <c r="U163" s="37"/>
      <c r="V163" s="932"/>
      <c r="W163" s="37"/>
      <c r="X163" s="932"/>
      <c r="Y163" s="37"/>
      <c r="Z163" s="932"/>
      <c r="AA163" s="37"/>
      <c r="AB163" s="932"/>
      <c r="AC163" s="37"/>
      <c r="AD163" s="932"/>
      <c r="AE163" s="37"/>
      <c r="AF163" s="932"/>
      <c r="AG163" s="37"/>
      <c r="AH163" s="37"/>
      <c r="AI163" s="37"/>
      <c r="AJ163" s="932"/>
      <c r="AK163" s="37"/>
      <c r="AL163" s="932"/>
      <c r="AM163" s="37"/>
      <c r="AN163" s="932"/>
      <c r="AO163" s="37"/>
      <c r="AP163" s="932"/>
      <c r="AQ163" s="37"/>
      <c r="AR163" s="37"/>
      <c r="AS163" s="37"/>
      <c r="AT163" s="37"/>
      <c r="AU163" s="37"/>
      <c r="AV163" s="37"/>
      <c r="AW163" s="37"/>
      <c r="AX163" s="932"/>
      <c r="AY163" s="37"/>
      <c r="AZ163" s="932"/>
      <c r="BA163" s="37"/>
      <c r="BB163" s="932"/>
      <c r="BC163" s="37"/>
      <c r="BD163" s="932"/>
      <c r="BE163" s="37"/>
      <c r="BF163" s="932"/>
      <c r="BG163" s="37"/>
      <c r="BH163" s="37"/>
      <c r="BI163" s="37"/>
      <c r="BJ163" s="37"/>
      <c r="BK163" s="37"/>
      <c r="BL163" s="932"/>
      <c r="BM163" s="37"/>
      <c r="BN163" s="932"/>
      <c r="BO163" s="37"/>
      <c r="BP163" s="932"/>
      <c r="BQ163" s="37"/>
      <c r="BR163" s="932"/>
      <c r="BS163" s="37"/>
      <c r="BT163" s="932"/>
      <c r="BU163" s="932"/>
      <c r="BV163" s="932"/>
      <c r="BW163" s="932"/>
      <c r="BX163" s="37"/>
      <c r="BY163" s="37"/>
      <c r="BZ163" s="932"/>
      <c r="CA163" s="37"/>
      <c r="CB163" s="932"/>
      <c r="CC163" s="37"/>
      <c r="CD163" s="932"/>
      <c r="CE163" s="37"/>
      <c r="CF163" s="932"/>
      <c r="CG163" s="37"/>
      <c r="CH163" s="932"/>
      <c r="CI163" s="932"/>
      <c r="CJ163" s="932"/>
      <c r="CK163" s="932"/>
      <c r="CL163" s="37"/>
      <c r="CM163" s="37"/>
      <c r="CN163" s="932"/>
      <c r="CO163" s="37"/>
      <c r="CP163" s="932"/>
      <c r="CQ163" s="37"/>
      <c r="CR163" s="932"/>
      <c r="CS163" s="37"/>
      <c r="CT163" s="932"/>
      <c r="CU163" s="37"/>
      <c r="CV163" s="932"/>
      <c r="CW163" s="932"/>
      <c r="CX163" s="932"/>
      <c r="CY163" s="932"/>
      <c r="CZ163" s="37"/>
      <c r="DA163" s="37"/>
      <c r="DB163" s="932"/>
      <c r="DC163" s="37"/>
      <c r="DD163" s="932"/>
      <c r="DE163" s="37"/>
      <c r="DF163" s="932"/>
      <c r="DG163" s="37"/>
      <c r="DH163" s="932"/>
      <c r="DI163" s="37"/>
      <c r="DJ163" s="932"/>
      <c r="DK163" s="932"/>
      <c r="DL163" s="932"/>
      <c r="DM163" s="932"/>
      <c r="DN163" s="37"/>
      <c r="DO163" s="37"/>
      <c r="DP163" s="932"/>
      <c r="DQ163" s="37"/>
      <c r="DR163" s="932"/>
      <c r="DS163" s="37"/>
      <c r="DT163" s="932"/>
      <c r="DU163" s="37"/>
      <c r="DV163" s="932"/>
      <c r="DW163" s="37"/>
      <c r="DX163" s="932"/>
      <c r="DY163" s="932"/>
      <c r="DZ163" s="932"/>
      <c r="EA163" s="932"/>
      <c r="EB163" s="37"/>
      <c r="EC163" s="37"/>
      <c r="EE163" s="941"/>
      <c r="EG163" s="938"/>
      <c r="EI163" s="938"/>
      <c r="EK163" s="938"/>
      <c r="EM163" s="938"/>
      <c r="EO163" s="938"/>
      <c r="EQ163" s="938"/>
      <c r="ES163" s="938"/>
      <c r="EU163" s="938"/>
      <c r="EW163" s="938"/>
      <c r="EY163" s="938"/>
      <c r="FA163" s="938"/>
      <c r="FC163" s="938"/>
      <c r="FE163" s="938"/>
      <c r="FG163" s="938"/>
      <c r="FI163" s="938"/>
      <c r="FK163" s="938"/>
      <c r="FM163" s="938"/>
      <c r="FO163" s="938"/>
      <c r="FQ163" s="938"/>
      <c r="FS163" s="938"/>
      <c r="FU163" s="938"/>
      <c r="FW163" s="938"/>
      <c r="FY163" s="938"/>
      <c r="GA163" s="938"/>
      <c r="GC163" s="938"/>
      <c r="GE163" s="938"/>
      <c r="GG163" s="938"/>
      <c r="GI163" s="938"/>
      <c r="GK163" s="938"/>
      <c r="GM163" s="938"/>
      <c r="GO163" s="938"/>
      <c r="GQ163" s="938"/>
      <c r="GS163" s="938"/>
      <c r="GU163" s="938"/>
      <c r="GW163" s="938"/>
      <c r="GY163" s="938"/>
      <c r="HA163" s="938"/>
      <c r="HC163" s="938"/>
      <c r="HE163" s="938"/>
      <c r="HG163" s="938"/>
      <c r="HI163" s="938"/>
      <c r="HK163" s="938"/>
      <c r="HM163" s="938"/>
      <c r="HO163" s="938"/>
      <c r="HQ163" s="938"/>
      <c r="HS163" s="938"/>
      <c r="HU163" s="938"/>
      <c r="HW163" s="938"/>
      <c r="HY163" s="938"/>
      <c r="IA163" s="938"/>
      <c r="IC163" s="938"/>
      <c r="IE163" s="938"/>
      <c r="IG163" s="938"/>
      <c r="II163" s="938"/>
      <c r="IK163" s="938"/>
      <c r="IM163" s="938"/>
      <c r="IO163" s="938"/>
      <c r="IQ163" s="938"/>
      <c r="IS163" s="938"/>
      <c r="IT163" s="932"/>
      <c r="IU163" s="938"/>
      <c r="IW163" s="939"/>
      <c r="IX163" s="938"/>
      <c r="IY163" s="938"/>
      <c r="IZ163" s="938"/>
      <c r="JB163" s="940"/>
      <c r="JC163" s="940"/>
      <c r="JD163" s="940"/>
      <c r="JE163" s="940"/>
      <c r="JF163" s="940"/>
      <c r="JG163" s="940"/>
      <c r="JH163" s="940"/>
      <c r="JI163" s="940"/>
      <c r="JJ163" s="940"/>
      <c r="JK163" s="940"/>
      <c r="JL163" s="940"/>
      <c r="JM163" s="940"/>
      <c r="JN163" s="940"/>
      <c r="JO163" s="940"/>
      <c r="JP163" s="940"/>
      <c r="JQ163" s="940"/>
      <c r="JR163" s="940"/>
      <c r="JS163" s="940"/>
      <c r="JT163" s="940"/>
      <c r="JU163" s="940"/>
      <c r="JV163" s="940"/>
      <c r="JW163" s="940"/>
      <c r="JX163" s="940"/>
      <c r="JY163" s="940"/>
      <c r="JZ163" s="940"/>
      <c r="KA163" s="940"/>
      <c r="KB163" s="940"/>
      <c r="KC163" s="940"/>
      <c r="KD163" s="940"/>
      <c r="KE163" s="940"/>
      <c r="KF163" s="940"/>
      <c r="KG163" s="940"/>
      <c r="KH163" s="940"/>
      <c r="KI163" s="940"/>
      <c r="KJ163" s="940"/>
      <c r="KK163" s="940"/>
      <c r="KL163" s="940"/>
      <c r="KM163" s="940"/>
      <c r="KN163" s="940"/>
      <c r="KO163" s="940"/>
      <c r="KP163" s="940"/>
      <c r="KQ163" s="940"/>
      <c r="KR163" s="940"/>
      <c r="KS163" s="940"/>
      <c r="KT163" s="940"/>
      <c r="KU163" s="940"/>
      <c r="KV163" s="940"/>
      <c r="KW163" s="940"/>
      <c r="KX163" s="940"/>
      <c r="KY163" s="940"/>
      <c r="KZ163" s="940"/>
      <c r="LA163" s="940"/>
      <c r="LB163" s="940"/>
      <c r="LC163" s="940"/>
      <c r="LD163" s="940"/>
      <c r="LE163" s="940"/>
      <c r="LF163" s="940"/>
      <c r="LG163" s="940"/>
      <c r="LH163" s="940"/>
    </row>
    <row r="164" spans="1:320" s="462" customFormat="1" ht="15" hidden="1" customHeight="1" outlineLevel="1" x14ac:dyDescent="0.25">
      <c r="A164" s="1205">
        <v>42730</v>
      </c>
      <c r="B164" s="1205"/>
      <c r="C164" s="463"/>
      <c r="D164" s="461"/>
      <c r="H164" s="932"/>
      <c r="I164" s="37"/>
      <c r="J164" s="932"/>
      <c r="K164" s="37"/>
      <c r="L164" s="932"/>
      <c r="M164" s="37"/>
      <c r="N164" s="932"/>
      <c r="O164" s="37"/>
      <c r="P164" s="932"/>
      <c r="Q164" s="37"/>
      <c r="R164" s="932"/>
      <c r="S164" s="37"/>
      <c r="T164" s="37"/>
      <c r="U164" s="37"/>
      <c r="V164" s="932"/>
      <c r="W164" s="37"/>
      <c r="X164" s="932"/>
      <c r="Y164" s="37"/>
      <c r="Z164" s="932"/>
      <c r="AA164" s="37"/>
      <c r="AB164" s="932"/>
      <c r="AC164" s="37"/>
      <c r="AD164" s="932"/>
      <c r="AE164" s="37"/>
      <c r="AF164" s="932"/>
      <c r="AG164" s="37"/>
      <c r="AH164" s="37"/>
      <c r="AI164" s="37"/>
      <c r="AJ164" s="932"/>
      <c r="AK164" s="37"/>
      <c r="AL164" s="932"/>
      <c r="AM164" s="37"/>
      <c r="AN164" s="932"/>
      <c r="AO164" s="37"/>
      <c r="AP164" s="932"/>
      <c r="AQ164" s="37"/>
      <c r="AR164" s="37"/>
      <c r="AS164" s="37"/>
      <c r="AT164" s="37"/>
      <c r="AU164" s="37"/>
      <c r="AV164" s="37"/>
      <c r="AW164" s="37"/>
      <c r="AX164" s="932"/>
      <c r="AY164" s="37"/>
      <c r="AZ164" s="932"/>
      <c r="BA164" s="37"/>
      <c r="BB164" s="932"/>
      <c r="BC164" s="37"/>
      <c r="BD164" s="932"/>
      <c r="BE164" s="37"/>
      <c r="BF164" s="932"/>
      <c r="BG164" s="37"/>
      <c r="BH164" s="37"/>
      <c r="BI164" s="37"/>
      <c r="BJ164" s="37"/>
      <c r="BK164" s="37"/>
      <c r="BL164" s="932"/>
      <c r="BM164" s="37"/>
      <c r="BN164" s="932"/>
      <c r="BO164" s="37"/>
      <c r="BP164" s="932"/>
      <c r="BQ164" s="37"/>
      <c r="BR164" s="932"/>
      <c r="BS164" s="37"/>
      <c r="BT164" s="932"/>
      <c r="BU164" s="932"/>
      <c r="BV164" s="932"/>
      <c r="BW164" s="932"/>
      <c r="BX164" s="37"/>
      <c r="BY164" s="37"/>
      <c r="BZ164" s="932"/>
      <c r="CA164" s="37"/>
      <c r="CB164" s="932"/>
      <c r="CC164" s="37"/>
      <c r="CD164" s="932"/>
      <c r="CE164" s="37"/>
      <c r="CF164" s="932"/>
      <c r="CG164" s="37"/>
      <c r="CH164" s="932"/>
      <c r="CI164" s="932"/>
      <c r="CJ164" s="932"/>
      <c r="CK164" s="932"/>
      <c r="CL164" s="37"/>
      <c r="CM164" s="37"/>
      <c r="CN164" s="932"/>
      <c r="CO164" s="37"/>
      <c r="CP164" s="932"/>
      <c r="CQ164" s="37"/>
      <c r="CR164" s="932"/>
      <c r="CS164" s="37"/>
      <c r="CT164" s="932"/>
      <c r="CU164" s="37"/>
      <c r="CV164" s="932"/>
      <c r="CW164" s="932"/>
      <c r="CX164" s="932"/>
      <c r="CY164" s="932"/>
      <c r="CZ164" s="37"/>
      <c r="DA164" s="37"/>
      <c r="DB164" s="932"/>
      <c r="DC164" s="37"/>
      <c r="DD164" s="932"/>
      <c r="DE164" s="37"/>
      <c r="DF164" s="932"/>
      <c r="DG164" s="37"/>
      <c r="DH164" s="932"/>
      <c r="DI164" s="37"/>
      <c r="DJ164" s="932"/>
      <c r="DK164" s="932"/>
      <c r="DL164" s="932"/>
      <c r="DM164" s="932"/>
      <c r="DN164" s="37"/>
      <c r="DO164" s="37"/>
      <c r="DP164" s="932"/>
      <c r="DQ164" s="37"/>
      <c r="DR164" s="932"/>
      <c r="DS164" s="37"/>
      <c r="DT164" s="932"/>
      <c r="DU164" s="37"/>
      <c r="DV164" s="932"/>
      <c r="DW164" s="37"/>
      <c r="DX164" s="932"/>
      <c r="DY164" s="932"/>
      <c r="DZ164" s="932"/>
      <c r="EA164" s="932"/>
      <c r="EB164" s="37"/>
      <c r="EC164" s="37"/>
      <c r="EE164" s="941"/>
      <c r="EG164" s="938"/>
      <c r="EI164" s="938"/>
      <c r="EK164" s="938"/>
      <c r="EM164" s="938"/>
      <c r="EO164" s="938"/>
      <c r="EQ164" s="938"/>
      <c r="ES164" s="938"/>
      <c r="EU164" s="938"/>
      <c r="EW164" s="938"/>
      <c r="EY164" s="938"/>
      <c r="FA164" s="938"/>
      <c r="FC164" s="938"/>
      <c r="FE164" s="938"/>
      <c r="FG164" s="938"/>
      <c r="FI164" s="938"/>
      <c r="FK164" s="938"/>
      <c r="FM164" s="938"/>
      <c r="FO164" s="938"/>
      <c r="FQ164" s="938"/>
      <c r="FS164" s="938"/>
      <c r="FU164" s="938"/>
      <c r="FW164" s="938"/>
      <c r="FY164" s="938"/>
      <c r="GA164" s="938"/>
      <c r="GC164" s="938"/>
      <c r="GE164" s="938"/>
      <c r="GG164" s="938"/>
      <c r="GI164" s="938"/>
      <c r="GK164" s="938"/>
      <c r="GM164" s="938"/>
      <c r="GO164" s="938"/>
      <c r="GQ164" s="938"/>
      <c r="GS164" s="938"/>
      <c r="GU164" s="938"/>
      <c r="GW164" s="938"/>
      <c r="GY164" s="938"/>
      <c r="HA164" s="938"/>
      <c r="HC164" s="938"/>
      <c r="HE164" s="938"/>
      <c r="HG164" s="938"/>
      <c r="HI164" s="938"/>
      <c r="HK164" s="938"/>
      <c r="HM164" s="938"/>
      <c r="HO164" s="938"/>
      <c r="HQ164" s="938"/>
      <c r="HS164" s="938"/>
      <c r="HU164" s="938"/>
      <c r="HW164" s="938"/>
      <c r="HY164" s="938"/>
      <c r="IA164" s="938"/>
      <c r="IC164" s="938"/>
      <c r="IE164" s="938"/>
      <c r="IG164" s="938"/>
      <c r="II164" s="938"/>
      <c r="IK164" s="938"/>
      <c r="IM164" s="938"/>
      <c r="IO164" s="938"/>
      <c r="IQ164" s="938"/>
      <c r="IS164" s="938"/>
      <c r="IT164" s="932"/>
      <c r="IU164" s="938"/>
      <c r="IW164" s="939"/>
      <c r="IX164" s="938"/>
      <c r="IY164" s="938"/>
      <c r="IZ164" s="938"/>
      <c r="JB164" s="940"/>
      <c r="JC164" s="940"/>
      <c r="JD164" s="940"/>
      <c r="JE164" s="940"/>
      <c r="JF164" s="940"/>
      <c r="JG164" s="940"/>
      <c r="JH164" s="940"/>
      <c r="JI164" s="940"/>
      <c r="JJ164" s="940"/>
      <c r="JK164" s="940"/>
      <c r="JL164" s="940"/>
      <c r="JM164" s="940"/>
      <c r="JN164" s="940"/>
      <c r="JO164" s="940"/>
      <c r="JP164" s="940"/>
      <c r="JQ164" s="940"/>
      <c r="JR164" s="940"/>
      <c r="JS164" s="940"/>
      <c r="JT164" s="940"/>
      <c r="JU164" s="940"/>
      <c r="JV164" s="940"/>
      <c r="JW164" s="940"/>
      <c r="JX164" s="940"/>
      <c r="JY164" s="940"/>
      <c r="JZ164" s="940"/>
      <c r="KA164" s="940"/>
      <c r="KB164" s="940"/>
      <c r="KC164" s="940"/>
      <c r="KD164" s="940"/>
      <c r="KE164" s="940"/>
      <c r="KF164" s="940"/>
      <c r="KG164" s="940"/>
      <c r="KH164" s="940"/>
      <c r="KI164" s="940"/>
      <c r="KJ164" s="940"/>
      <c r="KK164" s="940"/>
      <c r="KL164" s="940"/>
      <c r="KM164" s="940"/>
      <c r="KN164" s="940"/>
      <c r="KO164" s="940"/>
      <c r="KP164" s="940"/>
      <c r="KQ164" s="940"/>
      <c r="KR164" s="940"/>
      <c r="KS164" s="940"/>
      <c r="KT164" s="940"/>
      <c r="KU164" s="940"/>
      <c r="KV164" s="940"/>
      <c r="KW164" s="940"/>
      <c r="KX164" s="940"/>
      <c r="KY164" s="940"/>
      <c r="KZ164" s="940"/>
      <c r="LA164" s="940"/>
      <c r="LB164" s="940"/>
      <c r="LC164" s="940"/>
      <c r="LD164" s="940"/>
      <c r="LE164" s="940"/>
      <c r="LF164" s="940"/>
      <c r="LG164" s="940"/>
      <c r="LH164" s="940"/>
    </row>
    <row r="165" spans="1:320" s="462" customFormat="1" ht="15" hidden="1" customHeight="1" outlineLevel="1" x14ac:dyDescent="0.25">
      <c r="A165" s="1205">
        <v>42731</v>
      </c>
      <c r="B165" s="1205"/>
      <c r="C165" s="463"/>
      <c r="D165" s="461"/>
      <c r="H165" s="932"/>
      <c r="I165" s="37"/>
      <c r="J165" s="932"/>
      <c r="K165" s="37"/>
      <c r="L165" s="932"/>
      <c r="M165" s="37"/>
      <c r="N165" s="932"/>
      <c r="O165" s="37"/>
      <c r="P165" s="932"/>
      <c r="Q165" s="37"/>
      <c r="R165" s="932"/>
      <c r="S165" s="37"/>
      <c r="T165" s="37"/>
      <c r="U165" s="37"/>
      <c r="V165" s="932"/>
      <c r="W165" s="37"/>
      <c r="X165" s="932"/>
      <c r="Y165" s="37"/>
      <c r="Z165" s="932"/>
      <c r="AA165" s="37"/>
      <c r="AB165" s="932"/>
      <c r="AC165" s="37"/>
      <c r="AD165" s="932"/>
      <c r="AE165" s="37"/>
      <c r="AF165" s="932"/>
      <c r="AG165" s="37"/>
      <c r="AH165" s="37"/>
      <c r="AI165" s="37"/>
      <c r="AJ165" s="932"/>
      <c r="AK165" s="37"/>
      <c r="AL165" s="932"/>
      <c r="AM165" s="37"/>
      <c r="AN165" s="932"/>
      <c r="AO165" s="37"/>
      <c r="AP165" s="932"/>
      <c r="AQ165" s="37"/>
      <c r="AR165" s="37"/>
      <c r="AS165" s="37"/>
      <c r="AT165" s="37"/>
      <c r="AU165" s="37"/>
      <c r="AV165" s="37"/>
      <c r="AW165" s="37"/>
      <c r="AX165" s="932"/>
      <c r="AY165" s="37"/>
      <c r="AZ165" s="932"/>
      <c r="BA165" s="37"/>
      <c r="BB165" s="932"/>
      <c r="BC165" s="37"/>
      <c r="BD165" s="932"/>
      <c r="BE165" s="37"/>
      <c r="BF165" s="932"/>
      <c r="BG165" s="37"/>
      <c r="BH165" s="37"/>
      <c r="BI165" s="37"/>
      <c r="BJ165" s="37"/>
      <c r="BK165" s="37"/>
      <c r="BL165" s="932"/>
      <c r="BM165" s="37"/>
      <c r="BN165" s="932"/>
      <c r="BO165" s="37"/>
      <c r="BP165" s="932"/>
      <c r="BQ165" s="37"/>
      <c r="BR165" s="932"/>
      <c r="BS165" s="37"/>
      <c r="BT165" s="932"/>
      <c r="BU165" s="932"/>
      <c r="BV165" s="932"/>
      <c r="BW165" s="932"/>
      <c r="BX165" s="37"/>
      <c r="BY165" s="37"/>
      <c r="BZ165" s="932"/>
      <c r="CA165" s="37"/>
      <c r="CB165" s="932"/>
      <c r="CC165" s="37"/>
      <c r="CD165" s="932"/>
      <c r="CE165" s="37"/>
      <c r="CF165" s="932"/>
      <c r="CG165" s="37"/>
      <c r="CH165" s="932"/>
      <c r="CI165" s="932"/>
      <c r="CJ165" s="932"/>
      <c r="CK165" s="932"/>
      <c r="CL165" s="37"/>
      <c r="CM165" s="37"/>
      <c r="CN165" s="932"/>
      <c r="CO165" s="37"/>
      <c r="CP165" s="932"/>
      <c r="CQ165" s="37"/>
      <c r="CR165" s="932"/>
      <c r="CS165" s="37"/>
      <c r="CT165" s="932"/>
      <c r="CU165" s="37"/>
      <c r="CV165" s="932"/>
      <c r="CW165" s="932"/>
      <c r="CX165" s="932"/>
      <c r="CY165" s="932"/>
      <c r="CZ165" s="37"/>
      <c r="DA165" s="37"/>
      <c r="DB165" s="932"/>
      <c r="DC165" s="37"/>
      <c r="DD165" s="932"/>
      <c r="DE165" s="37"/>
      <c r="DF165" s="932"/>
      <c r="DG165" s="37"/>
      <c r="DH165" s="932"/>
      <c r="DI165" s="37"/>
      <c r="DJ165" s="932"/>
      <c r="DK165" s="932"/>
      <c r="DL165" s="932"/>
      <c r="DM165" s="932"/>
      <c r="DN165" s="37"/>
      <c r="DO165" s="37"/>
      <c r="DP165" s="932"/>
      <c r="DQ165" s="37"/>
      <c r="DR165" s="932"/>
      <c r="DS165" s="37"/>
      <c r="DT165" s="932"/>
      <c r="DU165" s="37"/>
      <c r="DV165" s="932"/>
      <c r="DW165" s="37"/>
      <c r="DX165" s="932"/>
      <c r="DY165" s="932"/>
      <c r="DZ165" s="932"/>
      <c r="EA165" s="932"/>
      <c r="EB165" s="37"/>
      <c r="EC165" s="37"/>
      <c r="EE165" s="941"/>
      <c r="EG165" s="938"/>
      <c r="EI165" s="938"/>
      <c r="EK165" s="938"/>
      <c r="EM165" s="938"/>
      <c r="EO165" s="938"/>
      <c r="EQ165" s="938"/>
      <c r="ES165" s="938"/>
      <c r="EU165" s="938"/>
      <c r="EW165" s="938"/>
      <c r="EY165" s="938"/>
      <c r="FA165" s="938"/>
      <c r="FC165" s="938"/>
      <c r="FE165" s="938"/>
      <c r="FG165" s="938"/>
      <c r="FI165" s="938"/>
      <c r="FK165" s="938"/>
      <c r="FM165" s="938"/>
      <c r="FO165" s="938"/>
      <c r="FQ165" s="938"/>
      <c r="FS165" s="938"/>
      <c r="FU165" s="938"/>
      <c r="FW165" s="938"/>
      <c r="FY165" s="938"/>
      <c r="GA165" s="938"/>
      <c r="GC165" s="938"/>
      <c r="GE165" s="938"/>
      <c r="GG165" s="938"/>
      <c r="GI165" s="938"/>
      <c r="GK165" s="938"/>
      <c r="GM165" s="938"/>
      <c r="GO165" s="938"/>
      <c r="GQ165" s="938"/>
      <c r="GS165" s="938"/>
      <c r="GU165" s="938"/>
      <c r="GW165" s="938"/>
      <c r="GY165" s="938"/>
      <c r="HA165" s="938"/>
      <c r="HC165" s="938"/>
      <c r="HE165" s="938"/>
      <c r="HG165" s="938"/>
      <c r="HI165" s="938"/>
      <c r="HK165" s="938"/>
      <c r="HM165" s="938"/>
      <c r="HO165" s="938"/>
      <c r="HQ165" s="938"/>
      <c r="HS165" s="938"/>
      <c r="HU165" s="938"/>
      <c r="HW165" s="938"/>
      <c r="HY165" s="938"/>
      <c r="IA165" s="938"/>
      <c r="IC165" s="938"/>
      <c r="IE165" s="938"/>
      <c r="IG165" s="938"/>
      <c r="II165" s="938"/>
      <c r="IK165" s="938"/>
      <c r="IM165" s="938"/>
      <c r="IO165" s="938"/>
      <c r="IQ165" s="938"/>
      <c r="IS165" s="938"/>
      <c r="IT165" s="932"/>
      <c r="IU165" s="938"/>
      <c r="IW165" s="939"/>
      <c r="IX165" s="938"/>
      <c r="IY165" s="938"/>
      <c r="IZ165" s="938"/>
      <c r="JB165" s="940"/>
      <c r="JC165" s="940"/>
      <c r="JD165" s="940"/>
      <c r="JE165" s="940"/>
      <c r="JF165" s="940"/>
      <c r="JG165" s="940"/>
      <c r="JH165" s="940"/>
      <c r="JI165" s="940"/>
      <c r="JJ165" s="940"/>
      <c r="JK165" s="940"/>
      <c r="JL165" s="940"/>
      <c r="JM165" s="940"/>
      <c r="JN165" s="940"/>
      <c r="JO165" s="940"/>
      <c r="JP165" s="940"/>
      <c r="JQ165" s="940"/>
      <c r="JR165" s="940"/>
      <c r="JS165" s="940"/>
      <c r="JT165" s="940"/>
      <c r="JU165" s="940"/>
      <c r="JV165" s="940"/>
      <c r="JW165" s="940"/>
      <c r="JX165" s="940"/>
      <c r="JY165" s="940"/>
      <c r="JZ165" s="940"/>
      <c r="KA165" s="940"/>
      <c r="KB165" s="940"/>
      <c r="KC165" s="940"/>
      <c r="KD165" s="940"/>
      <c r="KE165" s="940"/>
      <c r="KF165" s="940"/>
      <c r="KG165" s="940"/>
      <c r="KH165" s="940"/>
      <c r="KI165" s="940"/>
      <c r="KJ165" s="940"/>
      <c r="KK165" s="940"/>
      <c r="KL165" s="940"/>
      <c r="KM165" s="940"/>
      <c r="KN165" s="940"/>
      <c r="KO165" s="940"/>
      <c r="KP165" s="940"/>
      <c r="KQ165" s="940"/>
      <c r="KR165" s="940"/>
      <c r="KS165" s="940"/>
      <c r="KT165" s="940"/>
      <c r="KU165" s="940"/>
      <c r="KV165" s="940"/>
      <c r="KW165" s="940"/>
      <c r="KX165" s="940"/>
      <c r="KY165" s="940"/>
      <c r="KZ165" s="940"/>
      <c r="LA165" s="940"/>
      <c r="LB165" s="940"/>
      <c r="LC165" s="940"/>
      <c r="LD165" s="940"/>
      <c r="LE165" s="940"/>
      <c r="LF165" s="940"/>
      <c r="LG165" s="940"/>
      <c r="LH165" s="940"/>
    </row>
    <row r="166" spans="1:320" s="462" customFormat="1" ht="15" hidden="1" customHeight="1" outlineLevel="1" x14ac:dyDescent="0.25">
      <c r="A166" s="1205">
        <v>42737</v>
      </c>
      <c r="B166" s="1205"/>
      <c r="C166" s="463"/>
      <c r="D166" s="461"/>
      <c r="H166" s="932"/>
      <c r="I166" s="37"/>
      <c r="J166" s="932"/>
      <c r="K166" s="37"/>
      <c r="L166" s="932"/>
      <c r="M166" s="37"/>
      <c r="N166" s="932"/>
      <c r="O166" s="37"/>
      <c r="P166" s="932"/>
      <c r="Q166" s="37"/>
      <c r="R166" s="932"/>
      <c r="S166" s="37"/>
      <c r="T166" s="37"/>
      <c r="U166" s="37"/>
      <c r="V166" s="932"/>
      <c r="W166" s="37"/>
      <c r="X166" s="932"/>
      <c r="Y166" s="37"/>
      <c r="Z166" s="932"/>
      <c r="AA166" s="37"/>
      <c r="AB166" s="932"/>
      <c r="AC166" s="37"/>
      <c r="AD166" s="932"/>
      <c r="AE166" s="37"/>
      <c r="AF166" s="932"/>
      <c r="AG166" s="37"/>
      <c r="AH166" s="37"/>
      <c r="AI166" s="37"/>
      <c r="AJ166" s="932"/>
      <c r="AK166" s="37"/>
      <c r="AL166" s="932"/>
      <c r="AM166" s="37"/>
      <c r="AN166" s="932"/>
      <c r="AO166" s="37"/>
      <c r="AP166" s="932"/>
      <c r="AQ166" s="37"/>
      <c r="AR166" s="37"/>
      <c r="AS166" s="37"/>
      <c r="AT166" s="37"/>
      <c r="AU166" s="37"/>
      <c r="AV166" s="37"/>
      <c r="AW166" s="37"/>
      <c r="AX166" s="932"/>
      <c r="AY166" s="37"/>
      <c r="AZ166" s="932"/>
      <c r="BA166" s="37"/>
      <c r="BB166" s="932"/>
      <c r="BC166" s="37"/>
      <c r="BD166" s="932"/>
      <c r="BE166" s="37"/>
      <c r="BF166" s="932"/>
      <c r="BG166" s="37"/>
      <c r="BH166" s="37"/>
      <c r="BI166" s="37"/>
      <c r="BJ166" s="37"/>
      <c r="BK166" s="37"/>
      <c r="BL166" s="932"/>
      <c r="BM166" s="37"/>
      <c r="BN166" s="932"/>
      <c r="BO166" s="37"/>
      <c r="BP166" s="932"/>
      <c r="BQ166" s="37"/>
      <c r="BR166" s="932"/>
      <c r="BS166" s="37"/>
      <c r="BT166" s="932"/>
      <c r="BU166" s="932"/>
      <c r="BV166" s="932"/>
      <c r="BW166" s="932"/>
      <c r="BX166" s="37"/>
      <c r="BY166" s="37"/>
      <c r="BZ166" s="932"/>
      <c r="CA166" s="37"/>
      <c r="CB166" s="932"/>
      <c r="CC166" s="37"/>
      <c r="CD166" s="932"/>
      <c r="CE166" s="37"/>
      <c r="CF166" s="932"/>
      <c r="CG166" s="37"/>
      <c r="CH166" s="932"/>
      <c r="CI166" s="932"/>
      <c r="CJ166" s="932"/>
      <c r="CK166" s="932"/>
      <c r="CL166" s="37"/>
      <c r="CM166" s="37"/>
      <c r="CN166" s="932"/>
      <c r="CO166" s="37"/>
      <c r="CP166" s="932"/>
      <c r="CQ166" s="37"/>
      <c r="CR166" s="932"/>
      <c r="CS166" s="37"/>
      <c r="CT166" s="932"/>
      <c r="CU166" s="37"/>
      <c r="CV166" s="932"/>
      <c r="CW166" s="932"/>
      <c r="CX166" s="932"/>
      <c r="CY166" s="932"/>
      <c r="CZ166" s="37"/>
      <c r="DA166" s="37"/>
      <c r="DB166" s="932"/>
      <c r="DC166" s="37"/>
      <c r="DD166" s="932"/>
      <c r="DE166" s="37"/>
      <c r="DF166" s="932"/>
      <c r="DG166" s="37"/>
      <c r="DH166" s="932"/>
      <c r="DI166" s="37"/>
      <c r="DJ166" s="932"/>
      <c r="DK166" s="932"/>
      <c r="DL166" s="932"/>
      <c r="DM166" s="932"/>
      <c r="DN166" s="37"/>
      <c r="DO166" s="37"/>
      <c r="DP166" s="932"/>
      <c r="DQ166" s="37"/>
      <c r="DR166" s="932"/>
      <c r="DS166" s="37"/>
      <c r="DT166" s="932"/>
      <c r="DU166" s="37"/>
      <c r="DV166" s="932"/>
      <c r="DW166" s="37"/>
      <c r="DX166" s="932"/>
      <c r="DY166" s="932"/>
      <c r="DZ166" s="932"/>
      <c r="EA166" s="932"/>
      <c r="EB166" s="37"/>
      <c r="EC166" s="37"/>
      <c r="EE166" s="941"/>
      <c r="EG166" s="938"/>
      <c r="EI166" s="938"/>
      <c r="EK166" s="938"/>
      <c r="EM166" s="938"/>
      <c r="EO166" s="938"/>
      <c r="EQ166" s="938"/>
      <c r="ES166" s="938"/>
      <c r="EU166" s="938"/>
      <c r="EW166" s="938"/>
      <c r="EY166" s="938"/>
      <c r="FA166" s="938"/>
      <c r="FC166" s="938"/>
      <c r="FE166" s="938"/>
      <c r="FG166" s="938"/>
      <c r="FI166" s="938"/>
      <c r="FK166" s="938"/>
      <c r="FM166" s="938"/>
      <c r="FO166" s="938"/>
      <c r="FQ166" s="938"/>
      <c r="FS166" s="938"/>
      <c r="FU166" s="938"/>
      <c r="FW166" s="938"/>
      <c r="FY166" s="938"/>
      <c r="GA166" s="938"/>
      <c r="GC166" s="938"/>
      <c r="GE166" s="938"/>
      <c r="GG166" s="938"/>
      <c r="GI166" s="938"/>
      <c r="GK166" s="938"/>
      <c r="GM166" s="938"/>
      <c r="GO166" s="938"/>
      <c r="GQ166" s="938"/>
      <c r="GS166" s="938"/>
      <c r="GU166" s="938"/>
      <c r="GW166" s="938"/>
      <c r="GY166" s="938"/>
      <c r="HA166" s="938"/>
      <c r="HC166" s="938"/>
      <c r="HE166" s="938"/>
      <c r="HG166" s="938"/>
      <c r="HI166" s="938"/>
      <c r="HK166" s="938"/>
      <c r="HM166" s="938"/>
      <c r="HO166" s="938"/>
      <c r="HQ166" s="938"/>
      <c r="HS166" s="938"/>
      <c r="HU166" s="938"/>
      <c r="HW166" s="938"/>
      <c r="HY166" s="938"/>
      <c r="IA166" s="938"/>
      <c r="IC166" s="938"/>
      <c r="IE166" s="938"/>
      <c r="IG166" s="938"/>
      <c r="II166" s="938"/>
      <c r="IK166" s="938"/>
      <c r="IM166" s="938"/>
      <c r="IO166" s="938"/>
      <c r="IQ166" s="938"/>
      <c r="IS166" s="938"/>
      <c r="IT166" s="932"/>
      <c r="IU166" s="938"/>
      <c r="IW166" s="939"/>
      <c r="IX166" s="938"/>
      <c r="IY166" s="938"/>
      <c r="IZ166" s="938"/>
      <c r="JB166" s="940"/>
      <c r="JC166" s="940"/>
      <c r="JD166" s="940"/>
      <c r="JE166" s="940"/>
      <c r="JF166" s="940"/>
      <c r="JG166" s="940"/>
      <c r="JH166" s="940"/>
      <c r="JI166" s="940"/>
      <c r="JJ166" s="940"/>
      <c r="JK166" s="940"/>
      <c r="JL166" s="940"/>
      <c r="JM166" s="940"/>
      <c r="JN166" s="940"/>
      <c r="JO166" s="940"/>
      <c r="JP166" s="940"/>
      <c r="JQ166" s="940"/>
      <c r="JR166" s="940"/>
      <c r="JS166" s="940"/>
      <c r="JT166" s="940"/>
      <c r="JU166" s="940"/>
      <c r="JV166" s="940"/>
      <c r="JW166" s="940"/>
      <c r="JX166" s="940"/>
      <c r="JY166" s="940"/>
      <c r="JZ166" s="940"/>
      <c r="KA166" s="940"/>
      <c r="KB166" s="940"/>
      <c r="KC166" s="940"/>
      <c r="KD166" s="940"/>
      <c r="KE166" s="940"/>
      <c r="KF166" s="940"/>
      <c r="KG166" s="940"/>
      <c r="KH166" s="940"/>
      <c r="KI166" s="940"/>
      <c r="KJ166" s="940"/>
      <c r="KK166" s="940"/>
      <c r="KL166" s="940"/>
      <c r="KM166" s="940"/>
      <c r="KN166" s="940"/>
      <c r="KO166" s="940"/>
      <c r="KP166" s="940"/>
      <c r="KQ166" s="940"/>
      <c r="KR166" s="940"/>
      <c r="KS166" s="940"/>
      <c r="KT166" s="940"/>
      <c r="KU166" s="940"/>
      <c r="KV166" s="940"/>
      <c r="KW166" s="940"/>
      <c r="KX166" s="940"/>
      <c r="KY166" s="940"/>
      <c r="KZ166" s="940"/>
      <c r="LA166" s="940"/>
      <c r="LB166" s="940"/>
      <c r="LC166" s="940"/>
      <c r="LD166" s="940"/>
      <c r="LE166" s="940"/>
      <c r="LF166" s="940"/>
      <c r="LG166" s="940"/>
      <c r="LH166" s="940"/>
    </row>
    <row r="167" spans="1:320" s="462" customFormat="1" ht="15" hidden="1" customHeight="1" outlineLevel="1" x14ac:dyDescent="0.25">
      <c r="A167" s="1205">
        <v>42751</v>
      </c>
      <c r="B167" s="1205"/>
      <c r="C167" s="463"/>
      <c r="D167" s="461"/>
      <c r="H167" s="932"/>
      <c r="I167" s="37"/>
      <c r="J167" s="932"/>
      <c r="K167" s="37"/>
      <c r="L167" s="932"/>
      <c r="M167" s="37"/>
      <c r="N167" s="932"/>
      <c r="O167" s="37"/>
      <c r="P167" s="932"/>
      <c r="Q167" s="37"/>
      <c r="R167" s="932"/>
      <c r="S167" s="37"/>
      <c r="T167" s="37"/>
      <c r="U167" s="37"/>
      <c r="V167" s="932"/>
      <c r="W167" s="37"/>
      <c r="X167" s="932"/>
      <c r="Y167" s="37"/>
      <c r="Z167" s="932"/>
      <c r="AA167" s="37"/>
      <c r="AB167" s="932"/>
      <c r="AC167" s="37"/>
      <c r="AD167" s="932"/>
      <c r="AE167" s="37"/>
      <c r="AF167" s="932"/>
      <c r="AG167" s="37"/>
      <c r="AH167" s="37"/>
      <c r="AI167" s="37"/>
      <c r="AJ167" s="932"/>
      <c r="AK167" s="37"/>
      <c r="AL167" s="932"/>
      <c r="AM167" s="37"/>
      <c r="AN167" s="932"/>
      <c r="AO167" s="37"/>
      <c r="AP167" s="932"/>
      <c r="AQ167" s="37"/>
      <c r="AR167" s="37"/>
      <c r="AS167" s="37"/>
      <c r="AT167" s="37"/>
      <c r="AU167" s="37"/>
      <c r="AV167" s="37"/>
      <c r="AW167" s="37"/>
      <c r="AX167" s="932"/>
      <c r="AY167" s="37"/>
      <c r="AZ167" s="932"/>
      <c r="BA167" s="37"/>
      <c r="BB167" s="932"/>
      <c r="BC167" s="37"/>
      <c r="BD167" s="932"/>
      <c r="BE167" s="37"/>
      <c r="BF167" s="932"/>
      <c r="BG167" s="37"/>
      <c r="BH167" s="37"/>
      <c r="BI167" s="37"/>
      <c r="BJ167" s="37"/>
      <c r="BK167" s="37"/>
      <c r="BL167" s="932"/>
      <c r="BM167" s="37"/>
      <c r="BN167" s="932"/>
      <c r="BO167" s="37"/>
      <c r="BP167" s="932"/>
      <c r="BQ167" s="37"/>
      <c r="BR167" s="932"/>
      <c r="BS167" s="37"/>
      <c r="BT167" s="932"/>
      <c r="BU167" s="932"/>
      <c r="BV167" s="932"/>
      <c r="BW167" s="932"/>
      <c r="BX167" s="37"/>
      <c r="BY167" s="37"/>
      <c r="BZ167" s="932"/>
      <c r="CA167" s="37"/>
      <c r="CB167" s="932"/>
      <c r="CC167" s="37"/>
      <c r="CD167" s="932"/>
      <c r="CE167" s="37"/>
      <c r="CF167" s="932"/>
      <c r="CG167" s="37"/>
      <c r="CH167" s="932"/>
      <c r="CI167" s="932"/>
      <c r="CJ167" s="932"/>
      <c r="CK167" s="932"/>
      <c r="CL167" s="37"/>
      <c r="CM167" s="37"/>
      <c r="CN167" s="932"/>
      <c r="CO167" s="37"/>
      <c r="CP167" s="932"/>
      <c r="CQ167" s="37"/>
      <c r="CR167" s="932"/>
      <c r="CS167" s="37"/>
      <c r="CT167" s="932"/>
      <c r="CU167" s="37"/>
      <c r="CV167" s="932"/>
      <c r="CW167" s="932"/>
      <c r="CX167" s="932"/>
      <c r="CY167" s="932"/>
      <c r="CZ167" s="37"/>
      <c r="DA167" s="37"/>
      <c r="DB167" s="932"/>
      <c r="DC167" s="37"/>
      <c r="DD167" s="932"/>
      <c r="DE167" s="37"/>
      <c r="DF167" s="932"/>
      <c r="DG167" s="37"/>
      <c r="DH167" s="932"/>
      <c r="DI167" s="37"/>
      <c r="DJ167" s="932"/>
      <c r="DK167" s="932"/>
      <c r="DL167" s="932"/>
      <c r="DM167" s="932"/>
      <c r="DN167" s="37"/>
      <c r="DO167" s="37"/>
      <c r="DP167" s="932"/>
      <c r="DQ167" s="37"/>
      <c r="DR167" s="932"/>
      <c r="DS167" s="37"/>
      <c r="DT167" s="932"/>
      <c r="DU167" s="37"/>
      <c r="DV167" s="932"/>
      <c r="DW167" s="37"/>
      <c r="DX167" s="932"/>
      <c r="DY167" s="932"/>
      <c r="DZ167" s="932"/>
      <c r="EA167" s="932"/>
      <c r="EB167" s="37"/>
      <c r="EC167" s="37"/>
      <c r="EE167" s="941"/>
      <c r="EG167" s="938"/>
      <c r="EI167" s="938"/>
      <c r="EK167" s="938"/>
      <c r="EM167" s="938"/>
      <c r="EO167" s="938"/>
      <c r="EQ167" s="938"/>
      <c r="ES167" s="938"/>
      <c r="EU167" s="938"/>
      <c r="EW167" s="938"/>
      <c r="EY167" s="938"/>
      <c r="FA167" s="938"/>
      <c r="FC167" s="938"/>
      <c r="FE167" s="938"/>
      <c r="FG167" s="938"/>
      <c r="FI167" s="938"/>
      <c r="FK167" s="938"/>
      <c r="FM167" s="938"/>
      <c r="FO167" s="938"/>
      <c r="FQ167" s="938"/>
      <c r="FS167" s="938"/>
      <c r="FU167" s="938"/>
      <c r="FW167" s="938"/>
      <c r="FY167" s="938"/>
      <c r="GA167" s="938"/>
      <c r="GC167" s="938"/>
      <c r="GE167" s="938"/>
      <c r="GG167" s="938"/>
      <c r="GI167" s="938"/>
      <c r="GK167" s="938"/>
      <c r="GM167" s="938"/>
      <c r="GO167" s="938"/>
      <c r="GQ167" s="938"/>
      <c r="GS167" s="938"/>
      <c r="GU167" s="938"/>
      <c r="GW167" s="938"/>
      <c r="GY167" s="938"/>
      <c r="HA167" s="938"/>
      <c r="HC167" s="938"/>
      <c r="HE167" s="938"/>
      <c r="HG167" s="938"/>
      <c r="HI167" s="938"/>
      <c r="HK167" s="938"/>
      <c r="HM167" s="938"/>
      <c r="HO167" s="938"/>
      <c r="HQ167" s="938"/>
      <c r="HS167" s="938"/>
      <c r="HU167" s="938"/>
      <c r="HW167" s="938"/>
      <c r="HY167" s="938"/>
      <c r="IA167" s="938"/>
      <c r="IC167" s="938"/>
      <c r="IE167" s="938"/>
      <c r="IG167" s="938"/>
      <c r="II167" s="938"/>
      <c r="IK167" s="938"/>
      <c r="IM167" s="938"/>
      <c r="IO167" s="938"/>
      <c r="IQ167" s="938"/>
      <c r="IS167" s="938"/>
      <c r="IT167" s="932"/>
      <c r="IU167" s="938"/>
      <c r="IW167" s="939"/>
      <c r="IX167" s="938"/>
      <c r="IY167" s="938"/>
      <c r="IZ167" s="938"/>
      <c r="JB167" s="940"/>
      <c r="JC167" s="940"/>
      <c r="JD167" s="940"/>
      <c r="JE167" s="940"/>
      <c r="JF167" s="940"/>
      <c r="JG167" s="940"/>
      <c r="JH167" s="940"/>
      <c r="JI167" s="940"/>
      <c r="JJ167" s="940"/>
      <c r="JK167" s="940"/>
      <c r="JL167" s="940"/>
      <c r="JM167" s="940"/>
      <c r="JN167" s="940"/>
      <c r="JO167" s="940"/>
      <c r="JP167" s="940"/>
      <c r="JQ167" s="940"/>
      <c r="JR167" s="940"/>
      <c r="JS167" s="940"/>
      <c r="JT167" s="940"/>
      <c r="JU167" s="940"/>
      <c r="JV167" s="940"/>
      <c r="JW167" s="940"/>
      <c r="JX167" s="940"/>
      <c r="JY167" s="940"/>
      <c r="JZ167" s="940"/>
      <c r="KA167" s="940"/>
      <c r="KB167" s="940"/>
      <c r="KC167" s="940"/>
      <c r="KD167" s="940"/>
      <c r="KE167" s="940"/>
      <c r="KF167" s="940"/>
      <c r="KG167" s="940"/>
      <c r="KH167" s="940"/>
      <c r="KI167" s="940"/>
      <c r="KJ167" s="940"/>
      <c r="KK167" s="940"/>
      <c r="KL167" s="940"/>
      <c r="KM167" s="940"/>
      <c r="KN167" s="940"/>
      <c r="KO167" s="940"/>
      <c r="KP167" s="940"/>
      <c r="KQ167" s="940"/>
      <c r="KR167" s="940"/>
      <c r="KS167" s="940"/>
      <c r="KT167" s="940"/>
      <c r="KU167" s="940"/>
      <c r="KV167" s="940"/>
      <c r="KW167" s="940"/>
      <c r="KX167" s="940"/>
      <c r="KY167" s="940"/>
      <c r="KZ167" s="940"/>
      <c r="LA167" s="940"/>
      <c r="LB167" s="940"/>
      <c r="LC167" s="940"/>
      <c r="LD167" s="940"/>
      <c r="LE167" s="940"/>
      <c r="LF167" s="940"/>
      <c r="LG167" s="940"/>
      <c r="LH167" s="940"/>
    </row>
    <row r="168" spans="1:320" s="462" customFormat="1" ht="15" hidden="1" customHeight="1" outlineLevel="1" x14ac:dyDescent="0.25">
      <c r="A168" s="1205">
        <v>42839</v>
      </c>
      <c r="B168" s="1205"/>
      <c r="C168" s="463"/>
      <c r="D168" s="461"/>
      <c r="H168" s="932"/>
      <c r="I168" s="37"/>
      <c r="J168" s="932"/>
      <c r="K168" s="37"/>
      <c r="L168" s="932"/>
      <c r="M168" s="37"/>
      <c r="N168" s="932"/>
      <c r="O168" s="37"/>
      <c r="P168" s="932"/>
      <c r="Q168" s="37"/>
      <c r="R168" s="932"/>
      <c r="S168" s="37"/>
      <c r="T168" s="37"/>
      <c r="U168" s="37"/>
      <c r="V168" s="932"/>
      <c r="W168" s="37"/>
      <c r="X168" s="932"/>
      <c r="Y168" s="37"/>
      <c r="Z168" s="932"/>
      <c r="AA168" s="37"/>
      <c r="AB168" s="932"/>
      <c r="AC168" s="37"/>
      <c r="AD168" s="932"/>
      <c r="AE168" s="37"/>
      <c r="AF168" s="932"/>
      <c r="AG168" s="37"/>
      <c r="AH168" s="37"/>
      <c r="AI168" s="37"/>
      <c r="AJ168" s="932"/>
      <c r="AK168" s="37"/>
      <c r="AL168" s="932"/>
      <c r="AM168" s="37"/>
      <c r="AN168" s="932"/>
      <c r="AO168" s="37"/>
      <c r="AP168" s="932"/>
      <c r="AQ168" s="37"/>
      <c r="AR168" s="37"/>
      <c r="AS168" s="37"/>
      <c r="AT168" s="37"/>
      <c r="AU168" s="37"/>
      <c r="AV168" s="37"/>
      <c r="AW168" s="37"/>
      <c r="AX168" s="932"/>
      <c r="AY168" s="37"/>
      <c r="AZ168" s="932"/>
      <c r="BA168" s="37"/>
      <c r="BB168" s="932"/>
      <c r="BC168" s="37"/>
      <c r="BD168" s="932"/>
      <c r="BE168" s="37"/>
      <c r="BF168" s="932"/>
      <c r="BG168" s="37"/>
      <c r="BH168" s="37"/>
      <c r="BI168" s="37"/>
      <c r="BJ168" s="37"/>
      <c r="BK168" s="37"/>
      <c r="BL168" s="932"/>
      <c r="BM168" s="37"/>
      <c r="BN168" s="932"/>
      <c r="BO168" s="37"/>
      <c r="BP168" s="932"/>
      <c r="BQ168" s="37"/>
      <c r="BR168" s="932"/>
      <c r="BS168" s="37"/>
      <c r="BT168" s="932"/>
      <c r="BU168" s="932"/>
      <c r="BV168" s="932"/>
      <c r="BW168" s="932"/>
      <c r="BX168" s="37"/>
      <c r="BY168" s="37"/>
      <c r="BZ168" s="932"/>
      <c r="CA168" s="37"/>
      <c r="CB168" s="932"/>
      <c r="CC168" s="37"/>
      <c r="CD168" s="932"/>
      <c r="CE168" s="37"/>
      <c r="CF168" s="932"/>
      <c r="CG168" s="37"/>
      <c r="CH168" s="932"/>
      <c r="CI168" s="932"/>
      <c r="CJ168" s="932"/>
      <c r="CK168" s="932"/>
      <c r="CL168" s="37"/>
      <c r="CM168" s="37"/>
      <c r="CN168" s="932"/>
      <c r="CO168" s="37"/>
      <c r="CP168" s="932"/>
      <c r="CQ168" s="37"/>
      <c r="CR168" s="932"/>
      <c r="CS168" s="37"/>
      <c r="CT168" s="932"/>
      <c r="CU168" s="37"/>
      <c r="CV168" s="932"/>
      <c r="CW168" s="932"/>
      <c r="CX168" s="932"/>
      <c r="CY168" s="932"/>
      <c r="CZ168" s="37"/>
      <c r="DA168" s="37"/>
      <c r="DB168" s="932"/>
      <c r="DC168" s="37"/>
      <c r="DD168" s="932"/>
      <c r="DE168" s="37"/>
      <c r="DF168" s="932"/>
      <c r="DG168" s="37"/>
      <c r="DH168" s="932"/>
      <c r="DI168" s="37"/>
      <c r="DJ168" s="932"/>
      <c r="DK168" s="932"/>
      <c r="DL168" s="932"/>
      <c r="DM168" s="932"/>
      <c r="DN168" s="37"/>
      <c r="DO168" s="37"/>
      <c r="DP168" s="932"/>
      <c r="DQ168" s="37"/>
      <c r="DR168" s="932"/>
      <c r="DS168" s="37"/>
      <c r="DT168" s="932"/>
      <c r="DU168" s="37"/>
      <c r="DV168" s="932"/>
      <c r="DW168" s="37"/>
      <c r="DX168" s="932"/>
      <c r="DY168" s="932"/>
      <c r="DZ168" s="932"/>
      <c r="EA168" s="932"/>
      <c r="EB168" s="37"/>
      <c r="EC168" s="37"/>
      <c r="EE168" s="941"/>
      <c r="EG168" s="938"/>
      <c r="EI168" s="938"/>
      <c r="EK168" s="938"/>
      <c r="EM168" s="938"/>
      <c r="EO168" s="938"/>
      <c r="EQ168" s="938"/>
      <c r="ES168" s="938"/>
      <c r="EU168" s="938"/>
      <c r="EW168" s="938"/>
      <c r="EY168" s="938"/>
      <c r="FA168" s="938"/>
      <c r="FC168" s="938"/>
      <c r="FE168" s="938"/>
      <c r="FG168" s="938"/>
      <c r="FI168" s="938"/>
      <c r="FK168" s="938"/>
      <c r="FM168" s="938"/>
      <c r="FO168" s="938"/>
      <c r="FQ168" s="938"/>
      <c r="FS168" s="938"/>
      <c r="FU168" s="938"/>
      <c r="FW168" s="938"/>
      <c r="FY168" s="938"/>
      <c r="GA168" s="938"/>
      <c r="GC168" s="938"/>
      <c r="GE168" s="938"/>
      <c r="GG168" s="938"/>
      <c r="GI168" s="938"/>
      <c r="GK168" s="938"/>
      <c r="GM168" s="938"/>
      <c r="GO168" s="938"/>
      <c r="GQ168" s="938"/>
      <c r="GS168" s="938"/>
      <c r="GU168" s="938"/>
      <c r="GW168" s="938"/>
      <c r="GY168" s="938"/>
      <c r="HA168" s="938"/>
      <c r="HC168" s="938"/>
      <c r="HE168" s="938"/>
      <c r="HG168" s="938"/>
      <c r="HI168" s="938"/>
      <c r="HK168" s="938"/>
      <c r="HM168" s="938"/>
      <c r="HO168" s="938"/>
      <c r="HQ168" s="938"/>
      <c r="HS168" s="938"/>
      <c r="HU168" s="938"/>
      <c r="HW168" s="938"/>
      <c r="HY168" s="938"/>
      <c r="IA168" s="938"/>
      <c r="IC168" s="938"/>
      <c r="IE168" s="938"/>
      <c r="IG168" s="938"/>
      <c r="II168" s="938"/>
      <c r="IK168" s="938"/>
      <c r="IM168" s="938"/>
      <c r="IO168" s="938"/>
      <c r="IQ168" s="938"/>
      <c r="IS168" s="938"/>
      <c r="IT168" s="932"/>
      <c r="IU168" s="938"/>
      <c r="IW168" s="939"/>
      <c r="IX168" s="938"/>
      <c r="IY168" s="938"/>
      <c r="IZ168" s="938"/>
      <c r="JB168" s="940"/>
      <c r="JC168" s="940"/>
      <c r="JD168" s="940"/>
      <c r="JE168" s="940"/>
      <c r="JF168" s="940"/>
      <c r="JG168" s="940"/>
      <c r="JH168" s="940"/>
      <c r="JI168" s="940"/>
      <c r="JJ168" s="940"/>
      <c r="JK168" s="940"/>
      <c r="JL168" s="940"/>
      <c r="JM168" s="940"/>
      <c r="JN168" s="940"/>
      <c r="JO168" s="940"/>
      <c r="JP168" s="940"/>
      <c r="JQ168" s="940"/>
      <c r="JR168" s="940"/>
      <c r="JS168" s="940"/>
      <c r="JT168" s="940"/>
      <c r="JU168" s="940"/>
      <c r="JV168" s="940"/>
      <c r="JW168" s="940"/>
      <c r="JX168" s="940"/>
      <c r="JY168" s="940"/>
      <c r="JZ168" s="940"/>
      <c r="KA168" s="940"/>
      <c r="KB168" s="940"/>
      <c r="KC168" s="940"/>
      <c r="KD168" s="940"/>
      <c r="KE168" s="940"/>
      <c r="KF168" s="940"/>
      <c r="KG168" s="940"/>
      <c r="KH168" s="940"/>
      <c r="KI168" s="940"/>
      <c r="KJ168" s="940"/>
      <c r="KK168" s="940"/>
      <c r="KL168" s="940"/>
      <c r="KM168" s="940"/>
      <c r="KN168" s="940"/>
      <c r="KO168" s="940"/>
      <c r="KP168" s="940"/>
      <c r="KQ168" s="940"/>
      <c r="KR168" s="940"/>
      <c r="KS168" s="940"/>
      <c r="KT168" s="940"/>
      <c r="KU168" s="940"/>
      <c r="KV168" s="940"/>
      <c r="KW168" s="940"/>
      <c r="KX168" s="940"/>
      <c r="KY168" s="940"/>
      <c r="KZ168" s="940"/>
      <c r="LA168" s="940"/>
      <c r="LB168" s="940"/>
      <c r="LC168" s="940"/>
      <c r="LD168" s="940"/>
      <c r="LE168" s="940"/>
      <c r="LF168" s="940"/>
      <c r="LG168" s="940"/>
      <c r="LH168" s="940"/>
    </row>
    <row r="169" spans="1:320" s="462" customFormat="1" ht="15" hidden="1" customHeight="1" outlineLevel="1" x14ac:dyDescent="0.25">
      <c r="A169" s="1205">
        <v>42884</v>
      </c>
      <c r="B169" s="1205"/>
      <c r="C169" s="463"/>
      <c r="D169" s="461"/>
      <c r="H169" s="932"/>
      <c r="I169" s="37"/>
      <c r="J169" s="932"/>
      <c r="K169" s="37"/>
      <c r="L169" s="932"/>
      <c r="M169" s="37"/>
      <c r="N169" s="932"/>
      <c r="O169" s="37"/>
      <c r="P169" s="932"/>
      <c r="Q169" s="37"/>
      <c r="R169" s="932"/>
      <c r="S169" s="37"/>
      <c r="T169" s="37"/>
      <c r="U169" s="37"/>
      <c r="V169" s="932"/>
      <c r="W169" s="37"/>
      <c r="X169" s="932"/>
      <c r="Y169" s="37"/>
      <c r="Z169" s="932"/>
      <c r="AA169" s="37"/>
      <c r="AB169" s="932"/>
      <c r="AC169" s="37"/>
      <c r="AD169" s="932"/>
      <c r="AE169" s="37"/>
      <c r="AF169" s="932"/>
      <c r="AG169" s="37"/>
      <c r="AH169" s="37"/>
      <c r="AI169" s="37"/>
      <c r="AJ169" s="932"/>
      <c r="AK169" s="37"/>
      <c r="AL169" s="932"/>
      <c r="AM169" s="37"/>
      <c r="AN169" s="932"/>
      <c r="AO169" s="37"/>
      <c r="AP169" s="932"/>
      <c r="AQ169" s="37"/>
      <c r="AR169" s="37"/>
      <c r="AS169" s="37"/>
      <c r="AT169" s="37"/>
      <c r="AU169" s="37"/>
      <c r="AV169" s="37"/>
      <c r="AW169" s="37"/>
      <c r="AX169" s="932"/>
      <c r="AY169" s="37"/>
      <c r="AZ169" s="932"/>
      <c r="BA169" s="37"/>
      <c r="BB169" s="932"/>
      <c r="BC169" s="37"/>
      <c r="BD169" s="932"/>
      <c r="BE169" s="37"/>
      <c r="BF169" s="932"/>
      <c r="BG169" s="37"/>
      <c r="BH169" s="37"/>
      <c r="BI169" s="37"/>
      <c r="BJ169" s="37"/>
      <c r="BK169" s="37"/>
      <c r="BL169" s="932"/>
      <c r="BM169" s="37"/>
      <c r="BN169" s="932"/>
      <c r="BO169" s="37"/>
      <c r="BP169" s="932"/>
      <c r="BQ169" s="37"/>
      <c r="BR169" s="932"/>
      <c r="BS169" s="37"/>
      <c r="BT169" s="932"/>
      <c r="BU169" s="932"/>
      <c r="BV169" s="932"/>
      <c r="BW169" s="932"/>
      <c r="BX169" s="37"/>
      <c r="BY169" s="37"/>
      <c r="BZ169" s="932"/>
      <c r="CA169" s="37"/>
      <c r="CB169" s="932"/>
      <c r="CC169" s="37"/>
      <c r="CD169" s="932"/>
      <c r="CE169" s="37"/>
      <c r="CF169" s="932"/>
      <c r="CG169" s="37"/>
      <c r="CH169" s="932"/>
      <c r="CI169" s="932"/>
      <c r="CJ169" s="932"/>
      <c r="CK169" s="932"/>
      <c r="CL169" s="37"/>
      <c r="CM169" s="37"/>
      <c r="CN169" s="932"/>
      <c r="CO169" s="37"/>
      <c r="CP169" s="932"/>
      <c r="CQ169" s="37"/>
      <c r="CR169" s="932"/>
      <c r="CS169" s="37"/>
      <c r="CT169" s="932"/>
      <c r="CU169" s="37"/>
      <c r="CV169" s="932"/>
      <c r="CW169" s="932"/>
      <c r="CX169" s="932"/>
      <c r="CY169" s="932"/>
      <c r="CZ169" s="37"/>
      <c r="DA169" s="37"/>
      <c r="DB169" s="932"/>
      <c r="DC169" s="37"/>
      <c r="DD169" s="932"/>
      <c r="DE169" s="37"/>
      <c r="DF169" s="932"/>
      <c r="DG169" s="37"/>
      <c r="DH169" s="932"/>
      <c r="DI169" s="37"/>
      <c r="DJ169" s="932"/>
      <c r="DK169" s="932"/>
      <c r="DL169" s="932"/>
      <c r="DM169" s="932"/>
      <c r="DN169" s="37"/>
      <c r="DO169" s="37"/>
      <c r="DP169" s="932"/>
      <c r="DQ169" s="37"/>
      <c r="DR169" s="932"/>
      <c r="DS169" s="37"/>
      <c r="DT169" s="932"/>
      <c r="DU169" s="37"/>
      <c r="DV169" s="932"/>
      <c r="DW169" s="37"/>
      <c r="DX169" s="932"/>
      <c r="DY169" s="932"/>
      <c r="DZ169" s="932"/>
      <c r="EA169" s="932"/>
      <c r="EB169" s="37"/>
      <c r="EC169" s="37"/>
      <c r="EE169" s="941"/>
      <c r="EG169" s="938"/>
      <c r="EI169" s="938"/>
      <c r="EK169" s="938"/>
      <c r="EM169" s="938"/>
      <c r="EO169" s="938"/>
      <c r="EQ169" s="938"/>
      <c r="ES169" s="938"/>
      <c r="EU169" s="938"/>
      <c r="EW169" s="938"/>
      <c r="EY169" s="938"/>
      <c r="FA169" s="938"/>
      <c r="FC169" s="938"/>
      <c r="FE169" s="938"/>
      <c r="FG169" s="938"/>
      <c r="FI169" s="938"/>
      <c r="FK169" s="938"/>
      <c r="FM169" s="938"/>
      <c r="FO169" s="938"/>
      <c r="FQ169" s="938"/>
      <c r="FS169" s="938"/>
      <c r="FU169" s="938"/>
      <c r="FW169" s="938"/>
      <c r="FY169" s="938"/>
      <c r="GA169" s="938"/>
      <c r="GC169" s="938"/>
      <c r="GE169" s="938"/>
      <c r="GG169" s="938"/>
      <c r="GI169" s="938"/>
      <c r="GK169" s="938"/>
      <c r="GM169" s="938"/>
      <c r="GO169" s="938"/>
      <c r="GQ169" s="938"/>
      <c r="GS169" s="938"/>
      <c r="GU169" s="938"/>
      <c r="GW169" s="938"/>
      <c r="GY169" s="938"/>
      <c r="HA169" s="938"/>
      <c r="HC169" s="938"/>
      <c r="HE169" s="938"/>
      <c r="HG169" s="938"/>
      <c r="HI169" s="938"/>
      <c r="HK169" s="938"/>
      <c r="HM169" s="938"/>
      <c r="HO169" s="938"/>
      <c r="HQ169" s="938"/>
      <c r="HS169" s="938"/>
      <c r="HU169" s="938"/>
      <c r="HW169" s="938"/>
      <c r="HY169" s="938"/>
      <c r="IA169" s="938"/>
      <c r="IC169" s="938"/>
      <c r="IE169" s="938"/>
      <c r="IG169" s="938"/>
      <c r="II169" s="938"/>
      <c r="IK169" s="938"/>
      <c r="IM169" s="938"/>
      <c r="IO169" s="938"/>
      <c r="IQ169" s="938"/>
      <c r="IS169" s="938"/>
      <c r="IT169" s="932"/>
      <c r="IU169" s="938"/>
      <c r="IW169" s="939"/>
      <c r="IX169" s="938"/>
      <c r="IY169" s="938"/>
      <c r="IZ169" s="938"/>
      <c r="JB169" s="940"/>
      <c r="JC169" s="940"/>
      <c r="JD169" s="940"/>
      <c r="JE169" s="940"/>
      <c r="JF169" s="940"/>
      <c r="JG169" s="940"/>
      <c r="JH169" s="940"/>
      <c r="JI169" s="940"/>
      <c r="JJ169" s="940"/>
      <c r="JK169" s="940"/>
      <c r="JL169" s="940"/>
      <c r="JM169" s="940"/>
      <c r="JN169" s="940"/>
      <c r="JO169" s="940"/>
      <c r="JP169" s="940"/>
      <c r="JQ169" s="940"/>
      <c r="JR169" s="940"/>
      <c r="JS169" s="940"/>
      <c r="JT169" s="940"/>
      <c r="JU169" s="940"/>
      <c r="JV169" s="940"/>
      <c r="JW169" s="940"/>
      <c r="JX169" s="940"/>
      <c r="JY169" s="940"/>
      <c r="JZ169" s="940"/>
      <c r="KA169" s="940"/>
      <c r="KB169" s="940"/>
      <c r="KC169" s="940"/>
      <c r="KD169" s="940"/>
      <c r="KE169" s="940"/>
      <c r="KF169" s="940"/>
      <c r="KG169" s="940"/>
      <c r="KH169" s="940"/>
      <c r="KI169" s="940"/>
      <c r="KJ169" s="940"/>
      <c r="KK169" s="940"/>
      <c r="KL169" s="940"/>
      <c r="KM169" s="940"/>
      <c r="KN169" s="940"/>
      <c r="KO169" s="940"/>
      <c r="KP169" s="940"/>
      <c r="KQ169" s="940"/>
      <c r="KR169" s="940"/>
      <c r="KS169" s="940"/>
      <c r="KT169" s="940"/>
      <c r="KU169" s="940"/>
      <c r="KV169" s="940"/>
      <c r="KW169" s="940"/>
      <c r="KX169" s="940"/>
      <c r="KY169" s="940"/>
      <c r="KZ169" s="940"/>
      <c r="LA169" s="940"/>
      <c r="LB169" s="940"/>
      <c r="LC169" s="940"/>
      <c r="LD169" s="940"/>
      <c r="LE169" s="940"/>
      <c r="LF169" s="940"/>
      <c r="LG169" s="940"/>
      <c r="LH169" s="940"/>
    </row>
    <row r="170" spans="1:320" s="462" customFormat="1" ht="15" hidden="1" customHeight="1" outlineLevel="1" x14ac:dyDescent="0.25">
      <c r="A170" s="1205">
        <v>42920</v>
      </c>
      <c r="B170" s="1205"/>
      <c r="C170" s="463"/>
      <c r="D170" s="461"/>
      <c r="H170" s="932"/>
      <c r="I170" s="37"/>
      <c r="J170" s="932"/>
      <c r="K170" s="37"/>
      <c r="L170" s="932"/>
      <c r="M170" s="37"/>
      <c r="N170" s="932"/>
      <c r="O170" s="37"/>
      <c r="P170" s="932"/>
      <c r="Q170" s="37"/>
      <c r="R170" s="932"/>
      <c r="S170" s="37"/>
      <c r="T170" s="37"/>
      <c r="U170" s="37"/>
      <c r="V170" s="932"/>
      <c r="W170" s="37"/>
      <c r="X170" s="932"/>
      <c r="Y170" s="37"/>
      <c r="Z170" s="932"/>
      <c r="AA170" s="37"/>
      <c r="AB170" s="932"/>
      <c r="AC170" s="37"/>
      <c r="AD170" s="932"/>
      <c r="AE170" s="37"/>
      <c r="AF170" s="932"/>
      <c r="AG170" s="37"/>
      <c r="AH170" s="37"/>
      <c r="AI170" s="37"/>
      <c r="AJ170" s="932"/>
      <c r="AK170" s="37"/>
      <c r="AL170" s="932"/>
      <c r="AM170" s="37"/>
      <c r="AN170" s="932"/>
      <c r="AO170" s="37"/>
      <c r="AP170" s="932"/>
      <c r="AQ170" s="37"/>
      <c r="AR170" s="37"/>
      <c r="AS170" s="37"/>
      <c r="AT170" s="37"/>
      <c r="AU170" s="37"/>
      <c r="AV170" s="37"/>
      <c r="AW170" s="37"/>
      <c r="AX170" s="932"/>
      <c r="AY170" s="37"/>
      <c r="AZ170" s="932"/>
      <c r="BA170" s="37"/>
      <c r="BB170" s="932"/>
      <c r="BC170" s="37"/>
      <c r="BD170" s="932"/>
      <c r="BE170" s="37"/>
      <c r="BF170" s="932"/>
      <c r="BG170" s="37"/>
      <c r="BH170" s="37"/>
      <c r="BI170" s="37"/>
      <c r="BJ170" s="37"/>
      <c r="BK170" s="37"/>
      <c r="BL170" s="932"/>
      <c r="BM170" s="37"/>
      <c r="BN170" s="932"/>
      <c r="BO170" s="37"/>
      <c r="BP170" s="932"/>
      <c r="BQ170" s="37"/>
      <c r="BR170" s="932"/>
      <c r="BS170" s="37"/>
      <c r="BT170" s="932"/>
      <c r="BU170" s="932"/>
      <c r="BV170" s="932"/>
      <c r="BW170" s="932"/>
      <c r="BX170" s="37"/>
      <c r="BY170" s="37"/>
      <c r="BZ170" s="932"/>
      <c r="CA170" s="37"/>
      <c r="CB170" s="932"/>
      <c r="CC170" s="37"/>
      <c r="CD170" s="932"/>
      <c r="CE170" s="37"/>
      <c r="CF170" s="932"/>
      <c r="CG170" s="37"/>
      <c r="CH170" s="932"/>
      <c r="CI170" s="932"/>
      <c r="CJ170" s="932"/>
      <c r="CK170" s="932"/>
      <c r="CL170" s="37"/>
      <c r="CM170" s="37"/>
      <c r="CN170" s="932"/>
      <c r="CO170" s="37"/>
      <c r="CP170" s="932"/>
      <c r="CQ170" s="37"/>
      <c r="CR170" s="932"/>
      <c r="CS170" s="37"/>
      <c r="CT170" s="932"/>
      <c r="CU170" s="37"/>
      <c r="CV170" s="932"/>
      <c r="CW170" s="932"/>
      <c r="CX170" s="932"/>
      <c r="CY170" s="932"/>
      <c r="CZ170" s="37"/>
      <c r="DA170" s="37"/>
      <c r="DB170" s="932"/>
      <c r="DC170" s="37"/>
      <c r="DD170" s="932"/>
      <c r="DE170" s="37"/>
      <c r="DF170" s="932"/>
      <c r="DG170" s="37"/>
      <c r="DH170" s="932"/>
      <c r="DI170" s="37"/>
      <c r="DJ170" s="932"/>
      <c r="DK170" s="932"/>
      <c r="DL170" s="932"/>
      <c r="DM170" s="932"/>
      <c r="DN170" s="37"/>
      <c r="DO170" s="37"/>
      <c r="DP170" s="932"/>
      <c r="DQ170" s="37"/>
      <c r="DR170" s="932"/>
      <c r="DS170" s="37"/>
      <c r="DT170" s="932"/>
      <c r="DU170" s="37"/>
      <c r="DV170" s="932"/>
      <c r="DW170" s="37"/>
      <c r="DX170" s="932"/>
      <c r="DY170" s="932"/>
      <c r="DZ170" s="932"/>
      <c r="EA170" s="932"/>
      <c r="EB170" s="37"/>
      <c r="EC170" s="37"/>
      <c r="EE170" s="941"/>
      <c r="EG170" s="938"/>
      <c r="EI170" s="938"/>
      <c r="EK170" s="938"/>
      <c r="EM170" s="938"/>
      <c r="EO170" s="938"/>
      <c r="EQ170" s="938"/>
      <c r="ES170" s="938"/>
      <c r="EU170" s="938"/>
      <c r="EW170" s="938"/>
      <c r="EY170" s="938"/>
      <c r="FA170" s="938"/>
      <c r="FC170" s="938"/>
      <c r="FE170" s="938"/>
      <c r="FG170" s="938"/>
      <c r="FI170" s="938"/>
      <c r="FK170" s="938"/>
      <c r="FM170" s="938"/>
      <c r="FO170" s="938"/>
      <c r="FQ170" s="938"/>
      <c r="FS170" s="938"/>
      <c r="FU170" s="938"/>
      <c r="FW170" s="938"/>
      <c r="FY170" s="938"/>
      <c r="GA170" s="938"/>
      <c r="GC170" s="938"/>
      <c r="GE170" s="938"/>
      <c r="GG170" s="938"/>
      <c r="GI170" s="938"/>
      <c r="GK170" s="938"/>
      <c r="GM170" s="938"/>
      <c r="GO170" s="938"/>
      <c r="GQ170" s="938"/>
      <c r="GS170" s="938"/>
      <c r="GU170" s="938"/>
      <c r="GW170" s="938"/>
      <c r="GY170" s="938"/>
      <c r="HA170" s="938"/>
      <c r="HC170" s="938"/>
      <c r="HE170" s="938"/>
      <c r="HG170" s="938"/>
      <c r="HI170" s="938"/>
      <c r="HK170" s="938"/>
      <c r="HM170" s="938"/>
      <c r="HO170" s="938"/>
      <c r="HQ170" s="938"/>
      <c r="HS170" s="938"/>
      <c r="HU170" s="938"/>
      <c r="HW170" s="938"/>
      <c r="HY170" s="938"/>
      <c r="IA170" s="938"/>
      <c r="IC170" s="938"/>
      <c r="IE170" s="938"/>
      <c r="IG170" s="938"/>
      <c r="II170" s="938"/>
      <c r="IK170" s="938"/>
      <c r="IM170" s="938"/>
      <c r="IO170" s="938"/>
      <c r="IQ170" s="938"/>
      <c r="IS170" s="938"/>
      <c r="IT170" s="932"/>
      <c r="IU170" s="938"/>
      <c r="IW170" s="939"/>
      <c r="IX170" s="938"/>
      <c r="IY170" s="938"/>
      <c r="IZ170" s="938"/>
      <c r="JB170" s="940"/>
      <c r="JC170" s="940"/>
      <c r="JD170" s="940"/>
      <c r="JE170" s="940"/>
      <c r="JF170" s="940"/>
      <c r="JG170" s="940"/>
      <c r="JH170" s="940"/>
      <c r="JI170" s="940"/>
      <c r="JJ170" s="940"/>
      <c r="JK170" s="940"/>
      <c r="JL170" s="940"/>
      <c r="JM170" s="940"/>
      <c r="JN170" s="940"/>
      <c r="JO170" s="940"/>
      <c r="JP170" s="940"/>
      <c r="JQ170" s="940"/>
      <c r="JR170" s="940"/>
      <c r="JS170" s="940"/>
      <c r="JT170" s="940"/>
      <c r="JU170" s="940"/>
      <c r="JV170" s="940"/>
      <c r="JW170" s="940"/>
      <c r="JX170" s="940"/>
      <c r="JY170" s="940"/>
      <c r="JZ170" s="940"/>
      <c r="KA170" s="940"/>
      <c r="KB170" s="940"/>
      <c r="KC170" s="940"/>
      <c r="KD170" s="940"/>
      <c r="KE170" s="940"/>
      <c r="KF170" s="940"/>
      <c r="KG170" s="940"/>
      <c r="KH170" s="940"/>
      <c r="KI170" s="940"/>
      <c r="KJ170" s="940"/>
      <c r="KK170" s="940"/>
      <c r="KL170" s="940"/>
      <c r="KM170" s="940"/>
      <c r="KN170" s="940"/>
      <c r="KO170" s="940"/>
      <c r="KP170" s="940"/>
      <c r="KQ170" s="940"/>
      <c r="KR170" s="940"/>
      <c r="KS170" s="940"/>
      <c r="KT170" s="940"/>
      <c r="KU170" s="940"/>
      <c r="KV170" s="940"/>
      <c r="KW170" s="940"/>
      <c r="KX170" s="940"/>
      <c r="KY170" s="940"/>
      <c r="KZ170" s="940"/>
      <c r="LA170" s="940"/>
      <c r="LB170" s="940"/>
      <c r="LC170" s="940"/>
      <c r="LD170" s="940"/>
      <c r="LE170" s="940"/>
      <c r="LF170" s="940"/>
      <c r="LG170" s="940"/>
      <c r="LH170" s="940"/>
    </row>
    <row r="171" spans="1:320" s="462" customFormat="1" ht="15" hidden="1" customHeight="1" outlineLevel="1" x14ac:dyDescent="0.25">
      <c r="A171" s="1205">
        <v>42982</v>
      </c>
      <c r="B171" s="1205"/>
      <c r="C171" s="463"/>
      <c r="D171" s="461"/>
      <c r="H171" s="932"/>
      <c r="I171" s="37"/>
      <c r="J171" s="932"/>
      <c r="K171" s="37"/>
      <c r="L171" s="932"/>
      <c r="M171" s="37"/>
      <c r="N171" s="932"/>
      <c r="O171" s="37"/>
      <c r="P171" s="932"/>
      <c r="Q171" s="37"/>
      <c r="R171" s="932"/>
      <c r="S171" s="37"/>
      <c r="T171" s="37"/>
      <c r="U171" s="37"/>
      <c r="V171" s="932"/>
      <c r="W171" s="37"/>
      <c r="X171" s="932"/>
      <c r="Y171" s="37"/>
      <c r="Z171" s="932"/>
      <c r="AA171" s="37"/>
      <c r="AB171" s="932"/>
      <c r="AC171" s="37"/>
      <c r="AD171" s="932"/>
      <c r="AE171" s="37"/>
      <c r="AF171" s="932"/>
      <c r="AG171" s="37"/>
      <c r="AH171" s="37"/>
      <c r="AI171" s="37"/>
      <c r="AJ171" s="932"/>
      <c r="AK171" s="37"/>
      <c r="AL171" s="932"/>
      <c r="AM171" s="37"/>
      <c r="AN171" s="932"/>
      <c r="AO171" s="37"/>
      <c r="AP171" s="932"/>
      <c r="AQ171" s="37"/>
      <c r="AR171" s="37"/>
      <c r="AS171" s="37"/>
      <c r="AT171" s="37"/>
      <c r="AU171" s="37"/>
      <c r="AV171" s="37"/>
      <c r="AW171" s="37"/>
      <c r="AX171" s="932"/>
      <c r="AY171" s="37"/>
      <c r="AZ171" s="932"/>
      <c r="BA171" s="37"/>
      <c r="BB171" s="932"/>
      <c r="BC171" s="37"/>
      <c r="BD171" s="932"/>
      <c r="BE171" s="37"/>
      <c r="BF171" s="932"/>
      <c r="BG171" s="37"/>
      <c r="BH171" s="37"/>
      <c r="BI171" s="37"/>
      <c r="BJ171" s="37"/>
      <c r="BK171" s="37"/>
      <c r="BL171" s="932"/>
      <c r="BM171" s="37"/>
      <c r="BN171" s="932"/>
      <c r="BO171" s="37"/>
      <c r="BP171" s="932"/>
      <c r="BQ171" s="37"/>
      <c r="BR171" s="932"/>
      <c r="BS171" s="37"/>
      <c r="BT171" s="932"/>
      <c r="BU171" s="932"/>
      <c r="BV171" s="932"/>
      <c r="BW171" s="932"/>
      <c r="BX171" s="37"/>
      <c r="BY171" s="37"/>
      <c r="BZ171" s="932"/>
      <c r="CA171" s="37"/>
      <c r="CB171" s="932"/>
      <c r="CC171" s="37"/>
      <c r="CD171" s="932"/>
      <c r="CE171" s="37"/>
      <c r="CF171" s="932"/>
      <c r="CG171" s="37"/>
      <c r="CH171" s="932"/>
      <c r="CI171" s="932"/>
      <c r="CJ171" s="932"/>
      <c r="CK171" s="932"/>
      <c r="CL171" s="37"/>
      <c r="CM171" s="37"/>
      <c r="CN171" s="932"/>
      <c r="CO171" s="37"/>
      <c r="CP171" s="932"/>
      <c r="CQ171" s="37"/>
      <c r="CR171" s="932"/>
      <c r="CS171" s="37"/>
      <c r="CT171" s="932"/>
      <c r="CU171" s="37"/>
      <c r="CV171" s="932"/>
      <c r="CW171" s="932"/>
      <c r="CX171" s="932"/>
      <c r="CY171" s="932"/>
      <c r="CZ171" s="37"/>
      <c r="DA171" s="37"/>
      <c r="DB171" s="932"/>
      <c r="DC171" s="37"/>
      <c r="DD171" s="932"/>
      <c r="DE171" s="37"/>
      <c r="DF171" s="932"/>
      <c r="DG171" s="37"/>
      <c r="DH171" s="932"/>
      <c r="DI171" s="37"/>
      <c r="DJ171" s="932"/>
      <c r="DK171" s="932"/>
      <c r="DL171" s="932"/>
      <c r="DM171" s="932"/>
      <c r="DN171" s="37"/>
      <c r="DO171" s="37"/>
      <c r="DP171" s="932"/>
      <c r="DQ171" s="37"/>
      <c r="DR171" s="932"/>
      <c r="DS171" s="37"/>
      <c r="DT171" s="932"/>
      <c r="DU171" s="37"/>
      <c r="DV171" s="932"/>
      <c r="DW171" s="37"/>
      <c r="DX171" s="932"/>
      <c r="DY171" s="932"/>
      <c r="DZ171" s="932"/>
      <c r="EA171" s="932"/>
      <c r="EB171" s="37"/>
      <c r="EC171" s="37"/>
      <c r="EE171" s="941"/>
      <c r="EG171" s="938"/>
      <c r="EI171" s="938"/>
      <c r="EK171" s="938"/>
      <c r="EM171" s="938"/>
      <c r="EO171" s="938"/>
      <c r="EQ171" s="938"/>
      <c r="ES171" s="938"/>
      <c r="EU171" s="938"/>
      <c r="EW171" s="938"/>
      <c r="EY171" s="938"/>
      <c r="FA171" s="938"/>
      <c r="FC171" s="938"/>
      <c r="FE171" s="938"/>
      <c r="FG171" s="938"/>
      <c r="FI171" s="938"/>
      <c r="FK171" s="938"/>
      <c r="FM171" s="938"/>
      <c r="FO171" s="938"/>
      <c r="FQ171" s="938"/>
      <c r="FS171" s="938"/>
      <c r="FU171" s="938"/>
      <c r="FW171" s="938"/>
      <c r="FY171" s="938"/>
      <c r="GA171" s="938"/>
      <c r="GC171" s="938"/>
      <c r="GE171" s="938"/>
      <c r="GG171" s="938"/>
      <c r="GI171" s="938"/>
      <c r="GK171" s="938"/>
      <c r="GM171" s="938"/>
      <c r="GO171" s="938"/>
      <c r="GQ171" s="938"/>
      <c r="GS171" s="938"/>
      <c r="GU171" s="938"/>
      <c r="GW171" s="938"/>
      <c r="GY171" s="938"/>
      <c r="HA171" s="938"/>
      <c r="HC171" s="938"/>
      <c r="HE171" s="938"/>
      <c r="HG171" s="938"/>
      <c r="HI171" s="938"/>
      <c r="HK171" s="938"/>
      <c r="HM171" s="938"/>
      <c r="HO171" s="938"/>
      <c r="HQ171" s="938"/>
      <c r="HS171" s="938"/>
      <c r="HU171" s="938"/>
      <c r="HW171" s="938"/>
      <c r="HY171" s="938"/>
      <c r="IA171" s="938"/>
      <c r="IC171" s="938"/>
      <c r="IE171" s="938"/>
      <c r="IG171" s="938"/>
      <c r="II171" s="938"/>
      <c r="IK171" s="938"/>
      <c r="IM171" s="938"/>
      <c r="IO171" s="938"/>
      <c r="IQ171" s="938"/>
      <c r="IS171" s="938"/>
      <c r="IT171" s="932"/>
      <c r="IU171" s="938"/>
      <c r="IW171" s="939"/>
      <c r="IX171" s="938"/>
      <c r="IY171" s="938"/>
      <c r="IZ171" s="938"/>
      <c r="JB171" s="940"/>
      <c r="JC171" s="940"/>
      <c r="JD171" s="940"/>
      <c r="JE171" s="940"/>
      <c r="JF171" s="940"/>
      <c r="JG171" s="940"/>
      <c r="JH171" s="940"/>
      <c r="JI171" s="940"/>
      <c r="JJ171" s="940"/>
      <c r="JK171" s="940"/>
      <c r="JL171" s="940"/>
      <c r="JM171" s="940"/>
      <c r="JN171" s="940"/>
      <c r="JO171" s="940"/>
      <c r="JP171" s="940"/>
      <c r="JQ171" s="940"/>
      <c r="JR171" s="940"/>
      <c r="JS171" s="940"/>
      <c r="JT171" s="940"/>
      <c r="JU171" s="940"/>
      <c r="JV171" s="940"/>
      <c r="JW171" s="940"/>
      <c r="JX171" s="940"/>
      <c r="JY171" s="940"/>
      <c r="JZ171" s="940"/>
      <c r="KA171" s="940"/>
      <c r="KB171" s="940"/>
      <c r="KC171" s="940"/>
      <c r="KD171" s="940"/>
      <c r="KE171" s="940"/>
      <c r="KF171" s="940"/>
      <c r="KG171" s="940"/>
      <c r="KH171" s="940"/>
      <c r="KI171" s="940"/>
      <c r="KJ171" s="940"/>
      <c r="KK171" s="940"/>
      <c r="KL171" s="940"/>
      <c r="KM171" s="940"/>
      <c r="KN171" s="940"/>
      <c r="KO171" s="940"/>
      <c r="KP171" s="940"/>
      <c r="KQ171" s="940"/>
      <c r="KR171" s="940"/>
      <c r="KS171" s="940"/>
      <c r="KT171" s="940"/>
      <c r="KU171" s="940"/>
      <c r="KV171" s="940"/>
      <c r="KW171" s="940"/>
      <c r="KX171" s="940"/>
      <c r="KY171" s="940"/>
      <c r="KZ171" s="940"/>
      <c r="LA171" s="940"/>
      <c r="LB171" s="940"/>
      <c r="LC171" s="940"/>
      <c r="LD171" s="940"/>
      <c r="LE171" s="940"/>
      <c r="LF171" s="940"/>
      <c r="LG171" s="940"/>
      <c r="LH171" s="940"/>
    </row>
    <row r="172" spans="1:320" s="462" customFormat="1" ht="15" hidden="1" customHeight="1" outlineLevel="1" x14ac:dyDescent="0.25">
      <c r="A172" s="1205">
        <v>43049</v>
      </c>
      <c r="B172" s="1205"/>
      <c r="C172" s="463"/>
      <c r="D172" s="461"/>
      <c r="H172" s="932"/>
      <c r="I172" s="37"/>
      <c r="J172" s="932"/>
      <c r="K172" s="37"/>
      <c r="L172" s="932"/>
      <c r="M172" s="37"/>
      <c r="N172" s="932"/>
      <c r="O172" s="37"/>
      <c r="P172" s="932"/>
      <c r="Q172" s="37"/>
      <c r="R172" s="932"/>
      <c r="S172" s="37"/>
      <c r="T172" s="37"/>
      <c r="U172" s="37"/>
      <c r="V172" s="932"/>
      <c r="W172" s="37"/>
      <c r="X172" s="932"/>
      <c r="Y172" s="37"/>
      <c r="Z172" s="932"/>
      <c r="AA172" s="37"/>
      <c r="AB172" s="932"/>
      <c r="AC172" s="37"/>
      <c r="AD172" s="932"/>
      <c r="AE172" s="37"/>
      <c r="AF172" s="932"/>
      <c r="AG172" s="37"/>
      <c r="AH172" s="37"/>
      <c r="AI172" s="37"/>
      <c r="AJ172" s="932"/>
      <c r="AK172" s="37"/>
      <c r="AL172" s="932"/>
      <c r="AM172" s="37"/>
      <c r="AN172" s="932"/>
      <c r="AO172" s="37"/>
      <c r="AP172" s="932"/>
      <c r="AQ172" s="37"/>
      <c r="AR172" s="37"/>
      <c r="AS172" s="37"/>
      <c r="AT172" s="37"/>
      <c r="AU172" s="37"/>
      <c r="AV172" s="37"/>
      <c r="AW172" s="37"/>
      <c r="AX172" s="932"/>
      <c r="AY172" s="37"/>
      <c r="AZ172" s="932"/>
      <c r="BA172" s="37"/>
      <c r="BB172" s="932"/>
      <c r="BC172" s="37"/>
      <c r="BD172" s="932"/>
      <c r="BE172" s="37"/>
      <c r="BF172" s="932"/>
      <c r="BG172" s="37"/>
      <c r="BH172" s="37"/>
      <c r="BI172" s="37"/>
      <c r="BJ172" s="37"/>
      <c r="BK172" s="37"/>
      <c r="BL172" s="932"/>
      <c r="BM172" s="37"/>
      <c r="BN172" s="932"/>
      <c r="BO172" s="37"/>
      <c r="BP172" s="932"/>
      <c r="BQ172" s="37"/>
      <c r="BR172" s="932"/>
      <c r="BS172" s="37"/>
      <c r="BT172" s="932"/>
      <c r="BU172" s="932"/>
      <c r="BV172" s="932"/>
      <c r="BW172" s="932"/>
      <c r="BX172" s="37"/>
      <c r="BY172" s="37"/>
      <c r="BZ172" s="932"/>
      <c r="CA172" s="37"/>
      <c r="CB172" s="932"/>
      <c r="CC172" s="37"/>
      <c r="CD172" s="932"/>
      <c r="CE172" s="37"/>
      <c r="CF172" s="932"/>
      <c r="CG172" s="37"/>
      <c r="CH172" s="932"/>
      <c r="CI172" s="932"/>
      <c r="CJ172" s="932"/>
      <c r="CK172" s="932"/>
      <c r="CL172" s="37"/>
      <c r="CM172" s="37"/>
      <c r="CN172" s="932"/>
      <c r="CO172" s="37"/>
      <c r="CP172" s="932"/>
      <c r="CQ172" s="37"/>
      <c r="CR172" s="932"/>
      <c r="CS172" s="37"/>
      <c r="CT172" s="932"/>
      <c r="CU172" s="37"/>
      <c r="CV172" s="932"/>
      <c r="CW172" s="932"/>
      <c r="CX172" s="932"/>
      <c r="CY172" s="932"/>
      <c r="CZ172" s="37"/>
      <c r="DA172" s="37"/>
      <c r="DB172" s="932"/>
      <c r="DC172" s="37"/>
      <c r="DD172" s="932"/>
      <c r="DE172" s="37"/>
      <c r="DF172" s="932"/>
      <c r="DG172" s="37"/>
      <c r="DH172" s="932"/>
      <c r="DI172" s="37"/>
      <c r="DJ172" s="932"/>
      <c r="DK172" s="932"/>
      <c r="DL172" s="932"/>
      <c r="DM172" s="932"/>
      <c r="DN172" s="37"/>
      <c r="DO172" s="37"/>
      <c r="DP172" s="932"/>
      <c r="DQ172" s="37"/>
      <c r="DR172" s="932"/>
      <c r="DS172" s="37"/>
      <c r="DT172" s="932"/>
      <c r="DU172" s="37"/>
      <c r="DV172" s="932"/>
      <c r="DW172" s="37"/>
      <c r="DX172" s="932"/>
      <c r="DY172" s="932"/>
      <c r="DZ172" s="932"/>
      <c r="EA172" s="932"/>
      <c r="EB172" s="37"/>
      <c r="EC172" s="37"/>
      <c r="EE172" s="941"/>
      <c r="EG172" s="938"/>
      <c r="EI172" s="938"/>
      <c r="EK172" s="938"/>
      <c r="EM172" s="938"/>
      <c r="EO172" s="938"/>
      <c r="EQ172" s="938"/>
      <c r="ES172" s="938"/>
      <c r="EU172" s="938"/>
      <c r="EW172" s="938"/>
      <c r="EY172" s="938"/>
      <c r="FA172" s="938"/>
      <c r="FC172" s="938"/>
      <c r="FE172" s="938"/>
      <c r="FG172" s="938"/>
      <c r="FI172" s="938"/>
      <c r="FK172" s="938"/>
      <c r="FM172" s="938"/>
      <c r="FO172" s="938"/>
      <c r="FQ172" s="938"/>
      <c r="FS172" s="938"/>
      <c r="FU172" s="938"/>
      <c r="FW172" s="938"/>
      <c r="FY172" s="938"/>
      <c r="GA172" s="938"/>
      <c r="GC172" s="938"/>
      <c r="GE172" s="938"/>
      <c r="GG172" s="938"/>
      <c r="GI172" s="938"/>
      <c r="GK172" s="938"/>
      <c r="GM172" s="938"/>
      <c r="GO172" s="938"/>
      <c r="GQ172" s="938"/>
      <c r="GS172" s="938"/>
      <c r="GU172" s="938"/>
      <c r="GW172" s="938"/>
      <c r="GY172" s="938"/>
      <c r="HA172" s="938"/>
      <c r="HC172" s="938"/>
      <c r="HE172" s="938"/>
      <c r="HG172" s="938"/>
      <c r="HI172" s="938"/>
      <c r="HK172" s="938"/>
      <c r="HM172" s="938"/>
      <c r="HO172" s="938"/>
      <c r="HQ172" s="938"/>
      <c r="HS172" s="938"/>
      <c r="HU172" s="938"/>
      <c r="HW172" s="938"/>
      <c r="HY172" s="938"/>
      <c r="IA172" s="938"/>
      <c r="IC172" s="938"/>
      <c r="IE172" s="938"/>
      <c r="IG172" s="938"/>
      <c r="II172" s="938"/>
      <c r="IK172" s="938"/>
      <c r="IM172" s="938"/>
      <c r="IO172" s="938"/>
      <c r="IQ172" s="938"/>
      <c r="IS172" s="938"/>
      <c r="IT172" s="932"/>
      <c r="IU172" s="938"/>
      <c r="IW172" s="939"/>
      <c r="IX172" s="938"/>
      <c r="IY172" s="938"/>
      <c r="IZ172" s="938"/>
      <c r="JB172" s="940"/>
      <c r="JC172" s="940"/>
      <c r="JD172" s="940"/>
      <c r="JE172" s="940"/>
      <c r="JF172" s="940"/>
      <c r="JG172" s="940"/>
      <c r="JH172" s="940"/>
      <c r="JI172" s="940"/>
      <c r="JJ172" s="940"/>
      <c r="JK172" s="940"/>
      <c r="JL172" s="940"/>
      <c r="JM172" s="940"/>
      <c r="JN172" s="940"/>
      <c r="JO172" s="940"/>
      <c r="JP172" s="940"/>
      <c r="JQ172" s="940"/>
      <c r="JR172" s="940"/>
      <c r="JS172" s="940"/>
      <c r="JT172" s="940"/>
      <c r="JU172" s="940"/>
      <c r="JV172" s="940"/>
      <c r="JW172" s="940"/>
      <c r="JX172" s="940"/>
      <c r="JY172" s="940"/>
      <c r="JZ172" s="940"/>
      <c r="KA172" s="940"/>
      <c r="KB172" s="940"/>
      <c r="KC172" s="940"/>
      <c r="KD172" s="940"/>
      <c r="KE172" s="940"/>
      <c r="KF172" s="940"/>
      <c r="KG172" s="940"/>
      <c r="KH172" s="940"/>
      <c r="KI172" s="940"/>
      <c r="KJ172" s="940"/>
      <c r="KK172" s="940"/>
      <c r="KL172" s="940"/>
      <c r="KM172" s="940"/>
      <c r="KN172" s="940"/>
      <c r="KO172" s="940"/>
      <c r="KP172" s="940"/>
      <c r="KQ172" s="940"/>
      <c r="KR172" s="940"/>
      <c r="KS172" s="940"/>
      <c r="KT172" s="940"/>
      <c r="KU172" s="940"/>
      <c r="KV172" s="940"/>
      <c r="KW172" s="940"/>
      <c r="KX172" s="940"/>
      <c r="KY172" s="940"/>
      <c r="KZ172" s="940"/>
      <c r="LA172" s="940"/>
      <c r="LB172" s="940"/>
      <c r="LC172" s="940"/>
      <c r="LD172" s="940"/>
      <c r="LE172" s="940"/>
      <c r="LF172" s="940"/>
      <c r="LG172" s="940"/>
      <c r="LH172" s="940"/>
    </row>
    <row r="173" spans="1:320" s="462" customFormat="1" ht="15" hidden="1" customHeight="1" outlineLevel="1" x14ac:dyDescent="0.25">
      <c r="A173" s="1205">
        <v>43062</v>
      </c>
      <c r="B173" s="1205"/>
      <c r="C173" s="463"/>
      <c r="D173" s="461"/>
      <c r="H173" s="932"/>
      <c r="I173" s="37"/>
      <c r="J173" s="932"/>
      <c r="K173" s="37"/>
      <c r="L173" s="932"/>
      <c r="M173" s="37"/>
      <c r="N173" s="932"/>
      <c r="O173" s="37"/>
      <c r="P173" s="932"/>
      <c r="Q173" s="37"/>
      <c r="R173" s="932"/>
      <c r="S173" s="37"/>
      <c r="T173" s="37"/>
      <c r="U173" s="37"/>
      <c r="V173" s="932"/>
      <c r="W173" s="37"/>
      <c r="X173" s="932"/>
      <c r="Y173" s="37"/>
      <c r="Z173" s="932"/>
      <c r="AA173" s="37"/>
      <c r="AB173" s="932"/>
      <c r="AC173" s="37"/>
      <c r="AD173" s="932"/>
      <c r="AE173" s="37"/>
      <c r="AF173" s="932"/>
      <c r="AG173" s="37"/>
      <c r="AH173" s="37"/>
      <c r="AI173" s="37"/>
      <c r="AJ173" s="932"/>
      <c r="AK173" s="37"/>
      <c r="AL173" s="932"/>
      <c r="AM173" s="37"/>
      <c r="AN173" s="932"/>
      <c r="AO173" s="37"/>
      <c r="AP173" s="932"/>
      <c r="AQ173" s="37"/>
      <c r="AR173" s="37"/>
      <c r="AS173" s="37"/>
      <c r="AT173" s="37"/>
      <c r="AU173" s="37"/>
      <c r="AV173" s="37"/>
      <c r="AW173" s="37"/>
      <c r="AX173" s="932"/>
      <c r="AY173" s="37"/>
      <c r="AZ173" s="932"/>
      <c r="BA173" s="37"/>
      <c r="BB173" s="932"/>
      <c r="BC173" s="37"/>
      <c r="BD173" s="932"/>
      <c r="BE173" s="37"/>
      <c r="BF173" s="932"/>
      <c r="BG173" s="37"/>
      <c r="BH173" s="37"/>
      <c r="BI173" s="37"/>
      <c r="BJ173" s="37"/>
      <c r="BK173" s="37"/>
      <c r="BL173" s="932"/>
      <c r="BM173" s="37"/>
      <c r="BN173" s="932"/>
      <c r="BO173" s="37"/>
      <c r="BP173" s="932"/>
      <c r="BQ173" s="37"/>
      <c r="BR173" s="932"/>
      <c r="BS173" s="37"/>
      <c r="BT173" s="932"/>
      <c r="BU173" s="932"/>
      <c r="BV173" s="932"/>
      <c r="BW173" s="932"/>
      <c r="BX173" s="37"/>
      <c r="BY173" s="37"/>
      <c r="BZ173" s="932"/>
      <c r="CA173" s="37"/>
      <c r="CB173" s="932"/>
      <c r="CC173" s="37"/>
      <c r="CD173" s="932"/>
      <c r="CE173" s="37"/>
      <c r="CF173" s="932"/>
      <c r="CG173" s="37"/>
      <c r="CH173" s="932"/>
      <c r="CI173" s="932"/>
      <c r="CJ173" s="932"/>
      <c r="CK173" s="932"/>
      <c r="CL173" s="37"/>
      <c r="CM173" s="37"/>
      <c r="CN173" s="932"/>
      <c r="CO173" s="37"/>
      <c r="CP173" s="932"/>
      <c r="CQ173" s="37"/>
      <c r="CR173" s="932"/>
      <c r="CS173" s="37"/>
      <c r="CT173" s="932"/>
      <c r="CU173" s="37"/>
      <c r="CV173" s="932"/>
      <c r="CW173" s="932"/>
      <c r="CX173" s="932"/>
      <c r="CY173" s="932"/>
      <c r="CZ173" s="37"/>
      <c r="DA173" s="37"/>
      <c r="DB173" s="932"/>
      <c r="DC173" s="37"/>
      <c r="DD173" s="932"/>
      <c r="DE173" s="37"/>
      <c r="DF173" s="932"/>
      <c r="DG173" s="37"/>
      <c r="DH173" s="932"/>
      <c r="DI173" s="37"/>
      <c r="DJ173" s="932"/>
      <c r="DK173" s="932"/>
      <c r="DL173" s="932"/>
      <c r="DM173" s="932"/>
      <c r="DN173" s="37"/>
      <c r="DO173" s="37"/>
      <c r="DP173" s="932"/>
      <c r="DQ173" s="37"/>
      <c r="DR173" s="932"/>
      <c r="DS173" s="37"/>
      <c r="DT173" s="932"/>
      <c r="DU173" s="37"/>
      <c r="DV173" s="932"/>
      <c r="DW173" s="37"/>
      <c r="DX173" s="932"/>
      <c r="DY173" s="932"/>
      <c r="DZ173" s="932"/>
      <c r="EA173" s="932"/>
      <c r="EB173" s="37"/>
      <c r="EC173" s="37"/>
      <c r="EE173" s="941"/>
      <c r="EG173" s="938"/>
      <c r="EI173" s="938"/>
      <c r="EK173" s="938"/>
      <c r="EM173" s="938"/>
      <c r="EO173" s="938"/>
      <c r="EQ173" s="938"/>
      <c r="ES173" s="938"/>
      <c r="EU173" s="938"/>
      <c r="EW173" s="938"/>
      <c r="EY173" s="938"/>
      <c r="FA173" s="938"/>
      <c r="FC173" s="938"/>
      <c r="FE173" s="938"/>
      <c r="FG173" s="938"/>
      <c r="FI173" s="938"/>
      <c r="FK173" s="938"/>
      <c r="FM173" s="938"/>
      <c r="FO173" s="938"/>
      <c r="FQ173" s="938"/>
      <c r="FS173" s="938"/>
      <c r="FU173" s="938"/>
      <c r="FW173" s="938"/>
      <c r="FY173" s="938"/>
      <c r="GA173" s="938"/>
      <c r="GC173" s="938"/>
      <c r="GE173" s="938"/>
      <c r="GG173" s="938"/>
      <c r="GI173" s="938"/>
      <c r="GK173" s="938"/>
      <c r="GM173" s="938"/>
      <c r="GO173" s="938"/>
      <c r="GQ173" s="938"/>
      <c r="GS173" s="938"/>
      <c r="GU173" s="938"/>
      <c r="GW173" s="938"/>
      <c r="GY173" s="938"/>
      <c r="HA173" s="938"/>
      <c r="HC173" s="938"/>
      <c r="HE173" s="938"/>
      <c r="HG173" s="938"/>
      <c r="HI173" s="938"/>
      <c r="HK173" s="938"/>
      <c r="HM173" s="938"/>
      <c r="HO173" s="938"/>
      <c r="HQ173" s="938"/>
      <c r="HS173" s="938"/>
      <c r="HU173" s="938"/>
      <c r="HW173" s="938"/>
      <c r="HY173" s="938"/>
      <c r="IA173" s="938"/>
      <c r="IC173" s="938"/>
      <c r="IE173" s="938"/>
      <c r="IG173" s="938"/>
      <c r="II173" s="938"/>
      <c r="IK173" s="938"/>
      <c r="IM173" s="938"/>
      <c r="IO173" s="938"/>
      <c r="IQ173" s="938"/>
      <c r="IS173" s="938"/>
      <c r="IT173" s="932"/>
      <c r="IU173" s="938"/>
      <c r="IW173" s="939"/>
      <c r="IX173" s="938"/>
      <c r="IY173" s="938"/>
      <c r="IZ173" s="938"/>
      <c r="JB173" s="940"/>
      <c r="JC173" s="940"/>
      <c r="JD173" s="940"/>
      <c r="JE173" s="940"/>
      <c r="JF173" s="940"/>
      <c r="JG173" s="940"/>
      <c r="JH173" s="940"/>
      <c r="JI173" s="940"/>
      <c r="JJ173" s="940"/>
      <c r="JK173" s="940"/>
      <c r="JL173" s="940"/>
      <c r="JM173" s="940"/>
      <c r="JN173" s="940"/>
      <c r="JO173" s="940"/>
      <c r="JP173" s="940"/>
      <c r="JQ173" s="940"/>
      <c r="JR173" s="940"/>
      <c r="JS173" s="940"/>
      <c r="JT173" s="940"/>
      <c r="JU173" s="940"/>
      <c r="JV173" s="940"/>
      <c r="JW173" s="940"/>
      <c r="JX173" s="940"/>
      <c r="JY173" s="940"/>
      <c r="JZ173" s="940"/>
      <c r="KA173" s="940"/>
      <c r="KB173" s="940"/>
      <c r="KC173" s="940"/>
      <c r="KD173" s="940"/>
      <c r="KE173" s="940"/>
      <c r="KF173" s="940"/>
      <c r="KG173" s="940"/>
      <c r="KH173" s="940"/>
      <c r="KI173" s="940"/>
      <c r="KJ173" s="940"/>
      <c r="KK173" s="940"/>
      <c r="KL173" s="940"/>
      <c r="KM173" s="940"/>
      <c r="KN173" s="940"/>
      <c r="KO173" s="940"/>
      <c r="KP173" s="940"/>
      <c r="KQ173" s="940"/>
      <c r="KR173" s="940"/>
      <c r="KS173" s="940"/>
      <c r="KT173" s="940"/>
      <c r="KU173" s="940"/>
      <c r="KV173" s="940"/>
      <c r="KW173" s="940"/>
      <c r="KX173" s="940"/>
      <c r="KY173" s="940"/>
      <c r="KZ173" s="940"/>
      <c r="LA173" s="940"/>
      <c r="LB173" s="940"/>
      <c r="LC173" s="940"/>
      <c r="LD173" s="940"/>
      <c r="LE173" s="940"/>
      <c r="LF173" s="940"/>
      <c r="LG173" s="940"/>
      <c r="LH173" s="940"/>
    </row>
    <row r="174" spans="1:320" s="462" customFormat="1" ht="15" hidden="1" customHeight="1" outlineLevel="1" x14ac:dyDescent="0.25">
      <c r="A174" s="1205">
        <v>43063</v>
      </c>
      <c r="B174" s="1205"/>
      <c r="C174" s="463"/>
      <c r="D174" s="461"/>
      <c r="H174" s="932"/>
      <c r="I174" s="37"/>
      <c r="J174" s="932"/>
      <c r="K174" s="37"/>
      <c r="L174" s="932"/>
      <c r="M174" s="37"/>
      <c r="N174" s="932"/>
      <c r="O174" s="37"/>
      <c r="P174" s="932"/>
      <c r="Q174" s="37"/>
      <c r="R174" s="932"/>
      <c r="S174" s="37"/>
      <c r="T174" s="37"/>
      <c r="U174" s="37"/>
      <c r="V174" s="932"/>
      <c r="W174" s="37"/>
      <c r="X174" s="932"/>
      <c r="Y174" s="37"/>
      <c r="Z174" s="932"/>
      <c r="AA174" s="37"/>
      <c r="AB174" s="932"/>
      <c r="AC174" s="37"/>
      <c r="AD174" s="932"/>
      <c r="AE174" s="37"/>
      <c r="AF174" s="932"/>
      <c r="AG174" s="37"/>
      <c r="AH174" s="37"/>
      <c r="AI174" s="37"/>
      <c r="AJ174" s="932"/>
      <c r="AK174" s="37"/>
      <c r="AL174" s="932"/>
      <c r="AM174" s="37"/>
      <c r="AN174" s="932"/>
      <c r="AO174" s="37"/>
      <c r="AP174" s="932"/>
      <c r="AQ174" s="37"/>
      <c r="AR174" s="37"/>
      <c r="AS174" s="37"/>
      <c r="AT174" s="37"/>
      <c r="AU174" s="37"/>
      <c r="AV174" s="37"/>
      <c r="AW174" s="37"/>
      <c r="AX174" s="932"/>
      <c r="AY174" s="37"/>
      <c r="AZ174" s="932"/>
      <c r="BA174" s="37"/>
      <c r="BB174" s="932"/>
      <c r="BC174" s="37"/>
      <c r="BD174" s="932"/>
      <c r="BE174" s="37"/>
      <c r="BF174" s="932"/>
      <c r="BG174" s="37"/>
      <c r="BH174" s="37"/>
      <c r="BI174" s="37"/>
      <c r="BJ174" s="37"/>
      <c r="BK174" s="37"/>
      <c r="BL174" s="932"/>
      <c r="BM174" s="37"/>
      <c r="BN174" s="932"/>
      <c r="BO174" s="37"/>
      <c r="BP174" s="932"/>
      <c r="BQ174" s="37"/>
      <c r="BR174" s="932"/>
      <c r="BS174" s="37"/>
      <c r="BT174" s="932"/>
      <c r="BU174" s="932"/>
      <c r="BV174" s="932"/>
      <c r="BW174" s="932"/>
      <c r="BX174" s="37"/>
      <c r="BY174" s="37"/>
      <c r="BZ174" s="932"/>
      <c r="CA174" s="37"/>
      <c r="CB174" s="932"/>
      <c r="CC174" s="37"/>
      <c r="CD174" s="932"/>
      <c r="CE174" s="37"/>
      <c r="CF174" s="932"/>
      <c r="CG174" s="37"/>
      <c r="CH174" s="932"/>
      <c r="CI174" s="932"/>
      <c r="CJ174" s="932"/>
      <c r="CK174" s="932"/>
      <c r="CL174" s="37"/>
      <c r="CM174" s="37"/>
      <c r="CN174" s="932"/>
      <c r="CO174" s="37"/>
      <c r="CP174" s="932"/>
      <c r="CQ174" s="37"/>
      <c r="CR174" s="932"/>
      <c r="CS174" s="37"/>
      <c r="CT174" s="932"/>
      <c r="CU174" s="37"/>
      <c r="CV174" s="932"/>
      <c r="CW174" s="932"/>
      <c r="CX174" s="932"/>
      <c r="CY174" s="932"/>
      <c r="CZ174" s="37"/>
      <c r="DA174" s="37"/>
      <c r="DB174" s="932"/>
      <c r="DC174" s="37"/>
      <c r="DD174" s="932"/>
      <c r="DE174" s="37"/>
      <c r="DF174" s="932"/>
      <c r="DG174" s="37"/>
      <c r="DH174" s="932"/>
      <c r="DI174" s="37"/>
      <c r="DJ174" s="932"/>
      <c r="DK174" s="932"/>
      <c r="DL174" s="932"/>
      <c r="DM174" s="932"/>
      <c r="DN174" s="37"/>
      <c r="DO174" s="37"/>
      <c r="DP174" s="932"/>
      <c r="DQ174" s="37"/>
      <c r="DR174" s="932"/>
      <c r="DS174" s="37"/>
      <c r="DT174" s="932"/>
      <c r="DU174" s="37"/>
      <c r="DV174" s="932"/>
      <c r="DW174" s="37"/>
      <c r="DX174" s="932"/>
      <c r="DY174" s="932"/>
      <c r="DZ174" s="932"/>
      <c r="EA174" s="932"/>
      <c r="EB174" s="37"/>
      <c r="EC174" s="37"/>
      <c r="EE174" s="941"/>
      <c r="EG174" s="938"/>
      <c r="EI174" s="938"/>
      <c r="EK174" s="938"/>
      <c r="EM174" s="938"/>
      <c r="EO174" s="938"/>
      <c r="EQ174" s="938"/>
      <c r="ES174" s="938"/>
      <c r="EU174" s="938"/>
      <c r="EW174" s="938"/>
      <c r="EY174" s="938"/>
      <c r="FA174" s="938"/>
      <c r="FC174" s="938"/>
      <c r="FE174" s="938"/>
      <c r="FG174" s="938"/>
      <c r="FI174" s="938"/>
      <c r="FK174" s="938"/>
      <c r="FM174" s="938"/>
      <c r="FO174" s="938"/>
      <c r="FQ174" s="938"/>
      <c r="FS174" s="938"/>
      <c r="FU174" s="938"/>
      <c r="FW174" s="938"/>
      <c r="FY174" s="938"/>
      <c r="GA174" s="938"/>
      <c r="GC174" s="938"/>
      <c r="GE174" s="938"/>
      <c r="GG174" s="938"/>
      <c r="GI174" s="938"/>
      <c r="GK174" s="938"/>
      <c r="GM174" s="938"/>
      <c r="GO174" s="938"/>
      <c r="GQ174" s="938"/>
      <c r="GS174" s="938"/>
      <c r="GU174" s="938"/>
      <c r="GW174" s="938"/>
      <c r="GY174" s="938"/>
      <c r="HA174" s="938"/>
      <c r="HC174" s="938"/>
      <c r="HE174" s="938"/>
      <c r="HG174" s="938"/>
      <c r="HI174" s="938"/>
      <c r="HK174" s="938"/>
      <c r="HM174" s="938"/>
      <c r="HO174" s="938"/>
      <c r="HQ174" s="938"/>
      <c r="HS174" s="938"/>
      <c r="HU174" s="938"/>
      <c r="HW174" s="938"/>
      <c r="HY174" s="938"/>
      <c r="IA174" s="938"/>
      <c r="IC174" s="938"/>
      <c r="IE174" s="938"/>
      <c r="IG174" s="938"/>
      <c r="II174" s="938"/>
      <c r="IK174" s="938"/>
      <c r="IM174" s="938"/>
      <c r="IO174" s="938"/>
      <c r="IQ174" s="938"/>
      <c r="IS174" s="938"/>
      <c r="IT174" s="932"/>
      <c r="IU174" s="938"/>
      <c r="IW174" s="939"/>
      <c r="IX174" s="938"/>
      <c r="IY174" s="938"/>
      <c r="IZ174" s="938"/>
      <c r="JB174" s="940"/>
      <c r="JC174" s="940"/>
      <c r="JD174" s="940"/>
      <c r="JE174" s="940"/>
      <c r="JF174" s="940"/>
      <c r="JG174" s="940"/>
      <c r="JH174" s="940"/>
      <c r="JI174" s="940"/>
      <c r="JJ174" s="940"/>
      <c r="JK174" s="940"/>
      <c r="JL174" s="940"/>
      <c r="JM174" s="940"/>
      <c r="JN174" s="940"/>
      <c r="JO174" s="940"/>
      <c r="JP174" s="940"/>
      <c r="JQ174" s="940"/>
      <c r="JR174" s="940"/>
      <c r="JS174" s="940"/>
      <c r="JT174" s="940"/>
      <c r="JU174" s="940"/>
      <c r="JV174" s="940"/>
      <c r="JW174" s="940"/>
      <c r="JX174" s="940"/>
      <c r="JY174" s="940"/>
      <c r="JZ174" s="940"/>
      <c r="KA174" s="940"/>
      <c r="KB174" s="940"/>
      <c r="KC174" s="940"/>
      <c r="KD174" s="940"/>
      <c r="KE174" s="940"/>
      <c r="KF174" s="940"/>
      <c r="KG174" s="940"/>
      <c r="KH174" s="940"/>
      <c r="KI174" s="940"/>
      <c r="KJ174" s="940"/>
      <c r="KK174" s="940"/>
      <c r="KL174" s="940"/>
      <c r="KM174" s="940"/>
      <c r="KN174" s="940"/>
      <c r="KO174" s="940"/>
      <c r="KP174" s="940"/>
      <c r="KQ174" s="940"/>
      <c r="KR174" s="940"/>
      <c r="KS174" s="940"/>
      <c r="KT174" s="940"/>
      <c r="KU174" s="940"/>
      <c r="KV174" s="940"/>
      <c r="KW174" s="940"/>
      <c r="KX174" s="940"/>
      <c r="KY174" s="940"/>
      <c r="KZ174" s="940"/>
      <c r="LA174" s="940"/>
      <c r="LB174" s="940"/>
      <c r="LC174" s="940"/>
      <c r="LD174" s="940"/>
      <c r="LE174" s="940"/>
      <c r="LF174" s="940"/>
      <c r="LG174" s="940"/>
      <c r="LH174" s="940"/>
    </row>
    <row r="175" spans="1:320" s="462" customFormat="1" ht="15" hidden="1" customHeight="1" outlineLevel="1" x14ac:dyDescent="0.25">
      <c r="A175" s="1205">
        <v>43094</v>
      </c>
      <c r="B175" s="1205"/>
      <c r="C175" s="463"/>
      <c r="D175" s="461"/>
      <c r="H175" s="932"/>
      <c r="I175" s="37"/>
      <c r="J175" s="932"/>
      <c r="K175" s="37"/>
      <c r="L175" s="932"/>
      <c r="M175" s="37"/>
      <c r="N175" s="932"/>
      <c r="O175" s="37"/>
      <c r="P175" s="932"/>
      <c r="Q175" s="37"/>
      <c r="R175" s="932"/>
      <c r="S175" s="37"/>
      <c r="T175" s="37"/>
      <c r="U175" s="37"/>
      <c r="V175" s="932"/>
      <c r="W175" s="37"/>
      <c r="X175" s="932"/>
      <c r="Y175" s="37"/>
      <c r="Z175" s="932"/>
      <c r="AA175" s="37"/>
      <c r="AB175" s="932"/>
      <c r="AC175" s="37"/>
      <c r="AD175" s="932"/>
      <c r="AE175" s="37"/>
      <c r="AF175" s="932"/>
      <c r="AG175" s="37"/>
      <c r="AH175" s="37"/>
      <c r="AI175" s="37"/>
      <c r="AJ175" s="932"/>
      <c r="AK175" s="37"/>
      <c r="AL175" s="932"/>
      <c r="AM175" s="37"/>
      <c r="AN175" s="932"/>
      <c r="AO175" s="37"/>
      <c r="AP175" s="932"/>
      <c r="AQ175" s="37"/>
      <c r="AR175" s="37"/>
      <c r="AS175" s="37"/>
      <c r="AT175" s="37"/>
      <c r="AU175" s="37"/>
      <c r="AV175" s="37"/>
      <c r="AW175" s="37"/>
      <c r="AX175" s="932"/>
      <c r="AY175" s="37"/>
      <c r="AZ175" s="932"/>
      <c r="BA175" s="37"/>
      <c r="BB175" s="932"/>
      <c r="BC175" s="37"/>
      <c r="BD175" s="932"/>
      <c r="BE175" s="37"/>
      <c r="BF175" s="932"/>
      <c r="BG175" s="37"/>
      <c r="BH175" s="37"/>
      <c r="BI175" s="37"/>
      <c r="BJ175" s="37"/>
      <c r="BK175" s="37"/>
      <c r="BL175" s="932"/>
      <c r="BM175" s="37"/>
      <c r="BN175" s="932"/>
      <c r="BO175" s="37"/>
      <c r="BP175" s="932"/>
      <c r="BQ175" s="37"/>
      <c r="BR175" s="932"/>
      <c r="BS175" s="37"/>
      <c r="BT175" s="932"/>
      <c r="BU175" s="932"/>
      <c r="BV175" s="932"/>
      <c r="BW175" s="932"/>
      <c r="BX175" s="37"/>
      <c r="BY175" s="37"/>
      <c r="BZ175" s="932"/>
      <c r="CA175" s="37"/>
      <c r="CB175" s="932"/>
      <c r="CC175" s="37"/>
      <c r="CD175" s="932"/>
      <c r="CE175" s="37"/>
      <c r="CF175" s="932"/>
      <c r="CG175" s="37"/>
      <c r="CH175" s="932"/>
      <c r="CI175" s="932"/>
      <c r="CJ175" s="932"/>
      <c r="CK175" s="932"/>
      <c r="CL175" s="37"/>
      <c r="CM175" s="37"/>
      <c r="CN175" s="932"/>
      <c r="CO175" s="37"/>
      <c r="CP175" s="932"/>
      <c r="CQ175" s="37"/>
      <c r="CR175" s="932"/>
      <c r="CS175" s="37"/>
      <c r="CT175" s="932"/>
      <c r="CU175" s="37"/>
      <c r="CV175" s="932"/>
      <c r="CW175" s="932"/>
      <c r="CX175" s="932"/>
      <c r="CY175" s="932"/>
      <c r="CZ175" s="37"/>
      <c r="DA175" s="37"/>
      <c r="DB175" s="932"/>
      <c r="DC175" s="37"/>
      <c r="DD175" s="932"/>
      <c r="DE175" s="37"/>
      <c r="DF175" s="932"/>
      <c r="DG175" s="37"/>
      <c r="DH175" s="932"/>
      <c r="DI175" s="37"/>
      <c r="DJ175" s="932"/>
      <c r="DK175" s="932"/>
      <c r="DL175" s="932"/>
      <c r="DM175" s="932"/>
      <c r="DN175" s="37"/>
      <c r="DO175" s="37"/>
      <c r="DP175" s="932"/>
      <c r="DQ175" s="37"/>
      <c r="DR175" s="932"/>
      <c r="DS175" s="37"/>
      <c r="DT175" s="932"/>
      <c r="DU175" s="37"/>
      <c r="DV175" s="932"/>
      <c r="DW175" s="37"/>
      <c r="DX175" s="932"/>
      <c r="DY175" s="932"/>
      <c r="DZ175" s="932"/>
      <c r="EA175" s="932"/>
      <c r="EB175" s="37"/>
      <c r="EC175" s="37"/>
      <c r="EE175" s="941"/>
      <c r="EG175" s="938"/>
      <c r="EI175" s="938"/>
      <c r="EK175" s="938"/>
      <c r="EM175" s="938"/>
      <c r="EO175" s="938"/>
      <c r="EQ175" s="938"/>
      <c r="ES175" s="938"/>
      <c r="EU175" s="938"/>
      <c r="EW175" s="938"/>
      <c r="EY175" s="938"/>
      <c r="FA175" s="938"/>
      <c r="FC175" s="938"/>
      <c r="FE175" s="938"/>
      <c r="FG175" s="938"/>
      <c r="FI175" s="938"/>
      <c r="FK175" s="938"/>
      <c r="FM175" s="938"/>
      <c r="FO175" s="938"/>
      <c r="FQ175" s="938"/>
      <c r="FS175" s="938"/>
      <c r="FU175" s="938"/>
      <c r="FW175" s="938"/>
      <c r="FY175" s="938"/>
      <c r="GA175" s="938"/>
      <c r="GC175" s="938"/>
      <c r="GE175" s="938"/>
      <c r="GG175" s="938"/>
      <c r="GI175" s="938"/>
      <c r="GK175" s="938"/>
      <c r="GM175" s="938"/>
      <c r="GO175" s="938"/>
      <c r="GQ175" s="938"/>
      <c r="GS175" s="938"/>
      <c r="GU175" s="938"/>
      <c r="GW175" s="938"/>
      <c r="GY175" s="938"/>
      <c r="HA175" s="938"/>
      <c r="HC175" s="938"/>
      <c r="HE175" s="938"/>
      <c r="HG175" s="938"/>
      <c r="HI175" s="938"/>
      <c r="HK175" s="938"/>
      <c r="HM175" s="938"/>
      <c r="HO175" s="938"/>
      <c r="HQ175" s="938"/>
      <c r="HS175" s="938"/>
      <c r="HU175" s="938"/>
      <c r="HW175" s="938"/>
      <c r="HY175" s="938"/>
      <c r="IA175" s="938"/>
      <c r="IC175" s="938"/>
      <c r="IE175" s="938"/>
      <c r="IG175" s="938"/>
      <c r="II175" s="938"/>
      <c r="IK175" s="938"/>
      <c r="IM175" s="938"/>
      <c r="IO175" s="938"/>
      <c r="IQ175" s="938"/>
      <c r="IS175" s="938"/>
      <c r="IT175" s="932"/>
      <c r="IU175" s="938"/>
      <c r="IW175" s="939"/>
      <c r="IX175" s="938"/>
      <c r="IY175" s="938"/>
      <c r="IZ175" s="938"/>
      <c r="JB175" s="940"/>
      <c r="JC175" s="940"/>
      <c r="JD175" s="940"/>
      <c r="JE175" s="940"/>
      <c r="JF175" s="940"/>
      <c r="JG175" s="940"/>
      <c r="JH175" s="940"/>
      <c r="JI175" s="940"/>
      <c r="JJ175" s="940"/>
      <c r="JK175" s="940"/>
      <c r="JL175" s="940"/>
      <c r="JM175" s="940"/>
      <c r="JN175" s="940"/>
      <c r="JO175" s="940"/>
      <c r="JP175" s="940"/>
      <c r="JQ175" s="940"/>
      <c r="JR175" s="940"/>
      <c r="JS175" s="940"/>
      <c r="JT175" s="940"/>
      <c r="JU175" s="940"/>
      <c r="JV175" s="940"/>
      <c r="JW175" s="940"/>
      <c r="JX175" s="940"/>
      <c r="JY175" s="940"/>
      <c r="JZ175" s="940"/>
      <c r="KA175" s="940"/>
      <c r="KB175" s="940"/>
      <c r="KC175" s="940"/>
      <c r="KD175" s="940"/>
      <c r="KE175" s="940"/>
      <c r="KF175" s="940"/>
      <c r="KG175" s="940"/>
      <c r="KH175" s="940"/>
      <c r="KI175" s="940"/>
      <c r="KJ175" s="940"/>
      <c r="KK175" s="940"/>
      <c r="KL175" s="940"/>
      <c r="KM175" s="940"/>
      <c r="KN175" s="940"/>
      <c r="KO175" s="940"/>
      <c r="KP175" s="940"/>
      <c r="KQ175" s="940"/>
      <c r="KR175" s="940"/>
      <c r="KS175" s="940"/>
      <c r="KT175" s="940"/>
      <c r="KU175" s="940"/>
      <c r="KV175" s="940"/>
      <c r="KW175" s="940"/>
      <c r="KX175" s="940"/>
      <c r="KY175" s="940"/>
      <c r="KZ175" s="940"/>
      <c r="LA175" s="940"/>
      <c r="LB175" s="940"/>
      <c r="LC175" s="940"/>
      <c r="LD175" s="940"/>
      <c r="LE175" s="940"/>
      <c r="LF175" s="940"/>
      <c r="LG175" s="940"/>
      <c r="LH175" s="940"/>
    </row>
    <row r="176" spans="1:320" s="462" customFormat="1" ht="15" hidden="1" customHeight="1" outlineLevel="1" x14ac:dyDescent="0.25">
      <c r="A176" s="1205">
        <v>43095</v>
      </c>
      <c r="B176" s="1205"/>
      <c r="C176" s="463"/>
      <c r="D176" s="461"/>
      <c r="H176" s="932"/>
      <c r="I176" s="37"/>
      <c r="J176" s="932"/>
      <c r="K176" s="37"/>
      <c r="L176" s="932"/>
      <c r="M176" s="37"/>
      <c r="N176" s="932"/>
      <c r="O176" s="37"/>
      <c r="P176" s="932"/>
      <c r="Q176" s="37"/>
      <c r="R176" s="932"/>
      <c r="S176" s="37"/>
      <c r="T176" s="37"/>
      <c r="U176" s="37"/>
      <c r="V176" s="932"/>
      <c r="W176" s="37"/>
      <c r="X176" s="932"/>
      <c r="Y176" s="37"/>
      <c r="Z176" s="932"/>
      <c r="AA176" s="37"/>
      <c r="AB176" s="932"/>
      <c r="AC176" s="37"/>
      <c r="AD176" s="932"/>
      <c r="AE176" s="37"/>
      <c r="AF176" s="932"/>
      <c r="AG176" s="37"/>
      <c r="AH176" s="37"/>
      <c r="AI176" s="37"/>
      <c r="AJ176" s="932"/>
      <c r="AK176" s="37"/>
      <c r="AL176" s="932"/>
      <c r="AM176" s="37"/>
      <c r="AN176" s="932"/>
      <c r="AO176" s="37"/>
      <c r="AP176" s="932"/>
      <c r="AQ176" s="37"/>
      <c r="AR176" s="37"/>
      <c r="AS176" s="37"/>
      <c r="AT176" s="37"/>
      <c r="AU176" s="37"/>
      <c r="AV176" s="37"/>
      <c r="AW176" s="37"/>
      <c r="AX176" s="932"/>
      <c r="AY176" s="37"/>
      <c r="AZ176" s="932"/>
      <c r="BA176" s="37"/>
      <c r="BB176" s="932"/>
      <c r="BC176" s="37"/>
      <c r="BD176" s="932"/>
      <c r="BE176" s="37"/>
      <c r="BF176" s="932"/>
      <c r="BG176" s="37"/>
      <c r="BH176" s="37"/>
      <c r="BI176" s="37"/>
      <c r="BJ176" s="37"/>
      <c r="BK176" s="37"/>
      <c r="BL176" s="932"/>
      <c r="BM176" s="37"/>
      <c r="BN176" s="932"/>
      <c r="BO176" s="37"/>
      <c r="BP176" s="932"/>
      <c r="BQ176" s="37"/>
      <c r="BR176" s="932"/>
      <c r="BS176" s="37"/>
      <c r="BT176" s="932"/>
      <c r="BU176" s="932"/>
      <c r="BV176" s="932"/>
      <c r="BW176" s="932"/>
      <c r="BX176" s="37"/>
      <c r="BY176" s="37"/>
      <c r="BZ176" s="932"/>
      <c r="CA176" s="37"/>
      <c r="CB176" s="932"/>
      <c r="CC176" s="37"/>
      <c r="CD176" s="932"/>
      <c r="CE176" s="37"/>
      <c r="CF176" s="932"/>
      <c r="CG176" s="37"/>
      <c r="CH176" s="932"/>
      <c r="CI176" s="932"/>
      <c r="CJ176" s="932"/>
      <c r="CK176" s="932"/>
      <c r="CL176" s="37"/>
      <c r="CM176" s="37"/>
      <c r="CN176" s="932"/>
      <c r="CO176" s="37"/>
      <c r="CP176" s="932"/>
      <c r="CQ176" s="37"/>
      <c r="CR176" s="932"/>
      <c r="CS176" s="37"/>
      <c r="CT176" s="932"/>
      <c r="CU176" s="37"/>
      <c r="CV176" s="932"/>
      <c r="CW176" s="932"/>
      <c r="CX176" s="932"/>
      <c r="CY176" s="932"/>
      <c r="CZ176" s="37"/>
      <c r="DA176" s="37"/>
      <c r="DB176" s="932"/>
      <c r="DC176" s="37"/>
      <c r="DD176" s="932"/>
      <c r="DE176" s="37"/>
      <c r="DF176" s="932"/>
      <c r="DG176" s="37"/>
      <c r="DH176" s="932"/>
      <c r="DI176" s="37"/>
      <c r="DJ176" s="932"/>
      <c r="DK176" s="932"/>
      <c r="DL176" s="932"/>
      <c r="DM176" s="932"/>
      <c r="DN176" s="37"/>
      <c r="DO176" s="37"/>
      <c r="DP176" s="932"/>
      <c r="DQ176" s="37"/>
      <c r="DR176" s="932"/>
      <c r="DS176" s="37"/>
      <c r="DT176" s="932"/>
      <c r="DU176" s="37"/>
      <c r="DV176" s="932"/>
      <c r="DW176" s="37"/>
      <c r="DX176" s="932"/>
      <c r="DY176" s="932"/>
      <c r="DZ176" s="932"/>
      <c r="EA176" s="932"/>
      <c r="EB176" s="37"/>
      <c r="EC176" s="37"/>
      <c r="EE176" s="941"/>
      <c r="EG176" s="938"/>
      <c r="EI176" s="938"/>
      <c r="EK176" s="938"/>
      <c r="EM176" s="938"/>
      <c r="EO176" s="938"/>
      <c r="EQ176" s="938"/>
      <c r="ES176" s="938"/>
      <c r="EU176" s="938"/>
      <c r="EW176" s="938"/>
      <c r="EY176" s="938"/>
      <c r="FA176" s="938"/>
      <c r="FC176" s="938"/>
      <c r="FE176" s="938"/>
      <c r="FG176" s="938"/>
      <c r="FI176" s="938"/>
      <c r="FK176" s="938"/>
      <c r="FM176" s="938"/>
      <c r="FO176" s="938"/>
      <c r="FQ176" s="938"/>
      <c r="FS176" s="938"/>
      <c r="FU176" s="938"/>
      <c r="FW176" s="938"/>
      <c r="FY176" s="938"/>
      <c r="GA176" s="938"/>
      <c r="GC176" s="938"/>
      <c r="GE176" s="938"/>
      <c r="GG176" s="938"/>
      <c r="GI176" s="938"/>
      <c r="GK176" s="938"/>
      <c r="GM176" s="938"/>
      <c r="GO176" s="938"/>
      <c r="GQ176" s="938"/>
      <c r="GS176" s="938"/>
      <c r="GU176" s="938"/>
      <c r="GW176" s="938"/>
      <c r="GY176" s="938"/>
      <c r="HA176" s="938"/>
      <c r="HC176" s="938"/>
      <c r="HE176" s="938"/>
      <c r="HG176" s="938"/>
      <c r="HI176" s="938"/>
      <c r="HK176" s="938"/>
      <c r="HM176" s="938"/>
      <c r="HO176" s="938"/>
      <c r="HQ176" s="938"/>
      <c r="HS176" s="938"/>
      <c r="HU176" s="938"/>
      <c r="HW176" s="938"/>
      <c r="HY176" s="938"/>
      <c r="IA176" s="938"/>
      <c r="IC176" s="938"/>
      <c r="IE176" s="938"/>
      <c r="IG176" s="938"/>
      <c r="II176" s="938"/>
      <c r="IK176" s="938"/>
      <c r="IM176" s="938"/>
      <c r="IO176" s="938"/>
      <c r="IQ176" s="938"/>
      <c r="IS176" s="938"/>
      <c r="IT176" s="932"/>
      <c r="IU176" s="938"/>
      <c r="IW176" s="939"/>
      <c r="IX176" s="938"/>
      <c r="IY176" s="938"/>
      <c r="IZ176" s="938"/>
      <c r="JB176" s="940"/>
      <c r="JC176" s="940"/>
      <c r="JD176" s="940"/>
      <c r="JE176" s="940"/>
      <c r="JF176" s="940"/>
      <c r="JG176" s="940"/>
      <c r="JH176" s="940"/>
      <c r="JI176" s="940"/>
      <c r="JJ176" s="940"/>
      <c r="JK176" s="940"/>
      <c r="JL176" s="940"/>
      <c r="JM176" s="940"/>
      <c r="JN176" s="940"/>
      <c r="JO176" s="940"/>
      <c r="JP176" s="940"/>
      <c r="JQ176" s="940"/>
      <c r="JR176" s="940"/>
      <c r="JS176" s="940"/>
      <c r="JT176" s="940"/>
      <c r="JU176" s="940"/>
      <c r="JV176" s="940"/>
      <c r="JW176" s="940"/>
      <c r="JX176" s="940"/>
      <c r="JY176" s="940"/>
      <c r="JZ176" s="940"/>
      <c r="KA176" s="940"/>
      <c r="KB176" s="940"/>
      <c r="KC176" s="940"/>
      <c r="KD176" s="940"/>
      <c r="KE176" s="940"/>
      <c r="KF176" s="940"/>
      <c r="KG176" s="940"/>
      <c r="KH176" s="940"/>
      <c r="KI176" s="940"/>
      <c r="KJ176" s="940"/>
      <c r="KK176" s="940"/>
      <c r="KL176" s="940"/>
      <c r="KM176" s="940"/>
      <c r="KN176" s="940"/>
      <c r="KO176" s="940"/>
      <c r="KP176" s="940"/>
      <c r="KQ176" s="940"/>
      <c r="KR176" s="940"/>
      <c r="KS176" s="940"/>
      <c r="KT176" s="940"/>
      <c r="KU176" s="940"/>
      <c r="KV176" s="940"/>
      <c r="KW176" s="940"/>
      <c r="KX176" s="940"/>
      <c r="KY176" s="940"/>
      <c r="KZ176" s="940"/>
      <c r="LA176" s="940"/>
      <c r="LB176" s="940"/>
      <c r="LC176" s="940"/>
      <c r="LD176" s="940"/>
      <c r="LE176" s="940"/>
      <c r="LF176" s="940"/>
      <c r="LG176" s="940"/>
      <c r="LH176" s="940"/>
    </row>
    <row r="177" spans="1:320" s="462" customFormat="1" ht="15" hidden="1" customHeight="1" outlineLevel="1" x14ac:dyDescent="0.25">
      <c r="A177" s="1205">
        <v>43096</v>
      </c>
      <c r="B177" s="1205"/>
      <c r="C177" s="463"/>
      <c r="D177" s="461"/>
      <c r="H177" s="932"/>
      <c r="I177" s="37"/>
      <c r="J177" s="932"/>
      <c r="K177" s="37"/>
      <c r="L177" s="932"/>
      <c r="M177" s="37"/>
      <c r="N177" s="932"/>
      <c r="O177" s="37"/>
      <c r="P177" s="932"/>
      <c r="Q177" s="37"/>
      <c r="R177" s="932"/>
      <c r="S177" s="37"/>
      <c r="T177" s="37"/>
      <c r="U177" s="37"/>
      <c r="V177" s="932"/>
      <c r="W177" s="37"/>
      <c r="X177" s="932"/>
      <c r="Y177" s="37"/>
      <c r="Z177" s="932"/>
      <c r="AA177" s="37"/>
      <c r="AB177" s="932"/>
      <c r="AC177" s="37"/>
      <c r="AD177" s="932"/>
      <c r="AE177" s="37"/>
      <c r="AF177" s="932"/>
      <c r="AG177" s="37"/>
      <c r="AH177" s="37"/>
      <c r="AI177" s="37"/>
      <c r="AJ177" s="932"/>
      <c r="AK177" s="37"/>
      <c r="AL177" s="932"/>
      <c r="AM177" s="37"/>
      <c r="AN177" s="932"/>
      <c r="AO177" s="37"/>
      <c r="AP177" s="932"/>
      <c r="AQ177" s="37"/>
      <c r="AR177" s="37"/>
      <c r="AS177" s="37"/>
      <c r="AT177" s="37"/>
      <c r="AU177" s="37"/>
      <c r="AV177" s="37"/>
      <c r="AW177" s="37"/>
      <c r="AX177" s="932"/>
      <c r="AY177" s="37"/>
      <c r="AZ177" s="932"/>
      <c r="BA177" s="37"/>
      <c r="BB177" s="932"/>
      <c r="BC177" s="37"/>
      <c r="BD177" s="932"/>
      <c r="BE177" s="37"/>
      <c r="BF177" s="932"/>
      <c r="BG177" s="37"/>
      <c r="BH177" s="37"/>
      <c r="BI177" s="37"/>
      <c r="BJ177" s="37"/>
      <c r="BK177" s="37"/>
      <c r="BL177" s="932"/>
      <c r="BM177" s="37"/>
      <c r="BN177" s="932"/>
      <c r="BO177" s="37"/>
      <c r="BP177" s="932"/>
      <c r="BQ177" s="37"/>
      <c r="BR177" s="932"/>
      <c r="BS177" s="37"/>
      <c r="BT177" s="932"/>
      <c r="BU177" s="932"/>
      <c r="BV177" s="932"/>
      <c r="BW177" s="932"/>
      <c r="BX177" s="37"/>
      <c r="BY177" s="37"/>
      <c r="BZ177" s="932"/>
      <c r="CA177" s="37"/>
      <c r="CB177" s="932"/>
      <c r="CC177" s="37"/>
      <c r="CD177" s="932"/>
      <c r="CE177" s="37"/>
      <c r="CF177" s="932"/>
      <c r="CG177" s="37"/>
      <c r="CH177" s="932"/>
      <c r="CI177" s="932"/>
      <c r="CJ177" s="932"/>
      <c r="CK177" s="932"/>
      <c r="CL177" s="37"/>
      <c r="CM177" s="37"/>
      <c r="CN177" s="932"/>
      <c r="CO177" s="37"/>
      <c r="CP177" s="932"/>
      <c r="CQ177" s="37"/>
      <c r="CR177" s="932"/>
      <c r="CS177" s="37"/>
      <c r="CT177" s="932"/>
      <c r="CU177" s="37"/>
      <c r="CV177" s="932"/>
      <c r="CW177" s="932"/>
      <c r="CX177" s="932"/>
      <c r="CY177" s="932"/>
      <c r="CZ177" s="37"/>
      <c r="DA177" s="37"/>
      <c r="DB177" s="932"/>
      <c r="DC177" s="37"/>
      <c r="DD177" s="932"/>
      <c r="DE177" s="37"/>
      <c r="DF177" s="932"/>
      <c r="DG177" s="37"/>
      <c r="DH177" s="932"/>
      <c r="DI177" s="37"/>
      <c r="DJ177" s="932"/>
      <c r="DK177" s="932"/>
      <c r="DL177" s="932"/>
      <c r="DM177" s="932"/>
      <c r="DN177" s="37"/>
      <c r="DO177" s="37"/>
      <c r="DP177" s="932"/>
      <c r="DQ177" s="37"/>
      <c r="DR177" s="932"/>
      <c r="DS177" s="37"/>
      <c r="DT177" s="932"/>
      <c r="DU177" s="37"/>
      <c r="DV177" s="932"/>
      <c r="DW177" s="37"/>
      <c r="DX177" s="932"/>
      <c r="DY177" s="932"/>
      <c r="DZ177" s="932"/>
      <c r="EA177" s="932"/>
      <c r="EB177" s="37"/>
      <c r="EC177" s="37"/>
      <c r="EE177" s="941"/>
      <c r="EG177" s="938"/>
      <c r="EI177" s="938"/>
      <c r="EK177" s="938"/>
      <c r="EM177" s="938"/>
      <c r="EO177" s="938"/>
      <c r="EQ177" s="938"/>
      <c r="ES177" s="938"/>
      <c r="EU177" s="938"/>
      <c r="EW177" s="938"/>
      <c r="EY177" s="938"/>
      <c r="FA177" s="938"/>
      <c r="FC177" s="938"/>
      <c r="FE177" s="938"/>
      <c r="FG177" s="938"/>
      <c r="FI177" s="938"/>
      <c r="FK177" s="938"/>
      <c r="FM177" s="938"/>
      <c r="FO177" s="938"/>
      <c r="FQ177" s="938"/>
      <c r="FS177" s="938"/>
      <c r="FU177" s="938"/>
      <c r="FW177" s="938"/>
      <c r="FY177" s="938"/>
      <c r="GA177" s="938"/>
      <c r="GC177" s="938"/>
      <c r="GE177" s="938"/>
      <c r="GG177" s="938"/>
      <c r="GI177" s="938"/>
      <c r="GK177" s="938"/>
      <c r="GM177" s="938"/>
      <c r="GO177" s="938"/>
      <c r="GQ177" s="938"/>
      <c r="GS177" s="938"/>
      <c r="GU177" s="938"/>
      <c r="GW177" s="938"/>
      <c r="GY177" s="938"/>
      <c r="HA177" s="938"/>
      <c r="HC177" s="938"/>
      <c r="HE177" s="938"/>
      <c r="HG177" s="938"/>
      <c r="HI177" s="938"/>
      <c r="HK177" s="938"/>
      <c r="HM177" s="938"/>
      <c r="HO177" s="938"/>
      <c r="HQ177" s="938"/>
      <c r="HS177" s="938"/>
      <c r="HU177" s="938"/>
      <c r="HW177" s="938"/>
      <c r="HY177" s="938"/>
      <c r="IA177" s="938"/>
      <c r="IC177" s="938"/>
      <c r="IE177" s="938"/>
      <c r="IG177" s="938"/>
      <c r="II177" s="938"/>
      <c r="IK177" s="938"/>
      <c r="IM177" s="938"/>
      <c r="IO177" s="938"/>
      <c r="IQ177" s="938"/>
      <c r="IS177" s="938"/>
      <c r="IT177" s="932"/>
      <c r="IU177" s="938"/>
      <c r="IW177" s="939"/>
      <c r="IX177" s="938"/>
      <c r="IY177" s="938"/>
      <c r="IZ177" s="938"/>
      <c r="JB177" s="940"/>
      <c r="JC177" s="940"/>
      <c r="JD177" s="940"/>
      <c r="JE177" s="940"/>
      <c r="JF177" s="940"/>
      <c r="JG177" s="940"/>
      <c r="JH177" s="940"/>
      <c r="JI177" s="940"/>
      <c r="JJ177" s="940"/>
      <c r="JK177" s="940"/>
      <c r="JL177" s="940"/>
      <c r="JM177" s="940"/>
      <c r="JN177" s="940"/>
      <c r="JO177" s="940"/>
      <c r="JP177" s="940"/>
      <c r="JQ177" s="940"/>
      <c r="JR177" s="940"/>
      <c r="JS177" s="940"/>
      <c r="JT177" s="940"/>
      <c r="JU177" s="940"/>
      <c r="JV177" s="940"/>
      <c r="JW177" s="940"/>
      <c r="JX177" s="940"/>
      <c r="JY177" s="940"/>
      <c r="JZ177" s="940"/>
      <c r="KA177" s="940"/>
      <c r="KB177" s="940"/>
      <c r="KC177" s="940"/>
      <c r="KD177" s="940"/>
      <c r="KE177" s="940"/>
      <c r="KF177" s="940"/>
      <c r="KG177" s="940"/>
      <c r="KH177" s="940"/>
      <c r="KI177" s="940"/>
      <c r="KJ177" s="940"/>
      <c r="KK177" s="940"/>
      <c r="KL177" s="940"/>
      <c r="KM177" s="940"/>
      <c r="KN177" s="940"/>
      <c r="KO177" s="940"/>
      <c r="KP177" s="940"/>
      <c r="KQ177" s="940"/>
      <c r="KR177" s="940"/>
      <c r="KS177" s="940"/>
      <c r="KT177" s="940"/>
      <c r="KU177" s="940"/>
      <c r="KV177" s="940"/>
      <c r="KW177" s="940"/>
      <c r="KX177" s="940"/>
      <c r="KY177" s="940"/>
      <c r="KZ177" s="940"/>
      <c r="LA177" s="940"/>
      <c r="LB177" s="940"/>
      <c r="LC177" s="940"/>
      <c r="LD177" s="940"/>
      <c r="LE177" s="940"/>
      <c r="LF177" s="940"/>
      <c r="LG177" s="940"/>
      <c r="LH177" s="940"/>
    </row>
    <row r="178" spans="1:320" s="462" customFormat="1" ht="15" hidden="1" customHeight="1" outlineLevel="1" x14ac:dyDescent="0.25">
      <c r="A178" s="1205">
        <v>43101</v>
      </c>
      <c r="B178" s="1205"/>
      <c r="C178" s="463"/>
      <c r="D178" s="461"/>
      <c r="H178" s="932"/>
      <c r="I178" s="37"/>
      <c r="J178" s="932"/>
      <c r="K178" s="37"/>
      <c r="L178" s="932"/>
      <c r="M178" s="37"/>
      <c r="N178" s="932"/>
      <c r="O178" s="37"/>
      <c r="P178" s="932"/>
      <c r="Q178" s="37"/>
      <c r="R178" s="932"/>
      <c r="S178" s="37"/>
      <c r="T178" s="37"/>
      <c r="U178" s="37"/>
      <c r="V178" s="932"/>
      <c r="W178" s="37"/>
      <c r="X178" s="932"/>
      <c r="Y178" s="37"/>
      <c r="Z178" s="932"/>
      <c r="AA178" s="37"/>
      <c r="AB178" s="932"/>
      <c r="AC178" s="37"/>
      <c r="AD178" s="932"/>
      <c r="AE178" s="37"/>
      <c r="AF178" s="932"/>
      <c r="AG178" s="37"/>
      <c r="AH178" s="37"/>
      <c r="AI178" s="37"/>
      <c r="AJ178" s="932"/>
      <c r="AK178" s="37"/>
      <c r="AL178" s="932"/>
      <c r="AM178" s="37"/>
      <c r="AN178" s="932"/>
      <c r="AO178" s="37"/>
      <c r="AP178" s="932"/>
      <c r="AQ178" s="37"/>
      <c r="AR178" s="37"/>
      <c r="AS178" s="37"/>
      <c r="AT178" s="37"/>
      <c r="AU178" s="37"/>
      <c r="AV178" s="37"/>
      <c r="AW178" s="37"/>
      <c r="AX178" s="932"/>
      <c r="AY178" s="37"/>
      <c r="AZ178" s="932"/>
      <c r="BA178" s="37"/>
      <c r="BB178" s="932"/>
      <c r="BC178" s="37"/>
      <c r="BD178" s="932"/>
      <c r="BE178" s="37"/>
      <c r="BF178" s="932"/>
      <c r="BG178" s="37"/>
      <c r="BH178" s="37"/>
      <c r="BI178" s="37"/>
      <c r="BJ178" s="37"/>
      <c r="BK178" s="37"/>
      <c r="BL178" s="932"/>
      <c r="BM178" s="37"/>
      <c r="BN178" s="932"/>
      <c r="BO178" s="37"/>
      <c r="BP178" s="932"/>
      <c r="BQ178" s="37"/>
      <c r="BR178" s="932"/>
      <c r="BS178" s="37"/>
      <c r="BT178" s="932"/>
      <c r="BU178" s="932"/>
      <c r="BV178" s="932"/>
      <c r="BW178" s="932"/>
      <c r="BX178" s="37"/>
      <c r="BY178" s="37"/>
      <c r="BZ178" s="932"/>
      <c r="CA178" s="37"/>
      <c r="CB178" s="932"/>
      <c r="CC178" s="37"/>
      <c r="CD178" s="932"/>
      <c r="CE178" s="37"/>
      <c r="CF178" s="932"/>
      <c r="CG178" s="37"/>
      <c r="CH178" s="932"/>
      <c r="CI178" s="932"/>
      <c r="CJ178" s="932"/>
      <c r="CK178" s="932"/>
      <c r="CL178" s="37"/>
      <c r="CM178" s="37"/>
      <c r="CN178" s="932"/>
      <c r="CO178" s="37"/>
      <c r="CP178" s="932"/>
      <c r="CQ178" s="37"/>
      <c r="CR178" s="932"/>
      <c r="CS178" s="37"/>
      <c r="CT178" s="932"/>
      <c r="CU178" s="37"/>
      <c r="CV178" s="932"/>
      <c r="CW178" s="932"/>
      <c r="CX178" s="932"/>
      <c r="CY178" s="932"/>
      <c r="CZ178" s="37"/>
      <c r="DA178" s="37"/>
      <c r="DB178" s="932"/>
      <c r="DC178" s="37"/>
      <c r="DD178" s="932"/>
      <c r="DE178" s="37"/>
      <c r="DF178" s="932"/>
      <c r="DG178" s="37"/>
      <c r="DH178" s="932"/>
      <c r="DI178" s="37"/>
      <c r="DJ178" s="932"/>
      <c r="DK178" s="932"/>
      <c r="DL178" s="932"/>
      <c r="DM178" s="932"/>
      <c r="DN178" s="37"/>
      <c r="DO178" s="37"/>
      <c r="DP178" s="932"/>
      <c r="DQ178" s="37"/>
      <c r="DR178" s="932"/>
      <c r="DS178" s="37"/>
      <c r="DT178" s="932"/>
      <c r="DU178" s="37"/>
      <c r="DV178" s="932"/>
      <c r="DW178" s="37"/>
      <c r="DX178" s="932"/>
      <c r="DY178" s="932"/>
      <c r="DZ178" s="932"/>
      <c r="EA178" s="932"/>
      <c r="EB178" s="37"/>
      <c r="EC178" s="37"/>
      <c r="EE178" s="941"/>
      <c r="EG178" s="938"/>
      <c r="EI178" s="938"/>
      <c r="EK178" s="938"/>
      <c r="EM178" s="938"/>
      <c r="EO178" s="938"/>
      <c r="EQ178" s="938"/>
      <c r="ES178" s="938"/>
      <c r="EU178" s="938"/>
      <c r="EW178" s="938"/>
      <c r="EY178" s="938"/>
      <c r="FA178" s="938"/>
      <c r="FC178" s="938"/>
      <c r="FE178" s="938"/>
      <c r="FG178" s="938"/>
      <c r="FI178" s="938"/>
      <c r="FK178" s="938"/>
      <c r="FM178" s="938"/>
      <c r="FO178" s="938"/>
      <c r="FQ178" s="938"/>
      <c r="FS178" s="938"/>
      <c r="FU178" s="938"/>
      <c r="FW178" s="938"/>
      <c r="FY178" s="938"/>
      <c r="GA178" s="938"/>
      <c r="GC178" s="938"/>
      <c r="GE178" s="938"/>
      <c r="GG178" s="938"/>
      <c r="GI178" s="938"/>
      <c r="GK178" s="938"/>
      <c r="GM178" s="938"/>
      <c r="GO178" s="938"/>
      <c r="GQ178" s="938"/>
      <c r="GS178" s="938"/>
      <c r="GU178" s="938"/>
      <c r="GW178" s="938"/>
      <c r="GY178" s="938"/>
      <c r="HA178" s="938"/>
      <c r="HC178" s="938"/>
      <c r="HE178" s="938"/>
      <c r="HG178" s="938"/>
      <c r="HI178" s="938"/>
      <c r="HK178" s="938"/>
      <c r="HM178" s="938"/>
      <c r="HO178" s="938"/>
      <c r="HQ178" s="938"/>
      <c r="HS178" s="938"/>
      <c r="HU178" s="938"/>
      <c r="HW178" s="938"/>
      <c r="HY178" s="938"/>
      <c r="IA178" s="938"/>
      <c r="IC178" s="938"/>
      <c r="IE178" s="938"/>
      <c r="IG178" s="938"/>
      <c r="II178" s="938"/>
      <c r="IK178" s="938"/>
      <c r="IM178" s="938"/>
      <c r="IO178" s="938"/>
      <c r="IQ178" s="938"/>
      <c r="IS178" s="938"/>
      <c r="IT178" s="932"/>
      <c r="IU178" s="938"/>
      <c r="IW178" s="939"/>
      <c r="IX178" s="938"/>
      <c r="IY178" s="938"/>
      <c r="IZ178" s="938"/>
      <c r="JB178" s="940"/>
      <c r="JC178" s="940"/>
      <c r="JD178" s="940"/>
      <c r="JE178" s="940"/>
      <c r="JF178" s="940"/>
      <c r="JG178" s="940"/>
      <c r="JH178" s="940"/>
      <c r="JI178" s="940"/>
      <c r="JJ178" s="940"/>
      <c r="JK178" s="940"/>
      <c r="JL178" s="940"/>
      <c r="JM178" s="940"/>
      <c r="JN178" s="940"/>
      <c r="JO178" s="940"/>
      <c r="JP178" s="940"/>
      <c r="JQ178" s="940"/>
      <c r="JR178" s="940"/>
      <c r="JS178" s="940"/>
      <c r="JT178" s="940"/>
      <c r="JU178" s="940"/>
      <c r="JV178" s="940"/>
      <c r="JW178" s="940"/>
      <c r="JX178" s="940"/>
      <c r="JY178" s="940"/>
      <c r="JZ178" s="940"/>
      <c r="KA178" s="940"/>
      <c r="KB178" s="940"/>
      <c r="KC178" s="940"/>
      <c r="KD178" s="940"/>
      <c r="KE178" s="940"/>
      <c r="KF178" s="940"/>
      <c r="KG178" s="940"/>
      <c r="KH178" s="940"/>
      <c r="KI178" s="940"/>
      <c r="KJ178" s="940"/>
      <c r="KK178" s="940"/>
      <c r="KL178" s="940"/>
      <c r="KM178" s="940"/>
      <c r="KN178" s="940"/>
      <c r="KO178" s="940"/>
      <c r="KP178" s="940"/>
      <c r="KQ178" s="940"/>
      <c r="KR178" s="940"/>
      <c r="KS178" s="940"/>
      <c r="KT178" s="940"/>
      <c r="KU178" s="940"/>
      <c r="KV178" s="940"/>
      <c r="KW178" s="940"/>
      <c r="KX178" s="940"/>
      <c r="KY178" s="940"/>
      <c r="KZ178" s="940"/>
      <c r="LA178" s="940"/>
      <c r="LB178" s="940"/>
      <c r="LC178" s="940"/>
      <c r="LD178" s="940"/>
      <c r="LE178" s="940"/>
      <c r="LF178" s="940"/>
      <c r="LG178" s="940"/>
      <c r="LH178" s="940"/>
    </row>
    <row r="179" spans="1:320" s="462" customFormat="1" ht="15" hidden="1" customHeight="1" outlineLevel="1" x14ac:dyDescent="0.25">
      <c r="A179" s="1205">
        <v>43115</v>
      </c>
      <c r="B179" s="1205"/>
      <c r="C179" s="463"/>
      <c r="D179" s="461"/>
      <c r="H179" s="932"/>
      <c r="I179" s="37"/>
      <c r="J179" s="932"/>
      <c r="K179" s="37"/>
      <c r="L179" s="932"/>
      <c r="M179" s="37"/>
      <c r="N179" s="932"/>
      <c r="O179" s="37"/>
      <c r="P179" s="932"/>
      <c r="Q179" s="37"/>
      <c r="R179" s="932"/>
      <c r="S179" s="37"/>
      <c r="T179" s="37"/>
      <c r="U179" s="37"/>
      <c r="V179" s="932"/>
      <c r="W179" s="37"/>
      <c r="X179" s="932"/>
      <c r="Y179" s="37"/>
      <c r="Z179" s="932"/>
      <c r="AA179" s="37"/>
      <c r="AB179" s="932"/>
      <c r="AC179" s="37"/>
      <c r="AD179" s="932"/>
      <c r="AE179" s="37"/>
      <c r="AF179" s="932"/>
      <c r="AG179" s="37"/>
      <c r="AH179" s="37"/>
      <c r="AI179" s="37"/>
      <c r="AJ179" s="932"/>
      <c r="AK179" s="37"/>
      <c r="AL179" s="932"/>
      <c r="AM179" s="37"/>
      <c r="AN179" s="932"/>
      <c r="AO179" s="37"/>
      <c r="AP179" s="932"/>
      <c r="AQ179" s="37"/>
      <c r="AR179" s="37"/>
      <c r="AS179" s="37"/>
      <c r="AT179" s="37"/>
      <c r="AU179" s="37"/>
      <c r="AV179" s="37"/>
      <c r="AW179" s="37"/>
      <c r="AX179" s="932"/>
      <c r="AY179" s="37"/>
      <c r="AZ179" s="932"/>
      <c r="BA179" s="37"/>
      <c r="BB179" s="932"/>
      <c r="BC179" s="37"/>
      <c r="BD179" s="932"/>
      <c r="BE179" s="37"/>
      <c r="BF179" s="932"/>
      <c r="BG179" s="37"/>
      <c r="BH179" s="37"/>
      <c r="BI179" s="37"/>
      <c r="BJ179" s="37"/>
      <c r="BK179" s="37"/>
      <c r="BL179" s="932"/>
      <c r="BM179" s="37"/>
      <c r="BN179" s="932"/>
      <c r="BO179" s="37"/>
      <c r="BP179" s="932"/>
      <c r="BQ179" s="37"/>
      <c r="BR179" s="932"/>
      <c r="BS179" s="37"/>
      <c r="BT179" s="932"/>
      <c r="BU179" s="932"/>
      <c r="BV179" s="932"/>
      <c r="BW179" s="932"/>
      <c r="BX179" s="37"/>
      <c r="BY179" s="37"/>
      <c r="BZ179" s="932"/>
      <c r="CA179" s="37"/>
      <c r="CB179" s="932"/>
      <c r="CC179" s="37"/>
      <c r="CD179" s="932"/>
      <c r="CE179" s="37"/>
      <c r="CF179" s="932"/>
      <c r="CG179" s="37"/>
      <c r="CH179" s="932"/>
      <c r="CI179" s="932"/>
      <c r="CJ179" s="932"/>
      <c r="CK179" s="932"/>
      <c r="CL179" s="37"/>
      <c r="CM179" s="37"/>
      <c r="CN179" s="932"/>
      <c r="CO179" s="37"/>
      <c r="CP179" s="932"/>
      <c r="CQ179" s="37"/>
      <c r="CR179" s="932"/>
      <c r="CS179" s="37"/>
      <c r="CT179" s="932"/>
      <c r="CU179" s="37"/>
      <c r="CV179" s="932"/>
      <c r="CW179" s="932"/>
      <c r="CX179" s="932"/>
      <c r="CY179" s="932"/>
      <c r="CZ179" s="37"/>
      <c r="DA179" s="37"/>
      <c r="DB179" s="932"/>
      <c r="DC179" s="37"/>
      <c r="DD179" s="932"/>
      <c r="DE179" s="37"/>
      <c r="DF179" s="932"/>
      <c r="DG179" s="37"/>
      <c r="DH179" s="932"/>
      <c r="DI179" s="37"/>
      <c r="DJ179" s="932"/>
      <c r="DK179" s="932"/>
      <c r="DL179" s="932"/>
      <c r="DM179" s="932"/>
      <c r="DN179" s="37"/>
      <c r="DO179" s="37"/>
      <c r="DP179" s="932"/>
      <c r="DQ179" s="37"/>
      <c r="DR179" s="932"/>
      <c r="DS179" s="37"/>
      <c r="DT179" s="932"/>
      <c r="DU179" s="37"/>
      <c r="DV179" s="932"/>
      <c r="DW179" s="37"/>
      <c r="DX179" s="932"/>
      <c r="DY179" s="932"/>
      <c r="DZ179" s="932"/>
      <c r="EA179" s="932"/>
      <c r="EB179" s="37"/>
      <c r="EC179" s="37"/>
      <c r="EE179" s="941"/>
      <c r="EG179" s="938"/>
      <c r="EI179" s="938"/>
      <c r="EK179" s="938"/>
      <c r="EM179" s="938"/>
      <c r="EO179" s="938"/>
      <c r="EQ179" s="938"/>
      <c r="ES179" s="938"/>
      <c r="EU179" s="938"/>
      <c r="EW179" s="938"/>
      <c r="EY179" s="938"/>
      <c r="FA179" s="938"/>
      <c r="FC179" s="938"/>
      <c r="FE179" s="938"/>
      <c r="FG179" s="938"/>
      <c r="FI179" s="938"/>
      <c r="FK179" s="938"/>
      <c r="FM179" s="938"/>
      <c r="FO179" s="938"/>
      <c r="FQ179" s="938"/>
      <c r="FS179" s="938"/>
      <c r="FU179" s="938"/>
      <c r="FW179" s="938"/>
      <c r="FY179" s="938"/>
      <c r="GA179" s="938"/>
      <c r="GC179" s="938"/>
      <c r="GE179" s="938"/>
      <c r="GG179" s="938"/>
      <c r="GI179" s="938"/>
      <c r="GK179" s="938"/>
      <c r="GM179" s="938"/>
      <c r="GO179" s="938"/>
      <c r="GQ179" s="938"/>
      <c r="GS179" s="938"/>
      <c r="GU179" s="938"/>
      <c r="GW179" s="938"/>
      <c r="GY179" s="938"/>
      <c r="HA179" s="938"/>
      <c r="HC179" s="938"/>
      <c r="HE179" s="938"/>
      <c r="HG179" s="938"/>
      <c r="HI179" s="938"/>
      <c r="HK179" s="938"/>
      <c r="HM179" s="938"/>
      <c r="HO179" s="938"/>
      <c r="HQ179" s="938"/>
      <c r="HS179" s="938"/>
      <c r="HU179" s="938"/>
      <c r="HW179" s="938"/>
      <c r="HY179" s="938"/>
      <c r="IA179" s="938"/>
      <c r="IC179" s="938"/>
      <c r="IE179" s="938"/>
      <c r="IG179" s="938"/>
      <c r="II179" s="938"/>
      <c r="IK179" s="938"/>
      <c r="IM179" s="938"/>
      <c r="IO179" s="938"/>
      <c r="IQ179" s="938"/>
      <c r="IS179" s="938"/>
      <c r="IT179" s="932"/>
      <c r="IU179" s="938"/>
      <c r="IW179" s="939"/>
      <c r="IX179" s="938"/>
      <c r="IY179" s="938"/>
      <c r="IZ179" s="938"/>
      <c r="JB179" s="940"/>
      <c r="JC179" s="940"/>
      <c r="JD179" s="940"/>
      <c r="JE179" s="940"/>
      <c r="JF179" s="940"/>
      <c r="JG179" s="940"/>
      <c r="JH179" s="940"/>
      <c r="JI179" s="940"/>
      <c r="JJ179" s="940"/>
      <c r="JK179" s="940"/>
      <c r="JL179" s="940"/>
      <c r="JM179" s="940"/>
      <c r="JN179" s="940"/>
      <c r="JO179" s="940"/>
      <c r="JP179" s="940"/>
      <c r="JQ179" s="940"/>
      <c r="JR179" s="940"/>
      <c r="JS179" s="940"/>
      <c r="JT179" s="940"/>
      <c r="JU179" s="940"/>
      <c r="JV179" s="940"/>
      <c r="JW179" s="940"/>
      <c r="JX179" s="940"/>
      <c r="JY179" s="940"/>
      <c r="JZ179" s="940"/>
      <c r="KA179" s="940"/>
      <c r="KB179" s="940"/>
      <c r="KC179" s="940"/>
      <c r="KD179" s="940"/>
      <c r="KE179" s="940"/>
      <c r="KF179" s="940"/>
      <c r="KG179" s="940"/>
      <c r="KH179" s="940"/>
      <c r="KI179" s="940"/>
      <c r="KJ179" s="940"/>
      <c r="KK179" s="940"/>
      <c r="KL179" s="940"/>
      <c r="KM179" s="940"/>
      <c r="KN179" s="940"/>
      <c r="KO179" s="940"/>
      <c r="KP179" s="940"/>
      <c r="KQ179" s="940"/>
      <c r="KR179" s="940"/>
      <c r="KS179" s="940"/>
      <c r="KT179" s="940"/>
      <c r="KU179" s="940"/>
      <c r="KV179" s="940"/>
      <c r="KW179" s="940"/>
      <c r="KX179" s="940"/>
      <c r="KY179" s="940"/>
      <c r="KZ179" s="940"/>
      <c r="LA179" s="940"/>
      <c r="LB179" s="940"/>
      <c r="LC179" s="940"/>
      <c r="LD179" s="940"/>
      <c r="LE179" s="940"/>
      <c r="LF179" s="940"/>
      <c r="LG179" s="940"/>
      <c r="LH179" s="940"/>
    </row>
    <row r="180" spans="1:320" s="462" customFormat="1" ht="15" hidden="1" customHeight="1" outlineLevel="1" x14ac:dyDescent="0.25">
      <c r="A180" s="1205">
        <v>43189</v>
      </c>
      <c r="B180" s="1205"/>
      <c r="C180" s="463"/>
      <c r="D180" s="461"/>
      <c r="H180" s="932"/>
      <c r="I180" s="37"/>
      <c r="J180" s="932"/>
      <c r="K180" s="37"/>
      <c r="L180" s="932"/>
      <c r="M180" s="37"/>
      <c r="N180" s="932"/>
      <c r="O180" s="37"/>
      <c r="P180" s="932"/>
      <c r="Q180" s="37"/>
      <c r="R180" s="932"/>
      <c r="S180" s="37"/>
      <c r="T180" s="37"/>
      <c r="U180" s="37"/>
      <c r="V180" s="932"/>
      <c r="W180" s="37"/>
      <c r="X180" s="932"/>
      <c r="Y180" s="37"/>
      <c r="Z180" s="932"/>
      <c r="AA180" s="37"/>
      <c r="AB180" s="932"/>
      <c r="AC180" s="37"/>
      <c r="AD180" s="932"/>
      <c r="AE180" s="37"/>
      <c r="AF180" s="932"/>
      <c r="AG180" s="37"/>
      <c r="AH180" s="37"/>
      <c r="AI180" s="37"/>
      <c r="AJ180" s="932"/>
      <c r="AK180" s="37"/>
      <c r="AL180" s="932"/>
      <c r="AM180" s="37"/>
      <c r="AN180" s="932"/>
      <c r="AO180" s="37"/>
      <c r="AP180" s="932"/>
      <c r="AQ180" s="37"/>
      <c r="AR180" s="37"/>
      <c r="AS180" s="37"/>
      <c r="AT180" s="37"/>
      <c r="AU180" s="37"/>
      <c r="AV180" s="37"/>
      <c r="AW180" s="37"/>
      <c r="AX180" s="932"/>
      <c r="AY180" s="37"/>
      <c r="AZ180" s="932"/>
      <c r="BA180" s="37"/>
      <c r="BB180" s="932"/>
      <c r="BC180" s="37"/>
      <c r="BD180" s="932"/>
      <c r="BE180" s="37"/>
      <c r="BF180" s="932"/>
      <c r="BG180" s="37"/>
      <c r="BH180" s="37"/>
      <c r="BI180" s="37"/>
      <c r="BJ180" s="37"/>
      <c r="BK180" s="37"/>
      <c r="BL180" s="932"/>
      <c r="BM180" s="37"/>
      <c r="BN180" s="932"/>
      <c r="BO180" s="37"/>
      <c r="BP180" s="932"/>
      <c r="BQ180" s="37"/>
      <c r="BR180" s="932"/>
      <c r="BS180" s="37"/>
      <c r="BT180" s="932"/>
      <c r="BU180" s="932"/>
      <c r="BV180" s="932"/>
      <c r="BW180" s="932"/>
      <c r="BX180" s="37"/>
      <c r="BY180" s="37"/>
      <c r="BZ180" s="932"/>
      <c r="CA180" s="37"/>
      <c r="CB180" s="932"/>
      <c r="CC180" s="37"/>
      <c r="CD180" s="932"/>
      <c r="CE180" s="37"/>
      <c r="CF180" s="932"/>
      <c r="CG180" s="37"/>
      <c r="CH180" s="932"/>
      <c r="CI180" s="932"/>
      <c r="CJ180" s="932"/>
      <c r="CK180" s="932"/>
      <c r="CL180" s="37"/>
      <c r="CM180" s="37"/>
      <c r="CN180" s="932"/>
      <c r="CO180" s="37"/>
      <c r="CP180" s="932"/>
      <c r="CQ180" s="37"/>
      <c r="CR180" s="932"/>
      <c r="CS180" s="37"/>
      <c r="CT180" s="932"/>
      <c r="CU180" s="37"/>
      <c r="CV180" s="932"/>
      <c r="CW180" s="932"/>
      <c r="CX180" s="932"/>
      <c r="CY180" s="932"/>
      <c r="CZ180" s="37"/>
      <c r="DA180" s="37"/>
      <c r="DB180" s="932"/>
      <c r="DC180" s="37"/>
      <c r="DD180" s="932"/>
      <c r="DE180" s="37"/>
      <c r="DF180" s="932"/>
      <c r="DG180" s="37"/>
      <c r="DH180" s="932"/>
      <c r="DI180" s="37"/>
      <c r="DJ180" s="932"/>
      <c r="DK180" s="932"/>
      <c r="DL180" s="932"/>
      <c r="DM180" s="932"/>
      <c r="DN180" s="37"/>
      <c r="DO180" s="37"/>
      <c r="DP180" s="932"/>
      <c r="DQ180" s="37"/>
      <c r="DR180" s="932"/>
      <c r="DS180" s="37"/>
      <c r="DT180" s="932"/>
      <c r="DU180" s="37"/>
      <c r="DV180" s="932"/>
      <c r="DW180" s="37"/>
      <c r="DX180" s="932"/>
      <c r="DY180" s="932"/>
      <c r="DZ180" s="932"/>
      <c r="EA180" s="932"/>
      <c r="EB180" s="37"/>
      <c r="EC180" s="37"/>
      <c r="EE180" s="941"/>
      <c r="EG180" s="938"/>
      <c r="EI180" s="938"/>
      <c r="EK180" s="938"/>
      <c r="EM180" s="938"/>
      <c r="EO180" s="938"/>
      <c r="EQ180" s="938"/>
      <c r="ES180" s="938"/>
      <c r="EU180" s="938"/>
      <c r="EW180" s="938"/>
      <c r="EY180" s="938"/>
      <c r="FA180" s="938"/>
      <c r="FC180" s="938"/>
      <c r="FE180" s="938"/>
      <c r="FG180" s="938"/>
      <c r="FI180" s="938"/>
      <c r="FK180" s="938"/>
      <c r="FM180" s="938"/>
      <c r="FO180" s="938"/>
      <c r="FQ180" s="938"/>
      <c r="FS180" s="938"/>
      <c r="FU180" s="938"/>
      <c r="FW180" s="938"/>
      <c r="FY180" s="938"/>
      <c r="GA180" s="938"/>
      <c r="GC180" s="938"/>
      <c r="GE180" s="938"/>
      <c r="GG180" s="938"/>
      <c r="GI180" s="938"/>
      <c r="GK180" s="938"/>
      <c r="GM180" s="938"/>
      <c r="GO180" s="938"/>
      <c r="GQ180" s="938"/>
      <c r="GS180" s="938"/>
      <c r="GU180" s="938"/>
      <c r="GW180" s="938"/>
      <c r="GY180" s="938"/>
      <c r="HA180" s="938"/>
      <c r="HC180" s="938"/>
      <c r="HE180" s="938"/>
      <c r="HG180" s="938"/>
      <c r="HI180" s="938"/>
      <c r="HK180" s="938"/>
      <c r="HM180" s="938"/>
      <c r="HO180" s="938"/>
      <c r="HQ180" s="938"/>
      <c r="HS180" s="938"/>
      <c r="HU180" s="938"/>
      <c r="HW180" s="938"/>
      <c r="HY180" s="938"/>
      <c r="IA180" s="938"/>
      <c r="IC180" s="938"/>
      <c r="IE180" s="938"/>
      <c r="IG180" s="938"/>
      <c r="II180" s="938"/>
      <c r="IK180" s="938"/>
      <c r="IM180" s="938"/>
      <c r="IO180" s="938"/>
      <c r="IQ180" s="938"/>
      <c r="IS180" s="938"/>
      <c r="IT180" s="932"/>
      <c r="IU180" s="938"/>
      <c r="IW180" s="939"/>
      <c r="IX180" s="938"/>
      <c r="IY180" s="938"/>
      <c r="IZ180" s="938"/>
      <c r="JB180" s="940"/>
      <c r="JC180" s="940"/>
      <c r="JD180" s="940"/>
      <c r="JE180" s="940"/>
      <c r="JF180" s="940"/>
      <c r="JG180" s="940"/>
      <c r="JH180" s="940"/>
      <c r="JI180" s="940"/>
      <c r="JJ180" s="940"/>
      <c r="JK180" s="940"/>
      <c r="JL180" s="940"/>
      <c r="JM180" s="940"/>
      <c r="JN180" s="940"/>
      <c r="JO180" s="940"/>
      <c r="JP180" s="940"/>
      <c r="JQ180" s="940"/>
      <c r="JR180" s="940"/>
      <c r="JS180" s="940"/>
      <c r="JT180" s="940"/>
      <c r="JU180" s="940"/>
      <c r="JV180" s="940"/>
      <c r="JW180" s="940"/>
      <c r="JX180" s="940"/>
      <c r="JY180" s="940"/>
      <c r="JZ180" s="940"/>
      <c r="KA180" s="940"/>
      <c r="KB180" s="940"/>
      <c r="KC180" s="940"/>
      <c r="KD180" s="940"/>
      <c r="KE180" s="940"/>
      <c r="KF180" s="940"/>
      <c r="KG180" s="940"/>
      <c r="KH180" s="940"/>
      <c r="KI180" s="940"/>
      <c r="KJ180" s="940"/>
      <c r="KK180" s="940"/>
      <c r="KL180" s="940"/>
      <c r="KM180" s="940"/>
      <c r="KN180" s="940"/>
      <c r="KO180" s="940"/>
      <c r="KP180" s="940"/>
      <c r="KQ180" s="940"/>
      <c r="KR180" s="940"/>
      <c r="KS180" s="940"/>
      <c r="KT180" s="940"/>
      <c r="KU180" s="940"/>
      <c r="KV180" s="940"/>
      <c r="KW180" s="940"/>
      <c r="KX180" s="940"/>
      <c r="KY180" s="940"/>
      <c r="KZ180" s="940"/>
      <c r="LA180" s="940"/>
      <c r="LB180" s="940"/>
      <c r="LC180" s="940"/>
      <c r="LD180" s="940"/>
      <c r="LE180" s="940"/>
      <c r="LF180" s="940"/>
      <c r="LG180" s="940"/>
      <c r="LH180" s="940"/>
    </row>
    <row r="181" spans="1:320" s="462" customFormat="1" ht="15" hidden="1" customHeight="1" outlineLevel="1" x14ac:dyDescent="0.25">
      <c r="A181" s="1205">
        <v>43248</v>
      </c>
      <c r="B181" s="1205"/>
      <c r="C181" s="463"/>
      <c r="D181" s="461"/>
      <c r="H181" s="932"/>
      <c r="I181" s="37"/>
      <c r="J181" s="932"/>
      <c r="K181" s="37"/>
      <c r="L181" s="932"/>
      <c r="M181" s="37"/>
      <c r="N181" s="932"/>
      <c r="O181" s="37"/>
      <c r="P181" s="932"/>
      <c r="Q181" s="37"/>
      <c r="R181" s="932"/>
      <c r="S181" s="37"/>
      <c r="T181" s="37"/>
      <c r="U181" s="37"/>
      <c r="V181" s="932"/>
      <c r="W181" s="37"/>
      <c r="X181" s="932"/>
      <c r="Y181" s="37"/>
      <c r="Z181" s="932"/>
      <c r="AA181" s="37"/>
      <c r="AB181" s="932"/>
      <c r="AC181" s="37"/>
      <c r="AD181" s="932"/>
      <c r="AE181" s="37"/>
      <c r="AF181" s="932"/>
      <c r="AG181" s="37"/>
      <c r="AH181" s="37"/>
      <c r="AI181" s="37"/>
      <c r="AJ181" s="932"/>
      <c r="AK181" s="37"/>
      <c r="AL181" s="932"/>
      <c r="AM181" s="37"/>
      <c r="AN181" s="932"/>
      <c r="AO181" s="37"/>
      <c r="AP181" s="932"/>
      <c r="AQ181" s="37"/>
      <c r="AR181" s="37"/>
      <c r="AS181" s="37"/>
      <c r="AT181" s="37"/>
      <c r="AU181" s="37"/>
      <c r="AV181" s="37"/>
      <c r="AW181" s="37"/>
      <c r="AX181" s="932"/>
      <c r="AY181" s="37"/>
      <c r="AZ181" s="932"/>
      <c r="BA181" s="37"/>
      <c r="BB181" s="932"/>
      <c r="BC181" s="37"/>
      <c r="BD181" s="932"/>
      <c r="BE181" s="37"/>
      <c r="BF181" s="932"/>
      <c r="BG181" s="37"/>
      <c r="BH181" s="37"/>
      <c r="BI181" s="37"/>
      <c r="BJ181" s="37"/>
      <c r="BK181" s="37"/>
      <c r="BL181" s="932"/>
      <c r="BM181" s="37"/>
      <c r="BN181" s="932"/>
      <c r="BO181" s="37"/>
      <c r="BP181" s="932"/>
      <c r="BQ181" s="37"/>
      <c r="BR181" s="932"/>
      <c r="BS181" s="37"/>
      <c r="BT181" s="932"/>
      <c r="BU181" s="932"/>
      <c r="BV181" s="932"/>
      <c r="BW181" s="932"/>
      <c r="BX181" s="37"/>
      <c r="BY181" s="37"/>
      <c r="BZ181" s="932"/>
      <c r="CA181" s="37"/>
      <c r="CB181" s="932"/>
      <c r="CC181" s="37"/>
      <c r="CD181" s="932"/>
      <c r="CE181" s="37"/>
      <c r="CF181" s="932"/>
      <c r="CG181" s="37"/>
      <c r="CH181" s="932"/>
      <c r="CI181" s="932"/>
      <c r="CJ181" s="932"/>
      <c r="CK181" s="932"/>
      <c r="CL181" s="37"/>
      <c r="CM181" s="37"/>
      <c r="CN181" s="932"/>
      <c r="CO181" s="37"/>
      <c r="CP181" s="932"/>
      <c r="CQ181" s="37"/>
      <c r="CR181" s="932"/>
      <c r="CS181" s="37"/>
      <c r="CT181" s="932"/>
      <c r="CU181" s="37"/>
      <c r="CV181" s="932"/>
      <c r="CW181" s="932"/>
      <c r="CX181" s="932"/>
      <c r="CY181" s="932"/>
      <c r="CZ181" s="37"/>
      <c r="DA181" s="37"/>
      <c r="DB181" s="932"/>
      <c r="DC181" s="37"/>
      <c r="DD181" s="932"/>
      <c r="DE181" s="37"/>
      <c r="DF181" s="932"/>
      <c r="DG181" s="37"/>
      <c r="DH181" s="932"/>
      <c r="DI181" s="37"/>
      <c r="DJ181" s="932"/>
      <c r="DK181" s="932"/>
      <c r="DL181" s="932"/>
      <c r="DM181" s="932"/>
      <c r="DN181" s="37"/>
      <c r="DO181" s="37"/>
      <c r="DP181" s="932"/>
      <c r="DQ181" s="37"/>
      <c r="DR181" s="932"/>
      <c r="DS181" s="37"/>
      <c r="DT181" s="932"/>
      <c r="DU181" s="37"/>
      <c r="DV181" s="932"/>
      <c r="DW181" s="37"/>
      <c r="DX181" s="932"/>
      <c r="DY181" s="932"/>
      <c r="DZ181" s="932"/>
      <c r="EA181" s="932"/>
      <c r="EB181" s="37"/>
      <c r="EC181" s="37"/>
      <c r="EE181" s="941"/>
      <c r="EG181" s="938"/>
      <c r="EI181" s="938"/>
      <c r="EK181" s="938"/>
      <c r="EM181" s="938"/>
      <c r="EO181" s="938"/>
      <c r="EQ181" s="938"/>
      <c r="ES181" s="938"/>
      <c r="EU181" s="938"/>
      <c r="EW181" s="938"/>
      <c r="EY181" s="938"/>
      <c r="FA181" s="938"/>
      <c r="FC181" s="938"/>
      <c r="FE181" s="938"/>
      <c r="FG181" s="938"/>
      <c r="FI181" s="938"/>
      <c r="FK181" s="938"/>
      <c r="FM181" s="938"/>
      <c r="FO181" s="938"/>
      <c r="FQ181" s="938"/>
      <c r="FS181" s="938"/>
      <c r="FU181" s="938"/>
      <c r="FW181" s="938"/>
      <c r="FY181" s="938"/>
      <c r="GA181" s="938"/>
      <c r="GC181" s="938"/>
      <c r="GE181" s="938"/>
      <c r="GG181" s="938"/>
      <c r="GI181" s="938"/>
      <c r="GK181" s="938"/>
      <c r="GM181" s="938"/>
      <c r="GO181" s="938"/>
      <c r="GQ181" s="938"/>
      <c r="GS181" s="938"/>
      <c r="GU181" s="938"/>
      <c r="GW181" s="938"/>
      <c r="GY181" s="938"/>
      <c r="HA181" s="938"/>
      <c r="HC181" s="938"/>
      <c r="HE181" s="938"/>
      <c r="HG181" s="938"/>
      <c r="HI181" s="938"/>
      <c r="HK181" s="938"/>
      <c r="HM181" s="938"/>
      <c r="HO181" s="938"/>
      <c r="HQ181" s="938"/>
      <c r="HS181" s="938"/>
      <c r="HU181" s="938"/>
      <c r="HW181" s="938"/>
      <c r="HY181" s="938"/>
      <c r="IA181" s="938"/>
      <c r="IC181" s="938"/>
      <c r="IE181" s="938"/>
      <c r="IG181" s="938"/>
      <c r="II181" s="938"/>
      <c r="IK181" s="938"/>
      <c r="IM181" s="938"/>
      <c r="IO181" s="938"/>
      <c r="IQ181" s="938"/>
      <c r="IS181" s="938"/>
      <c r="IT181" s="932"/>
      <c r="IU181" s="938"/>
      <c r="IW181" s="939"/>
      <c r="IX181" s="938"/>
      <c r="IY181" s="938"/>
      <c r="IZ181" s="938"/>
      <c r="JB181" s="940"/>
      <c r="JC181" s="940"/>
      <c r="JD181" s="940"/>
      <c r="JE181" s="940"/>
      <c r="JF181" s="940"/>
      <c r="JG181" s="940"/>
      <c r="JH181" s="940"/>
      <c r="JI181" s="940"/>
      <c r="JJ181" s="940"/>
      <c r="JK181" s="940"/>
      <c r="JL181" s="940"/>
      <c r="JM181" s="940"/>
      <c r="JN181" s="940"/>
      <c r="JO181" s="940"/>
      <c r="JP181" s="940"/>
      <c r="JQ181" s="940"/>
      <c r="JR181" s="940"/>
      <c r="JS181" s="940"/>
      <c r="JT181" s="940"/>
      <c r="JU181" s="940"/>
      <c r="JV181" s="940"/>
      <c r="JW181" s="940"/>
      <c r="JX181" s="940"/>
      <c r="JY181" s="940"/>
      <c r="JZ181" s="940"/>
      <c r="KA181" s="940"/>
      <c r="KB181" s="940"/>
      <c r="KC181" s="940"/>
      <c r="KD181" s="940"/>
      <c r="KE181" s="940"/>
      <c r="KF181" s="940"/>
      <c r="KG181" s="940"/>
      <c r="KH181" s="940"/>
      <c r="KI181" s="940"/>
      <c r="KJ181" s="940"/>
      <c r="KK181" s="940"/>
      <c r="KL181" s="940"/>
      <c r="KM181" s="940"/>
      <c r="KN181" s="940"/>
      <c r="KO181" s="940"/>
      <c r="KP181" s="940"/>
      <c r="KQ181" s="940"/>
      <c r="KR181" s="940"/>
      <c r="KS181" s="940"/>
      <c r="KT181" s="940"/>
      <c r="KU181" s="940"/>
      <c r="KV181" s="940"/>
      <c r="KW181" s="940"/>
      <c r="KX181" s="940"/>
      <c r="KY181" s="940"/>
      <c r="KZ181" s="940"/>
      <c r="LA181" s="940"/>
      <c r="LB181" s="940"/>
      <c r="LC181" s="940"/>
      <c r="LD181" s="940"/>
      <c r="LE181" s="940"/>
      <c r="LF181" s="940"/>
      <c r="LG181" s="940"/>
      <c r="LH181" s="940"/>
    </row>
    <row r="182" spans="1:320" s="462" customFormat="1" ht="15" hidden="1" customHeight="1" outlineLevel="1" x14ac:dyDescent="0.25">
      <c r="A182" s="1205">
        <v>43285</v>
      </c>
      <c r="B182" s="1205"/>
      <c r="C182" s="463"/>
      <c r="D182" s="461"/>
      <c r="H182" s="932"/>
      <c r="I182" s="37"/>
      <c r="J182" s="932"/>
      <c r="K182" s="37"/>
      <c r="L182" s="932"/>
      <c r="M182" s="37"/>
      <c r="N182" s="932"/>
      <c r="O182" s="37"/>
      <c r="P182" s="932"/>
      <c r="Q182" s="37"/>
      <c r="R182" s="932"/>
      <c r="S182" s="37"/>
      <c r="T182" s="37"/>
      <c r="U182" s="37"/>
      <c r="V182" s="932"/>
      <c r="W182" s="37"/>
      <c r="X182" s="932"/>
      <c r="Y182" s="37"/>
      <c r="Z182" s="932"/>
      <c r="AA182" s="37"/>
      <c r="AB182" s="932"/>
      <c r="AC182" s="37"/>
      <c r="AD182" s="932"/>
      <c r="AE182" s="37"/>
      <c r="AF182" s="932"/>
      <c r="AG182" s="37"/>
      <c r="AH182" s="37"/>
      <c r="AI182" s="37"/>
      <c r="AJ182" s="932"/>
      <c r="AK182" s="37"/>
      <c r="AL182" s="932"/>
      <c r="AM182" s="37"/>
      <c r="AN182" s="932"/>
      <c r="AO182" s="37"/>
      <c r="AP182" s="932"/>
      <c r="AQ182" s="37"/>
      <c r="AR182" s="37"/>
      <c r="AS182" s="37"/>
      <c r="AT182" s="37"/>
      <c r="AU182" s="37"/>
      <c r="AV182" s="37"/>
      <c r="AW182" s="37"/>
      <c r="AX182" s="932"/>
      <c r="AY182" s="37"/>
      <c r="AZ182" s="932"/>
      <c r="BA182" s="37"/>
      <c r="BB182" s="932"/>
      <c r="BC182" s="37"/>
      <c r="BD182" s="932"/>
      <c r="BE182" s="37"/>
      <c r="BF182" s="932"/>
      <c r="BG182" s="37"/>
      <c r="BH182" s="37"/>
      <c r="BI182" s="37"/>
      <c r="BJ182" s="37"/>
      <c r="BK182" s="37"/>
      <c r="BL182" s="932"/>
      <c r="BM182" s="37"/>
      <c r="BN182" s="932"/>
      <c r="BO182" s="37"/>
      <c r="BP182" s="932"/>
      <c r="BQ182" s="37"/>
      <c r="BR182" s="932"/>
      <c r="BS182" s="37"/>
      <c r="BT182" s="932"/>
      <c r="BU182" s="932"/>
      <c r="BV182" s="932"/>
      <c r="BW182" s="932"/>
      <c r="BX182" s="37"/>
      <c r="BY182" s="37"/>
      <c r="BZ182" s="932"/>
      <c r="CA182" s="37"/>
      <c r="CB182" s="932"/>
      <c r="CC182" s="37"/>
      <c r="CD182" s="932"/>
      <c r="CE182" s="37"/>
      <c r="CF182" s="932"/>
      <c r="CG182" s="37"/>
      <c r="CH182" s="932"/>
      <c r="CI182" s="932"/>
      <c r="CJ182" s="932"/>
      <c r="CK182" s="932"/>
      <c r="CL182" s="37"/>
      <c r="CM182" s="37"/>
      <c r="CN182" s="932"/>
      <c r="CO182" s="37"/>
      <c r="CP182" s="932"/>
      <c r="CQ182" s="37"/>
      <c r="CR182" s="932"/>
      <c r="CS182" s="37"/>
      <c r="CT182" s="932"/>
      <c r="CU182" s="37"/>
      <c r="CV182" s="932"/>
      <c r="CW182" s="932"/>
      <c r="CX182" s="932"/>
      <c r="CY182" s="932"/>
      <c r="CZ182" s="37"/>
      <c r="DA182" s="37"/>
      <c r="DB182" s="932"/>
      <c r="DC182" s="37"/>
      <c r="DD182" s="932"/>
      <c r="DE182" s="37"/>
      <c r="DF182" s="932"/>
      <c r="DG182" s="37"/>
      <c r="DH182" s="932"/>
      <c r="DI182" s="37"/>
      <c r="DJ182" s="932"/>
      <c r="DK182" s="932"/>
      <c r="DL182" s="932"/>
      <c r="DM182" s="932"/>
      <c r="DN182" s="37"/>
      <c r="DO182" s="37"/>
      <c r="DP182" s="932"/>
      <c r="DQ182" s="37"/>
      <c r="DR182" s="932"/>
      <c r="DS182" s="37"/>
      <c r="DT182" s="932"/>
      <c r="DU182" s="37"/>
      <c r="DV182" s="932"/>
      <c r="DW182" s="37"/>
      <c r="DX182" s="932"/>
      <c r="DY182" s="932"/>
      <c r="DZ182" s="932"/>
      <c r="EA182" s="932"/>
      <c r="EB182" s="37"/>
      <c r="EC182" s="37"/>
      <c r="EE182" s="941"/>
      <c r="EG182" s="938"/>
      <c r="EI182" s="938"/>
      <c r="EK182" s="938"/>
      <c r="EM182" s="938"/>
      <c r="EO182" s="938"/>
      <c r="EQ182" s="938"/>
      <c r="ES182" s="938"/>
      <c r="EU182" s="938"/>
      <c r="EW182" s="938"/>
      <c r="EY182" s="938"/>
      <c r="FA182" s="938"/>
      <c r="FC182" s="938"/>
      <c r="FE182" s="938"/>
      <c r="FG182" s="938"/>
      <c r="FI182" s="938"/>
      <c r="FK182" s="938"/>
      <c r="FM182" s="938"/>
      <c r="FO182" s="938"/>
      <c r="FQ182" s="938"/>
      <c r="FS182" s="938"/>
      <c r="FU182" s="938"/>
      <c r="FW182" s="938"/>
      <c r="FY182" s="938"/>
      <c r="GA182" s="938"/>
      <c r="GC182" s="938"/>
      <c r="GE182" s="938"/>
      <c r="GG182" s="938"/>
      <c r="GI182" s="938"/>
      <c r="GK182" s="938"/>
      <c r="GM182" s="938"/>
      <c r="GO182" s="938"/>
      <c r="GQ182" s="938"/>
      <c r="GS182" s="938"/>
      <c r="GU182" s="938"/>
      <c r="GW182" s="938"/>
      <c r="GY182" s="938"/>
      <c r="HA182" s="938"/>
      <c r="HC182" s="938"/>
      <c r="HE182" s="938"/>
      <c r="HG182" s="938"/>
      <c r="HI182" s="938"/>
      <c r="HK182" s="938"/>
      <c r="HM182" s="938"/>
      <c r="HO182" s="938"/>
      <c r="HQ182" s="938"/>
      <c r="HS182" s="938"/>
      <c r="HU182" s="938"/>
      <c r="HW182" s="938"/>
      <c r="HY182" s="938"/>
      <c r="IA182" s="938"/>
      <c r="IC182" s="938"/>
      <c r="IE182" s="938"/>
      <c r="IG182" s="938"/>
      <c r="II182" s="938"/>
      <c r="IK182" s="938"/>
      <c r="IM182" s="938"/>
      <c r="IO182" s="938"/>
      <c r="IQ182" s="938"/>
      <c r="IS182" s="938"/>
      <c r="IT182" s="932"/>
      <c r="IU182" s="938"/>
      <c r="IW182" s="939"/>
      <c r="IX182" s="938"/>
      <c r="IY182" s="938"/>
      <c r="IZ182" s="938"/>
      <c r="JB182" s="940"/>
      <c r="JC182" s="940"/>
      <c r="JD182" s="940"/>
      <c r="JE182" s="940"/>
      <c r="JF182" s="940"/>
      <c r="JG182" s="940"/>
      <c r="JH182" s="940"/>
      <c r="JI182" s="940"/>
      <c r="JJ182" s="940"/>
      <c r="JK182" s="940"/>
      <c r="JL182" s="940"/>
      <c r="JM182" s="940"/>
      <c r="JN182" s="940"/>
      <c r="JO182" s="940"/>
      <c r="JP182" s="940"/>
      <c r="JQ182" s="940"/>
      <c r="JR182" s="940"/>
      <c r="JS182" s="940"/>
      <c r="JT182" s="940"/>
      <c r="JU182" s="940"/>
      <c r="JV182" s="940"/>
      <c r="JW182" s="940"/>
      <c r="JX182" s="940"/>
      <c r="JY182" s="940"/>
      <c r="JZ182" s="940"/>
      <c r="KA182" s="940"/>
      <c r="KB182" s="940"/>
      <c r="KC182" s="940"/>
      <c r="KD182" s="940"/>
      <c r="KE182" s="940"/>
      <c r="KF182" s="940"/>
      <c r="KG182" s="940"/>
      <c r="KH182" s="940"/>
      <c r="KI182" s="940"/>
      <c r="KJ182" s="940"/>
      <c r="KK182" s="940"/>
      <c r="KL182" s="940"/>
      <c r="KM182" s="940"/>
      <c r="KN182" s="940"/>
      <c r="KO182" s="940"/>
      <c r="KP182" s="940"/>
      <c r="KQ182" s="940"/>
      <c r="KR182" s="940"/>
      <c r="KS182" s="940"/>
      <c r="KT182" s="940"/>
      <c r="KU182" s="940"/>
      <c r="KV182" s="940"/>
      <c r="KW182" s="940"/>
      <c r="KX182" s="940"/>
      <c r="KY182" s="940"/>
      <c r="KZ182" s="940"/>
      <c r="LA182" s="940"/>
      <c r="LB182" s="940"/>
      <c r="LC182" s="940"/>
      <c r="LD182" s="940"/>
      <c r="LE182" s="940"/>
      <c r="LF182" s="940"/>
      <c r="LG182" s="940"/>
      <c r="LH182" s="940"/>
    </row>
    <row r="183" spans="1:320" s="462" customFormat="1" ht="15" hidden="1" customHeight="1" outlineLevel="1" x14ac:dyDescent="0.25">
      <c r="A183" s="1205">
        <v>43346</v>
      </c>
      <c r="B183" s="1205"/>
      <c r="C183" s="463"/>
      <c r="D183" s="461"/>
      <c r="H183" s="932"/>
      <c r="I183" s="37"/>
      <c r="J183" s="932"/>
      <c r="K183" s="37"/>
      <c r="L183" s="932"/>
      <c r="M183" s="37"/>
      <c r="N183" s="932"/>
      <c r="O183" s="37"/>
      <c r="P183" s="932"/>
      <c r="Q183" s="37"/>
      <c r="R183" s="932"/>
      <c r="S183" s="37"/>
      <c r="T183" s="37"/>
      <c r="U183" s="37"/>
      <c r="V183" s="932"/>
      <c r="W183" s="37"/>
      <c r="X183" s="932"/>
      <c r="Y183" s="37"/>
      <c r="Z183" s="932"/>
      <c r="AA183" s="37"/>
      <c r="AB183" s="932"/>
      <c r="AC183" s="37"/>
      <c r="AD183" s="932"/>
      <c r="AE183" s="37"/>
      <c r="AF183" s="932"/>
      <c r="AG183" s="37"/>
      <c r="AH183" s="37"/>
      <c r="AI183" s="37"/>
      <c r="AJ183" s="932"/>
      <c r="AK183" s="37"/>
      <c r="AL183" s="932"/>
      <c r="AM183" s="37"/>
      <c r="AN183" s="932"/>
      <c r="AO183" s="37"/>
      <c r="AP183" s="932"/>
      <c r="AQ183" s="37"/>
      <c r="AR183" s="37"/>
      <c r="AS183" s="37"/>
      <c r="AT183" s="37"/>
      <c r="AU183" s="37"/>
      <c r="AV183" s="37"/>
      <c r="AW183" s="37"/>
      <c r="AX183" s="932"/>
      <c r="AY183" s="37"/>
      <c r="AZ183" s="932"/>
      <c r="BA183" s="37"/>
      <c r="BB183" s="932"/>
      <c r="BC183" s="37"/>
      <c r="BD183" s="932"/>
      <c r="BE183" s="37"/>
      <c r="BF183" s="932"/>
      <c r="BG183" s="37"/>
      <c r="BH183" s="37"/>
      <c r="BI183" s="37"/>
      <c r="BJ183" s="37"/>
      <c r="BK183" s="37"/>
      <c r="BL183" s="932"/>
      <c r="BM183" s="37"/>
      <c r="BN183" s="932"/>
      <c r="BO183" s="37"/>
      <c r="BP183" s="932"/>
      <c r="BQ183" s="37"/>
      <c r="BR183" s="932"/>
      <c r="BS183" s="37"/>
      <c r="BT183" s="932"/>
      <c r="BU183" s="932"/>
      <c r="BV183" s="932"/>
      <c r="BW183" s="932"/>
      <c r="BX183" s="37"/>
      <c r="BY183" s="37"/>
      <c r="BZ183" s="932"/>
      <c r="CA183" s="37"/>
      <c r="CB183" s="932"/>
      <c r="CC183" s="37"/>
      <c r="CD183" s="932"/>
      <c r="CE183" s="37"/>
      <c r="CF183" s="932"/>
      <c r="CG183" s="37"/>
      <c r="CH183" s="932"/>
      <c r="CI183" s="932"/>
      <c r="CJ183" s="932"/>
      <c r="CK183" s="932"/>
      <c r="CL183" s="37"/>
      <c r="CM183" s="37"/>
      <c r="CN183" s="932"/>
      <c r="CO183" s="37"/>
      <c r="CP183" s="932"/>
      <c r="CQ183" s="37"/>
      <c r="CR183" s="932"/>
      <c r="CS183" s="37"/>
      <c r="CT183" s="932"/>
      <c r="CU183" s="37"/>
      <c r="CV183" s="932"/>
      <c r="CW183" s="932"/>
      <c r="CX183" s="932"/>
      <c r="CY183" s="932"/>
      <c r="CZ183" s="37"/>
      <c r="DA183" s="37"/>
      <c r="DB183" s="932"/>
      <c r="DC183" s="37"/>
      <c r="DD183" s="932"/>
      <c r="DE183" s="37"/>
      <c r="DF183" s="932"/>
      <c r="DG183" s="37"/>
      <c r="DH183" s="932"/>
      <c r="DI183" s="37"/>
      <c r="DJ183" s="932"/>
      <c r="DK183" s="932"/>
      <c r="DL183" s="932"/>
      <c r="DM183" s="932"/>
      <c r="DN183" s="37"/>
      <c r="DO183" s="37"/>
      <c r="DP183" s="932"/>
      <c r="DQ183" s="37"/>
      <c r="DR183" s="932"/>
      <c r="DS183" s="37"/>
      <c r="DT183" s="932"/>
      <c r="DU183" s="37"/>
      <c r="DV183" s="932"/>
      <c r="DW183" s="37"/>
      <c r="DX183" s="932"/>
      <c r="DY183" s="932"/>
      <c r="DZ183" s="932"/>
      <c r="EA183" s="932"/>
      <c r="EB183" s="37"/>
      <c r="EC183" s="37"/>
      <c r="EE183" s="941"/>
      <c r="EG183" s="938"/>
      <c r="EI183" s="938"/>
      <c r="EK183" s="938"/>
      <c r="EM183" s="938"/>
      <c r="EO183" s="938"/>
      <c r="EQ183" s="938"/>
      <c r="ES183" s="938"/>
      <c r="EU183" s="938"/>
      <c r="EW183" s="938"/>
      <c r="EY183" s="938"/>
      <c r="FA183" s="938"/>
      <c r="FC183" s="938"/>
      <c r="FE183" s="938"/>
      <c r="FG183" s="938"/>
      <c r="FI183" s="938"/>
      <c r="FK183" s="938"/>
      <c r="FM183" s="938"/>
      <c r="FO183" s="938"/>
      <c r="FQ183" s="938"/>
      <c r="FS183" s="938"/>
      <c r="FU183" s="938"/>
      <c r="FW183" s="938"/>
      <c r="FY183" s="938"/>
      <c r="GA183" s="938"/>
      <c r="GC183" s="938"/>
      <c r="GE183" s="938"/>
      <c r="GG183" s="938"/>
      <c r="GI183" s="938"/>
      <c r="GK183" s="938"/>
      <c r="GM183" s="938"/>
      <c r="GO183" s="938"/>
      <c r="GQ183" s="938"/>
      <c r="GS183" s="938"/>
      <c r="GU183" s="938"/>
      <c r="GW183" s="938"/>
      <c r="GY183" s="938"/>
      <c r="HA183" s="938"/>
      <c r="HC183" s="938"/>
      <c r="HE183" s="938"/>
      <c r="HG183" s="938"/>
      <c r="HI183" s="938"/>
      <c r="HK183" s="938"/>
      <c r="HM183" s="938"/>
      <c r="HO183" s="938"/>
      <c r="HQ183" s="938"/>
      <c r="HS183" s="938"/>
      <c r="HU183" s="938"/>
      <c r="HW183" s="938"/>
      <c r="HY183" s="938"/>
      <c r="IA183" s="938"/>
      <c r="IC183" s="938"/>
      <c r="IE183" s="938"/>
      <c r="IG183" s="938"/>
      <c r="II183" s="938"/>
      <c r="IK183" s="938"/>
      <c r="IM183" s="938"/>
      <c r="IO183" s="938"/>
      <c r="IQ183" s="938"/>
      <c r="IS183" s="938"/>
      <c r="IT183" s="932"/>
      <c r="IU183" s="938"/>
      <c r="IW183" s="939"/>
      <c r="IX183" s="938"/>
      <c r="IY183" s="938"/>
      <c r="IZ183" s="938"/>
      <c r="JB183" s="940"/>
      <c r="JC183" s="940"/>
      <c r="JD183" s="940"/>
      <c r="JE183" s="940"/>
      <c r="JF183" s="940"/>
      <c r="JG183" s="940"/>
      <c r="JH183" s="940"/>
      <c r="JI183" s="940"/>
      <c r="JJ183" s="940"/>
      <c r="JK183" s="940"/>
      <c r="JL183" s="940"/>
      <c r="JM183" s="940"/>
      <c r="JN183" s="940"/>
      <c r="JO183" s="940"/>
      <c r="JP183" s="940"/>
      <c r="JQ183" s="940"/>
      <c r="JR183" s="940"/>
      <c r="JS183" s="940"/>
      <c r="JT183" s="940"/>
      <c r="JU183" s="940"/>
      <c r="JV183" s="940"/>
      <c r="JW183" s="940"/>
      <c r="JX183" s="940"/>
      <c r="JY183" s="940"/>
      <c r="JZ183" s="940"/>
      <c r="KA183" s="940"/>
      <c r="KB183" s="940"/>
      <c r="KC183" s="940"/>
      <c r="KD183" s="940"/>
      <c r="KE183" s="940"/>
      <c r="KF183" s="940"/>
      <c r="KG183" s="940"/>
      <c r="KH183" s="940"/>
      <c r="KI183" s="940"/>
      <c r="KJ183" s="940"/>
      <c r="KK183" s="940"/>
      <c r="KL183" s="940"/>
      <c r="KM183" s="940"/>
      <c r="KN183" s="940"/>
      <c r="KO183" s="940"/>
      <c r="KP183" s="940"/>
      <c r="KQ183" s="940"/>
      <c r="KR183" s="940"/>
      <c r="KS183" s="940"/>
      <c r="KT183" s="940"/>
      <c r="KU183" s="940"/>
      <c r="KV183" s="940"/>
      <c r="KW183" s="940"/>
      <c r="KX183" s="940"/>
      <c r="KY183" s="940"/>
      <c r="KZ183" s="940"/>
      <c r="LA183" s="940"/>
      <c r="LB183" s="940"/>
      <c r="LC183" s="940"/>
      <c r="LD183" s="940"/>
      <c r="LE183" s="940"/>
      <c r="LF183" s="940"/>
      <c r="LG183" s="940"/>
      <c r="LH183" s="940"/>
    </row>
    <row r="184" spans="1:320" s="462" customFormat="1" ht="15" hidden="1" customHeight="1" outlineLevel="1" x14ac:dyDescent="0.25">
      <c r="A184" s="1205">
        <v>43416</v>
      </c>
      <c r="B184" s="1205"/>
      <c r="C184" s="463"/>
      <c r="D184" s="461"/>
      <c r="H184" s="932"/>
      <c r="I184" s="37"/>
      <c r="J184" s="932"/>
      <c r="K184" s="37"/>
      <c r="L184" s="932"/>
      <c r="M184" s="37"/>
      <c r="N184" s="932"/>
      <c r="O184" s="37"/>
      <c r="P184" s="932"/>
      <c r="Q184" s="37"/>
      <c r="R184" s="932"/>
      <c r="S184" s="37"/>
      <c r="T184" s="37"/>
      <c r="U184" s="37"/>
      <c r="V184" s="932"/>
      <c r="W184" s="37"/>
      <c r="X184" s="932"/>
      <c r="Y184" s="37"/>
      <c r="Z184" s="932"/>
      <c r="AA184" s="37"/>
      <c r="AB184" s="932"/>
      <c r="AC184" s="37"/>
      <c r="AD184" s="932"/>
      <c r="AE184" s="37"/>
      <c r="AF184" s="932"/>
      <c r="AG184" s="37"/>
      <c r="AH184" s="37"/>
      <c r="AI184" s="37"/>
      <c r="AJ184" s="932"/>
      <c r="AK184" s="37"/>
      <c r="AL184" s="932"/>
      <c r="AM184" s="37"/>
      <c r="AN184" s="932"/>
      <c r="AO184" s="37"/>
      <c r="AP184" s="932"/>
      <c r="AQ184" s="37"/>
      <c r="AR184" s="37"/>
      <c r="AS184" s="37"/>
      <c r="AT184" s="37"/>
      <c r="AU184" s="37"/>
      <c r="AV184" s="37"/>
      <c r="AW184" s="37"/>
      <c r="AX184" s="932"/>
      <c r="AY184" s="37"/>
      <c r="AZ184" s="932"/>
      <c r="BA184" s="37"/>
      <c r="BB184" s="932"/>
      <c r="BC184" s="37"/>
      <c r="BD184" s="932"/>
      <c r="BE184" s="37"/>
      <c r="BF184" s="932"/>
      <c r="BG184" s="37"/>
      <c r="BH184" s="37"/>
      <c r="BI184" s="37"/>
      <c r="BJ184" s="37"/>
      <c r="BK184" s="37"/>
      <c r="BL184" s="932"/>
      <c r="BM184" s="37"/>
      <c r="BN184" s="932"/>
      <c r="BO184" s="37"/>
      <c r="BP184" s="932"/>
      <c r="BQ184" s="37"/>
      <c r="BR184" s="932"/>
      <c r="BS184" s="37"/>
      <c r="BT184" s="932"/>
      <c r="BU184" s="932"/>
      <c r="BV184" s="932"/>
      <c r="BW184" s="932"/>
      <c r="BX184" s="37"/>
      <c r="BY184" s="37"/>
      <c r="BZ184" s="932"/>
      <c r="CA184" s="37"/>
      <c r="CB184" s="932"/>
      <c r="CC184" s="37"/>
      <c r="CD184" s="932"/>
      <c r="CE184" s="37"/>
      <c r="CF184" s="932"/>
      <c r="CG184" s="37"/>
      <c r="CH184" s="932"/>
      <c r="CI184" s="932"/>
      <c r="CJ184" s="932"/>
      <c r="CK184" s="932"/>
      <c r="CL184" s="37"/>
      <c r="CM184" s="37"/>
      <c r="CN184" s="932"/>
      <c r="CO184" s="37"/>
      <c r="CP184" s="932"/>
      <c r="CQ184" s="37"/>
      <c r="CR184" s="932"/>
      <c r="CS184" s="37"/>
      <c r="CT184" s="932"/>
      <c r="CU184" s="37"/>
      <c r="CV184" s="932"/>
      <c r="CW184" s="932"/>
      <c r="CX184" s="932"/>
      <c r="CY184" s="932"/>
      <c r="CZ184" s="37"/>
      <c r="DA184" s="37"/>
      <c r="DB184" s="932"/>
      <c r="DC184" s="37"/>
      <c r="DD184" s="932"/>
      <c r="DE184" s="37"/>
      <c r="DF184" s="932"/>
      <c r="DG184" s="37"/>
      <c r="DH184" s="932"/>
      <c r="DI184" s="37"/>
      <c r="DJ184" s="932"/>
      <c r="DK184" s="932"/>
      <c r="DL184" s="932"/>
      <c r="DM184" s="932"/>
      <c r="DN184" s="37"/>
      <c r="DO184" s="37"/>
      <c r="DP184" s="932"/>
      <c r="DQ184" s="37"/>
      <c r="DR184" s="932"/>
      <c r="DS184" s="37"/>
      <c r="DT184" s="932"/>
      <c r="DU184" s="37"/>
      <c r="DV184" s="932"/>
      <c r="DW184" s="37"/>
      <c r="DX184" s="932"/>
      <c r="DY184" s="932"/>
      <c r="DZ184" s="932"/>
      <c r="EA184" s="932"/>
      <c r="EB184" s="37"/>
      <c r="EC184" s="37"/>
      <c r="EE184" s="941"/>
      <c r="EG184" s="938"/>
      <c r="EI184" s="938"/>
      <c r="EK184" s="938"/>
      <c r="EM184" s="938"/>
      <c r="EO184" s="938"/>
      <c r="EQ184" s="938"/>
      <c r="ES184" s="938"/>
      <c r="EU184" s="938"/>
      <c r="EW184" s="938"/>
      <c r="EY184" s="938"/>
      <c r="FA184" s="938"/>
      <c r="FC184" s="938"/>
      <c r="FE184" s="938"/>
      <c r="FG184" s="938"/>
      <c r="FI184" s="938"/>
      <c r="FK184" s="938"/>
      <c r="FM184" s="938"/>
      <c r="FO184" s="938"/>
      <c r="FQ184" s="938"/>
      <c r="FS184" s="938"/>
      <c r="FU184" s="938"/>
      <c r="FW184" s="938"/>
      <c r="FY184" s="938"/>
      <c r="GA184" s="938"/>
      <c r="GC184" s="938"/>
      <c r="GE184" s="938"/>
      <c r="GG184" s="938"/>
      <c r="GI184" s="938"/>
      <c r="GK184" s="938"/>
      <c r="GM184" s="938"/>
      <c r="GO184" s="938"/>
      <c r="GQ184" s="938"/>
      <c r="GS184" s="938"/>
      <c r="GU184" s="938"/>
      <c r="GW184" s="938"/>
      <c r="GY184" s="938"/>
      <c r="HA184" s="938"/>
      <c r="HC184" s="938"/>
      <c r="HE184" s="938"/>
      <c r="HG184" s="938"/>
      <c r="HI184" s="938"/>
      <c r="HK184" s="938"/>
      <c r="HM184" s="938"/>
      <c r="HO184" s="938"/>
      <c r="HQ184" s="938"/>
      <c r="HS184" s="938"/>
      <c r="HU184" s="938"/>
      <c r="HW184" s="938"/>
      <c r="HY184" s="938"/>
      <c r="IA184" s="938"/>
      <c r="IC184" s="938"/>
      <c r="IE184" s="938"/>
      <c r="IG184" s="938"/>
      <c r="II184" s="938"/>
      <c r="IK184" s="938"/>
      <c r="IM184" s="938"/>
      <c r="IO184" s="938"/>
      <c r="IQ184" s="938"/>
      <c r="IS184" s="938"/>
      <c r="IT184" s="932"/>
      <c r="IU184" s="938"/>
      <c r="IW184" s="939"/>
      <c r="IX184" s="938"/>
      <c r="IY184" s="938"/>
      <c r="IZ184" s="938"/>
      <c r="JB184" s="940"/>
      <c r="JC184" s="940"/>
      <c r="JD184" s="940"/>
      <c r="JE184" s="940"/>
      <c r="JF184" s="940"/>
      <c r="JG184" s="940"/>
      <c r="JH184" s="940"/>
      <c r="JI184" s="940"/>
      <c r="JJ184" s="940"/>
      <c r="JK184" s="940"/>
      <c r="JL184" s="940"/>
      <c r="JM184" s="940"/>
      <c r="JN184" s="940"/>
      <c r="JO184" s="940"/>
      <c r="JP184" s="940"/>
      <c r="JQ184" s="940"/>
      <c r="JR184" s="940"/>
      <c r="JS184" s="940"/>
      <c r="JT184" s="940"/>
      <c r="JU184" s="940"/>
      <c r="JV184" s="940"/>
      <c r="JW184" s="940"/>
      <c r="JX184" s="940"/>
      <c r="JY184" s="940"/>
      <c r="JZ184" s="940"/>
      <c r="KA184" s="940"/>
      <c r="KB184" s="940"/>
      <c r="KC184" s="940"/>
      <c r="KD184" s="940"/>
      <c r="KE184" s="940"/>
      <c r="KF184" s="940"/>
      <c r="KG184" s="940"/>
      <c r="KH184" s="940"/>
      <c r="KI184" s="940"/>
      <c r="KJ184" s="940"/>
      <c r="KK184" s="940"/>
      <c r="KL184" s="940"/>
      <c r="KM184" s="940"/>
      <c r="KN184" s="940"/>
      <c r="KO184" s="940"/>
      <c r="KP184" s="940"/>
      <c r="KQ184" s="940"/>
      <c r="KR184" s="940"/>
      <c r="KS184" s="940"/>
      <c r="KT184" s="940"/>
      <c r="KU184" s="940"/>
      <c r="KV184" s="940"/>
      <c r="KW184" s="940"/>
      <c r="KX184" s="940"/>
      <c r="KY184" s="940"/>
      <c r="KZ184" s="940"/>
      <c r="LA184" s="940"/>
      <c r="LB184" s="940"/>
      <c r="LC184" s="940"/>
      <c r="LD184" s="940"/>
      <c r="LE184" s="940"/>
      <c r="LF184" s="940"/>
      <c r="LG184" s="940"/>
      <c r="LH184" s="940"/>
    </row>
    <row r="185" spans="1:320" s="462" customFormat="1" ht="15" hidden="1" customHeight="1" outlineLevel="1" x14ac:dyDescent="0.25">
      <c r="A185" s="1205">
        <v>43426</v>
      </c>
      <c r="B185" s="1205"/>
      <c r="C185" s="463"/>
      <c r="D185" s="461"/>
      <c r="H185" s="932"/>
      <c r="I185" s="37"/>
      <c r="J185" s="932"/>
      <c r="K185" s="37"/>
      <c r="L185" s="932"/>
      <c r="M185" s="37"/>
      <c r="N185" s="932"/>
      <c r="O185" s="37"/>
      <c r="P185" s="932"/>
      <c r="Q185" s="37"/>
      <c r="R185" s="932"/>
      <c r="S185" s="37"/>
      <c r="T185" s="37"/>
      <c r="U185" s="37"/>
      <c r="V185" s="932"/>
      <c r="W185" s="37"/>
      <c r="X185" s="932"/>
      <c r="Y185" s="37"/>
      <c r="Z185" s="932"/>
      <c r="AA185" s="37"/>
      <c r="AB185" s="932"/>
      <c r="AC185" s="37"/>
      <c r="AD185" s="932"/>
      <c r="AE185" s="37"/>
      <c r="AF185" s="932"/>
      <c r="AG185" s="37"/>
      <c r="AH185" s="37"/>
      <c r="AI185" s="37"/>
      <c r="AJ185" s="932"/>
      <c r="AK185" s="37"/>
      <c r="AL185" s="932"/>
      <c r="AM185" s="37"/>
      <c r="AN185" s="932"/>
      <c r="AO185" s="37"/>
      <c r="AP185" s="932"/>
      <c r="AQ185" s="37"/>
      <c r="AR185" s="37"/>
      <c r="AS185" s="37"/>
      <c r="AT185" s="37"/>
      <c r="AU185" s="37"/>
      <c r="AV185" s="37"/>
      <c r="AW185" s="37"/>
      <c r="AX185" s="932"/>
      <c r="AY185" s="37"/>
      <c r="AZ185" s="932"/>
      <c r="BA185" s="37"/>
      <c r="BB185" s="932"/>
      <c r="BC185" s="37"/>
      <c r="BD185" s="932"/>
      <c r="BE185" s="37"/>
      <c r="BF185" s="932"/>
      <c r="BG185" s="37"/>
      <c r="BH185" s="37"/>
      <c r="BI185" s="37"/>
      <c r="BJ185" s="37"/>
      <c r="BK185" s="37"/>
      <c r="BL185" s="932"/>
      <c r="BM185" s="37"/>
      <c r="BN185" s="932"/>
      <c r="BO185" s="37"/>
      <c r="BP185" s="932"/>
      <c r="BQ185" s="37"/>
      <c r="BR185" s="932"/>
      <c r="BS185" s="37"/>
      <c r="BT185" s="932"/>
      <c r="BU185" s="932"/>
      <c r="BV185" s="932"/>
      <c r="BW185" s="932"/>
      <c r="BX185" s="37"/>
      <c r="BY185" s="37"/>
      <c r="BZ185" s="932"/>
      <c r="CA185" s="37"/>
      <c r="CB185" s="932"/>
      <c r="CC185" s="37"/>
      <c r="CD185" s="932"/>
      <c r="CE185" s="37"/>
      <c r="CF185" s="932"/>
      <c r="CG185" s="37"/>
      <c r="CH185" s="932"/>
      <c r="CI185" s="932"/>
      <c r="CJ185" s="932"/>
      <c r="CK185" s="932"/>
      <c r="CL185" s="37"/>
      <c r="CM185" s="37"/>
      <c r="CN185" s="932"/>
      <c r="CO185" s="37"/>
      <c r="CP185" s="932"/>
      <c r="CQ185" s="37"/>
      <c r="CR185" s="932"/>
      <c r="CS185" s="37"/>
      <c r="CT185" s="932"/>
      <c r="CU185" s="37"/>
      <c r="CV185" s="932"/>
      <c r="CW185" s="932"/>
      <c r="CX185" s="932"/>
      <c r="CY185" s="932"/>
      <c r="CZ185" s="37"/>
      <c r="DA185" s="37"/>
      <c r="DB185" s="932"/>
      <c r="DC185" s="37"/>
      <c r="DD185" s="932"/>
      <c r="DE185" s="37"/>
      <c r="DF185" s="932"/>
      <c r="DG185" s="37"/>
      <c r="DH185" s="932"/>
      <c r="DI185" s="37"/>
      <c r="DJ185" s="932"/>
      <c r="DK185" s="932"/>
      <c r="DL185" s="932"/>
      <c r="DM185" s="932"/>
      <c r="DN185" s="37"/>
      <c r="DO185" s="37"/>
      <c r="DP185" s="932"/>
      <c r="DQ185" s="37"/>
      <c r="DR185" s="932"/>
      <c r="DS185" s="37"/>
      <c r="DT185" s="932"/>
      <c r="DU185" s="37"/>
      <c r="DV185" s="932"/>
      <c r="DW185" s="37"/>
      <c r="DX185" s="932"/>
      <c r="DY185" s="932"/>
      <c r="DZ185" s="932"/>
      <c r="EA185" s="932"/>
      <c r="EB185" s="37"/>
      <c r="EC185" s="37"/>
      <c r="EE185" s="941"/>
      <c r="EG185" s="938"/>
      <c r="EI185" s="938"/>
      <c r="EK185" s="938"/>
      <c r="EM185" s="938"/>
      <c r="EO185" s="938"/>
      <c r="EQ185" s="938"/>
      <c r="ES185" s="938"/>
      <c r="EU185" s="938"/>
      <c r="EW185" s="938"/>
      <c r="EY185" s="938"/>
      <c r="FA185" s="938"/>
      <c r="FC185" s="938"/>
      <c r="FE185" s="938"/>
      <c r="FG185" s="938"/>
      <c r="FI185" s="938"/>
      <c r="FK185" s="938"/>
      <c r="FM185" s="938"/>
      <c r="FO185" s="938"/>
      <c r="FQ185" s="938"/>
      <c r="FS185" s="938"/>
      <c r="FU185" s="938"/>
      <c r="FW185" s="938"/>
      <c r="FY185" s="938"/>
      <c r="GA185" s="938"/>
      <c r="GC185" s="938"/>
      <c r="GE185" s="938"/>
      <c r="GG185" s="938"/>
      <c r="GI185" s="938"/>
      <c r="GK185" s="938"/>
      <c r="GM185" s="938"/>
      <c r="GO185" s="938"/>
      <c r="GQ185" s="938"/>
      <c r="GS185" s="938"/>
      <c r="GU185" s="938"/>
      <c r="GW185" s="938"/>
      <c r="GY185" s="938"/>
      <c r="HA185" s="938"/>
      <c r="HC185" s="938"/>
      <c r="HE185" s="938"/>
      <c r="HG185" s="938"/>
      <c r="HI185" s="938"/>
      <c r="HK185" s="938"/>
      <c r="HM185" s="938"/>
      <c r="HO185" s="938"/>
      <c r="HQ185" s="938"/>
      <c r="HS185" s="938"/>
      <c r="HU185" s="938"/>
      <c r="HW185" s="938"/>
      <c r="HY185" s="938"/>
      <c r="IA185" s="938"/>
      <c r="IC185" s="938"/>
      <c r="IE185" s="938"/>
      <c r="IG185" s="938"/>
      <c r="II185" s="938"/>
      <c r="IK185" s="938"/>
      <c r="IM185" s="938"/>
      <c r="IO185" s="938"/>
      <c r="IQ185" s="938"/>
      <c r="IS185" s="938"/>
      <c r="IT185" s="932"/>
      <c r="IU185" s="938"/>
      <c r="IW185" s="939"/>
      <c r="IX185" s="938"/>
      <c r="IY185" s="938"/>
      <c r="IZ185" s="938"/>
      <c r="JB185" s="940"/>
      <c r="JC185" s="940"/>
      <c r="JD185" s="940"/>
      <c r="JE185" s="940"/>
      <c r="JF185" s="940"/>
      <c r="JG185" s="940"/>
      <c r="JH185" s="940"/>
      <c r="JI185" s="940"/>
      <c r="JJ185" s="940"/>
      <c r="JK185" s="940"/>
      <c r="JL185" s="940"/>
      <c r="JM185" s="940"/>
      <c r="JN185" s="940"/>
      <c r="JO185" s="940"/>
      <c r="JP185" s="940"/>
      <c r="JQ185" s="940"/>
      <c r="JR185" s="940"/>
      <c r="JS185" s="940"/>
      <c r="JT185" s="940"/>
      <c r="JU185" s="940"/>
      <c r="JV185" s="940"/>
      <c r="JW185" s="940"/>
      <c r="JX185" s="940"/>
      <c r="JY185" s="940"/>
      <c r="JZ185" s="940"/>
      <c r="KA185" s="940"/>
      <c r="KB185" s="940"/>
      <c r="KC185" s="940"/>
      <c r="KD185" s="940"/>
      <c r="KE185" s="940"/>
      <c r="KF185" s="940"/>
      <c r="KG185" s="940"/>
      <c r="KH185" s="940"/>
      <c r="KI185" s="940"/>
      <c r="KJ185" s="940"/>
      <c r="KK185" s="940"/>
      <c r="KL185" s="940"/>
      <c r="KM185" s="940"/>
      <c r="KN185" s="940"/>
      <c r="KO185" s="940"/>
      <c r="KP185" s="940"/>
      <c r="KQ185" s="940"/>
      <c r="KR185" s="940"/>
      <c r="KS185" s="940"/>
      <c r="KT185" s="940"/>
      <c r="KU185" s="940"/>
      <c r="KV185" s="940"/>
      <c r="KW185" s="940"/>
      <c r="KX185" s="940"/>
      <c r="KY185" s="940"/>
      <c r="KZ185" s="940"/>
      <c r="LA185" s="940"/>
      <c r="LB185" s="940"/>
      <c r="LC185" s="940"/>
      <c r="LD185" s="940"/>
      <c r="LE185" s="940"/>
      <c r="LF185" s="940"/>
      <c r="LG185" s="940"/>
      <c r="LH185" s="940"/>
    </row>
    <row r="186" spans="1:320" s="462" customFormat="1" ht="15" hidden="1" customHeight="1" outlineLevel="1" x14ac:dyDescent="0.25">
      <c r="A186" s="1205">
        <v>43427</v>
      </c>
      <c r="B186" s="1205"/>
      <c r="C186" s="463"/>
      <c r="D186" s="461"/>
      <c r="H186" s="932"/>
      <c r="I186" s="37"/>
      <c r="J186" s="932"/>
      <c r="K186" s="37"/>
      <c r="L186" s="932"/>
      <c r="M186" s="37"/>
      <c r="N186" s="932"/>
      <c r="O186" s="37"/>
      <c r="P186" s="932"/>
      <c r="Q186" s="37"/>
      <c r="R186" s="932"/>
      <c r="S186" s="37"/>
      <c r="T186" s="37"/>
      <c r="U186" s="37"/>
      <c r="V186" s="932"/>
      <c r="W186" s="37"/>
      <c r="X186" s="932"/>
      <c r="Y186" s="37"/>
      <c r="Z186" s="932"/>
      <c r="AA186" s="37"/>
      <c r="AB186" s="932"/>
      <c r="AC186" s="37"/>
      <c r="AD186" s="932"/>
      <c r="AE186" s="37"/>
      <c r="AF186" s="932"/>
      <c r="AG186" s="37"/>
      <c r="AH186" s="37"/>
      <c r="AI186" s="37"/>
      <c r="AJ186" s="932"/>
      <c r="AK186" s="37"/>
      <c r="AL186" s="932"/>
      <c r="AM186" s="37"/>
      <c r="AN186" s="932"/>
      <c r="AO186" s="37"/>
      <c r="AP186" s="932"/>
      <c r="AQ186" s="37"/>
      <c r="AR186" s="37"/>
      <c r="AS186" s="37"/>
      <c r="AT186" s="37"/>
      <c r="AU186" s="37"/>
      <c r="AV186" s="37"/>
      <c r="AW186" s="37"/>
      <c r="AX186" s="932"/>
      <c r="AY186" s="37"/>
      <c r="AZ186" s="932"/>
      <c r="BA186" s="37"/>
      <c r="BB186" s="932"/>
      <c r="BC186" s="37"/>
      <c r="BD186" s="932"/>
      <c r="BE186" s="37"/>
      <c r="BF186" s="932"/>
      <c r="BG186" s="37"/>
      <c r="BH186" s="37"/>
      <c r="BI186" s="37"/>
      <c r="BJ186" s="37"/>
      <c r="BK186" s="37"/>
      <c r="BL186" s="932"/>
      <c r="BM186" s="37"/>
      <c r="BN186" s="932"/>
      <c r="BO186" s="37"/>
      <c r="BP186" s="932"/>
      <c r="BQ186" s="37"/>
      <c r="BR186" s="932"/>
      <c r="BS186" s="37"/>
      <c r="BT186" s="932"/>
      <c r="BU186" s="932"/>
      <c r="BV186" s="932"/>
      <c r="BW186" s="932"/>
      <c r="BX186" s="37"/>
      <c r="BY186" s="37"/>
      <c r="BZ186" s="932"/>
      <c r="CA186" s="37"/>
      <c r="CB186" s="932"/>
      <c r="CC186" s="37"/>
      <c r="CD186" s="932"/>
      <c r="CE186" s="37"/>
      <c r="CF186" s="932"/>
      <c r="CG186" s="37"/>
      <c r="CH186" s="932"/>
      <c r="CI186" s="932"/>
      <c r="CJ186" s="932"/>
      <c r="CK186" s="932"/>
      <c r="CL186" s="37"/>
      <c r="CM186" s="37"/>
      <c r="CN186" s="932"/>
      <c r="CO186" s="37"/>
      <c r="CP186" s="932"/>
      <c r="CQ186" s="37"/>
      <c r="CR186" s="932"/>
      <c r="CS186" s="37"/>
      <c r="CT186" s="932"/>
      <c r="CU186" s="37"/>
      <c r="CV186" s="932"/>
      <c r="CW186" s="932"/>
      <c r="CX186" s="932"/>
      <c r="CY186" s="932"/>
      <c r="CZ186" s="37"/>
      <c r="DA186" s="37"/>
      <c r="DB186" s="932"/>
      <c r="DC186" s="37"/>
      <c r="DD186" s="932"/>
      <c r="DE186" s="37"/>
      <c r="DF186" s="932"/>
      <c r="DG186" s="37"/>
      <c r="DH186" s="932"/>
      <c r="DI186" s="37"/>
      <c r="DJ186" s="932"/>
      <c r="DK186" s="932"/>
      <c r="DL186" s="932"/>
      <c r="DM186" s="932"/>
      <c r="DN186" s="37"/>
      <c r="DO186" s="37"/>
      <c r="DP186" s="932"/>
      <c r="DQ186" s="37"/>
      <c r="DR186" s="932"/>
      <c r="DS186" s="37"/>
      <c r="DT186" s="932"/>
      <c r="DU186" s="37"/>
      <c r="DV186" s="932"/>
      <c r="DW186" s="37"/>
      <c r="DX186" s="932"/>
      <c r="DY186" s="932"/>
      <c r="DZ186" s="932"/>
      <c r="EA186" s="932"/>
      <c r="EB186" s="37"/>
      <c r="EC186" s="37"/>
      <c r="EE186" s="941"/>
      <c r="EG186" s="938"/>
      <c r="EI186" s="938"/>
      <c r="EK186" s="938"/>
      <c r="EM186" s="938"/>
      <c r="EO186" s="938"/>
      <c r="EQ186" s="938"/>
      <c r="ES186" s="938"/>
      <c r="EU186" s="938"/>
      <c r="EW186" s="938"/>
      <c r="EY186" s="938"/>
      <c r="FA186" s="938"/>
      <c r="FC186" s="938"/>
      <c r="FE186" s="938"/>
      <c r="FG186" s="938"/>
      <c r="FI186" s="938"/>
      <c r="FK186" s="938"/>
      <c r="FM186" s="938"/>
      <c r="FO186" s="938"/>
      <c r="FQ186" s="938"/>
      <c r="FS186" s="938"/>
      <c r="FU186" s="938"/>
      <c r="FW186" s="938"/>
      <c r="FY186" s="938"/>
      <c r="GA186" s="938"/>
      <c r="GC186" s="938"/>
      <c r="GE186" s="938"/>
      <c r="GG186" s="938"/>
      <c r="GI186" s="938"/>
      <c r="GK186" s="938"/>
      <c r="GM186" s="938"/>
      <c r="GO186" s="938"/>
      <c r="GQ186" s="938"/>
      <c r="GS186" s="938"/>
      <c r="GU186" s="938"/>
      <c r="GW186" s="938"/>
      <c r="GY186" s="938"/>
      <c r="HA186" s="938"/>
      <c r="HC186" s="938"/>
      <c r="HE186" s="938"/>
      <c r="HG186" s="938"/>
      <c r="HI186" s="938"/>
      <c r="HK186" s="938"/>
      <c r="HM186" s="938"/>
      <c r="HO186" s="938"/>
      <c r="HQ186" s="938"/>
      <c r="HS186" s="938"/>
      <c r="HU186" s="938"/>
      <c r="HW186" s="938"/>
      <c r="HY186" s="938"/>
      <c r="IA186" s="938"/>
      <c r="IC186" s="938"/>
      <c r="IE186" s="938"/>
      <c r="IG186" s="938"/>
      <c r="II186" s="938"/>
      <c r="IK186" s="938"/>
      <c r="IM186" s="938"/>
      <c r="IO186" s="938"/>
      <c r="IQ186" s="938"/>
      <c r="IS186" s="938"/>
      <c r="IT186" s="932"/>
      <c r="IU186" s="938"/>
      <c r="IW186" s="939"/>
      <c r="IX186" s="938"/>
      <c r="IY186" s="938"/>
      <c r="IZ186" s="938"/>
      <c r="JB186" s="940"/>
      <c r="JC186" s="940"/>
      <c r="JD186" s="940"/>
      <c r="JE186" s="940"/>
      <c r="JF186" s="940"/>
      <c r="JG186" s="940"/>
      <c r="JH186" s="940"/>
      <c r="JI186" s="940"/>
      <c r="JJ186" s="940"/>
      <c r="JK186" s="940"/>
      <c r="JL186" s="940"/>
      <c r="JM186" s="940"/>
      <c r="JN186" s="940"/>
      <c r="JO186" s="940"/>
      <c r="JP186" s="940"/>
      <c r="JQ186" s="940"/>
      <c r="JR186" s="940"/>
      <c r="JS186" s="940"/>
      <c r="JT186" s="940"/>
      <c r="JU186" s="940"/>
      <c r="JV186" s="940"/>
      <c r="JW186" s="940"/>
      <c r="JX186" s="940"/>
      <c r="JY186" s="940"/>
      <c r="JZ186" s="940"/>
      <c r="KA186" s="940"/>
      <c r="KB186" s="940"/>
      <c r="KC186" s="940"/>
      <c r="KD186" s="940"/>
      <c r="KE186" s="940"/>
      <c r="KF186" s="940"/>
      <c r="KG186" s="940"/>
      <c r="KH186" s="940"/>
      <c r="KI186" s="940"/>
      <c r="KJ186" s="940"/>
      <c r="KK186" s="940"/>
      <c r="KL186" s="940"/>
      <c r="KM186" s="940"/>
      <c r="KN186" s="940"/>
      <c r="KO186" s="940"/>
      <c r="KP186" s="940"/>
      <c r="KQ186" s="940"/>
      <c r="KR186" s="940"/>
      <c r="KS186" s="940"/>
      <c r="KT186" s="940"/>
      <c r="KU186" s="940"/>
      <c r="KV186" s="940"/>
      <c r="KW186" s="940"/>
      <c r="KX186" s="940"/>
      <c r="KY186" s="940"/>
      <c r="KZ186" s="940"/>
      <c r="LA186" s="940"/>
      <c r="LB186" s="940"/>
      <c r="LC186" s="940"/>
      <c r="LD186" s="940"/>
      <c r="LE186" s="940"/>
      <c r="LF186" s="940"/>
      <c r="LG186" s="940"/>
      <c r="LH186" s="940"/>
    </row>
    <row r="187" spans="1:320" s="462" customFormat="1" ht="15" hidden="1" customHeight="1" outlineLevel="1" x14ac:dyDescent="0.25">
      <c r="A187" s="1205">
        <v>43458</v>
      </c>
      <c r="B187" s="1205"/>
      <c r="C187" s="463"/>
      <c r="D187" s="461"/>
      <c r="H187" s="932"/>
      <c r="I187" s="37"/>
      <c r="J187" s="932"/>
      <c r="K187" s="37"/>
      <c r="L187" s="932"/>
      <c r="M187" s="37"/>
      <c r="N187" s="932"/>
      <c r="O187" s="37"/>
      <c r="P187" s="932"/>
      <c r="Q187" s="37"/>
      <c r="R187" s="932"/>
      <c r="S187" s="37"/>
      <c r="T187" s="37"/>
      <c r="U187" s="37"/>
      <c r="V187" s="932"/>
      <c r="W187" s="37"/>
      <c r="X187" s="932"/>
      <c r="Y187" s="37"/>
      <c r="Z187" s="932"/>
      <c r="AA187" s="37"/>
      <c r="AB187" s="932"/>
      <c r="AC187" s="37"/>
      <c r="AD187" s="932"/>
      <c r="AE187" s="37"/>
      <c r="AF187" s="932"/>
      <c r="AG187" s="37"/>
      <c r="AH187" s="37"/>
      <c r="AI187" s="37"/>
      <c r="AJ187" s="932"/>
      <c r="AK187" s="37"/>
      <c r="AL187" s="932"/>
      <c r="AM187" s="37"/>
      <c r="AN187" s="932"/>
      <c r="AO187" s="37"/>
      <c r="AP187" s="932"/>
      <c r="AQ187" s="37"/>
      <c r="AR187" s="37"/>
      <c r="AS187" s="37"/>
      <c r="AT187" s="37"/>
      <c r="AU187" s="37"/>
      <c r="AV187" s="37"/>
      <c r="AW187" s="37"/>
      <c r="AX187" s="932"/>
      <c r="AY187" s="37"/>
      <c r="AZ187" s="932"/>
      <c r="BA187" s="37"/>
      <c r="BB187" s="932"/>
      <c r="BC187" s="37"/>
      <c r="BD187" s="932"/>
      <c r="BE187" s="37"/>
      <c r="BF187" s="932"/>
      <c r="BG187" s="37"/>
      <c r="BH187" s="37"/>
      <c r="BI187" s="37"/>
      <c r="BJ187" s="37"/>
      <c r="BK187" s="37"/>
      <c r="BL187" s="932"/>
      <c r="BM187" s="37"/>
      <c r="BN187" s="932"/>
      <c r="BO187" s="37"/>
      <c r="BP187" s="932"/>
      <c r="BQ187" s="37"/>
      <c r="BR187" s="932"/>
      <c r="BS187" s="37"/>
      <c r="BT187" s="932"/>
      <c r="BU187" s="932"/>
      <c r="BV187" s="932"/>
      <c r="BW187" s="932"/>
      <c r="BX187" s="37"/>
      <c r="BY187" s="37"/>
      <c r="BZ187" s="932"/>
      <c r="CA187" s="37"/>
      <c r="CB187" s="932"/>
      <c r="CC187" s="37"/>
      <c r="CD187" s="932"/>
      <c r="CE187" s="37"/>
      <c r="CF187" s="932"/>
      <c r="CG187" s="37"/>
      <c r="CH187" s="932"/>
      <c r="CI187" s="932"/>
      <c r="CJ187" s="932"/>
      <c r="CK187" s="932"/>
      <c r="CL187" s="37"/>
      <c r="CM187" s="37"/>
      <c r="CN187" s="932"/>
      <c r="CO187" s="37"/>
      <c r="CP187" s="932"/>
      <c r="CQ187" s="37"/>
      <c r="CR187" s="932"/>
      <c r="CS187" s="37"/>
      <c r="CT187" s="932"/>
      <c r="CU187" s="37"/>
      <c r="CV187" s="932"/>
      <c r="CW187" s="932"/>
      <c r="CX187" s="932"/>
      <c r="CY187" s="932"/>
      <c r="CZ187" s="37"/>
      <c r="DA187" s="37"/>
      <c r="DB187" s="932"/>
      <c r="DC187" s="37"/>
      <c r="DD187" s="932"/>
      <c r="DE187" s="37"/>
      <c r="DF187" s="932"/>
      <c r="DG187" s="37"/>
      <c r="DH187" s="932"/>
      <c r="DI187" s="37"/>
      <c r="DJ187" s="932"/>
      <c r="DK187" s="932"/>
      <c r="DL187" s="932"/>
      <c r="DM187" s="932"/>
      <c r="DN187" s="37"/>
      <c r="DO187" s="37"/>
      <c r="DP187" s="932"/>
      <c r="DQ187" s="37"/>
      <c r="DR187" s="932"/>
      <c r="DS187" s="37"/>
      <c r="DT187" s="932"/>
      <c r="DU187" s="37"/>
      <c r="DV187" s="932"/>
      <c r="DW187" s="37"/>
      <c r="DX187" s="932"/>
      <c r="DY187" s="932"/>
      <c r="DZ187" s="932"/>
      <c r="EA187" s="932"/>
      <c r="EB187" s="37"/>
      <c r="EC187" s="37"/>
      <c r="EE187" s="941"/>
      <c r="EG187" s="938"/>
      <c r="EI187" s="938"/>
      <c r="EK187" s="938"/>
      <c r="EM187" s="938"/>
      <c r="EO187" s="938"/>
      <c r="EQ187" s="938"/>
      <c r="ES187" s="938"/>
      <c r="EU187" s="938"/>
      <c r="EW187" s="938"/>
      <c r="EY187" s="938"/>
      <c r="FA187" s="938"/>
      <c r="FC187" s="938"/>
      <c r="FE187" s="938"/>
      <c r="FG187" s="938"/>
      <c r="FI187" s="938"/>
      <c r="FK187" s="938"/>
      <c r="FM187" s="938"/>
      <c r="FO187" s="938"/>
      <c r="FQ187" s="938"/>
      <c r="FS187" s="938"/>
      <c r="FU187" s="938"/>
      <c r="FW187" s="938"/>
      <c r="FY187" s="938"/>
      <c r="GA187" s="938"/>
      <c r="GC187" s="938"/>
      <c r="GE187" s="938"/>
      <c r="GG187" s="938"/>
      <c r="GI187" s="938"/>
      <c r="GK187" s="938"/>
      <c r="GM187" s="938"/>
      <c r="GO187" s="938"/>
      <c r="GQ187" s="938"/>
      <c r="GS187" s="938"/>
      <c r="GU187" s="938"/>
      <c r="GW187" s="938"/>
      <c r="GY187" s="938"/>
      <c r="HA187" s="938"/>
      <c r="HC187" s="938"/>
      <c r="HE187" s="938"/>
      <c r="HG187" s="938"/>
      <c r="HI187" s="938"/>
      <c r="HK187" s="938"/>
      <c r="HM187" s="938"/>
      <c r="HO187" s="938"/>
      <c r="HQ187" s="938"/>
      <c r="HS187" s="938"/>
      <c r="HU187" s="938"/>
      <c r="HW187" s="938"/>
      <c r="HY187" s="938"/>
      <c r="IA187" s="938"/>
      <c r="IC187" s="938"/>
      <c r="IE187" s="938"/>
      <c r="IG187" s="938"/>
      <c r="II187" s="938"/>
      <c r="IK187" s="938"/>
      <c r="IM187" s="938"/>
      <c r="IO187" s="938"/>
      <c r="IQ187" s="938"/>
      <c r="IS187" s="938"/>
      <c r="IT187" s="932"/>
      <c r="IU187" s="938"/>
      <c r="IW187" s="939"/>
      <c r="IX187" s="938"/>
      <c r="IY187" s="938"/>
      <c r="IZ187" s="938"/>
      <c r="JB187" s="940"/>
      <c r="JC187" s="940"/>
      <c r="JD187" s="940"/>
      <c r="JE187" s="940"/>
      <c r="JF187" s="940"/>
      <c r="JG187" s="940"/>
      <c r="JH187" s="940"/>
      <c r="JI187" s="940"/>
      <c r="JJ187" s="940"/>
      <c r="JK187" s="940"/>
      <c r="JL187" s="940"/>
      <c r="JM187" s="940"/>
      <c r="JN187" s="940"/>
      <c r="JO187" s="940"/>
      <c r="JP187" s="940"/>
      <c r="JQ187" s="940"/>
      <c r="JR187" s="940"/>
      <c r="JS187" s="940"/>
      <c r="JT187" s="940"/>
      <c r="JU187" s="940"/>
      <c r="JV187" s="940"/>
      <c r="JW187" s="940"/>
      <c r="JX187" s="940"/>
      <c r="JY187" s="940"/>
      <c r="JZ187" s="940"/>
      <c r="KA187" s="940"/>
      <c r="KB187" s="940"/>
      <c r="KC187" s="940"/>
      <c r="KD187" s="940"/>
      <c r="KE187" s="940"/>
      <c r="KF187" s="940"/>
      <c r="KG187" s="940"/>
      <c r="KH187" s="940"/>
      <c r="KI187" s="940"/>
      <c r="KJ187" s="940"/>
      <c r="KK187" s="940"/>
      <c r="KL187" s="940"/>
      <c r="KM187" s="940"/>
      <c r="KN187" s="940"/>
      <c r="KO187" s="940"/>
      <c r="KP187" s="940"/>
      <c r="KQ187" s="940"/>
      <c r="KR187" s="940"/>
      <c r="KS187" s="940"/>
      <c r="KT187" s="940"/>
      <c r="KU187" s="940"/>
      <c r="KV187" s="940"/>
      <c r="KW187" s="940"/>
      <c r="KX187" s="940"/>
      <c r="KY187" s="940"/>
      <c r="KZ187" s="940"/>
      <c r="LA187" s="940"/>
      <c r="LB187" s="940"/>
      <c r="LC187" s="940"/>
      <c r="LD187" s="940"/>
      <c r="LE187" s="940"/>
      <c r="LF187" s="940"/>
      <c r="LG187" s="940"/>
      <c r="LH187" s="940"/>
    </row>
    <row r="188" spans="1:320" s="462" customFormat="1" ht="15" hidden="1" customHeight="1" outlineLevel="1" x14ac:dyDescent="0.25">
      <c r="A188" s="1205">
        <v>17892</v>
      </c>
      <c r="B188" s="1205"/>
      <c r="C188" s="463"/>
      <c r="D188" s="461"/>
      <c r="H188" s="932"/>
      <c r="I188" s="37"/>
      <c r="J188" s="932"/>
      <c r="K188" s="37"/>
      <c r="L188" s="932"/>
      <c r="M188" s="37"/>
      <c r="N188" s="932"/>
      <c r="O188" s="37"/>
      <c r="P188" s="932"/>
      <c r="Q188" s="37"/>
      <c r="R188" s="932"/>
      <c r="S188" s="37"/>
      <c r="T188" s="37"/>
      <c r="U188" s="37"/>
      <c r="V188" s="932"/>
      <c r="W188" s="37"/>
      <c r="X188" s="932"/>
      <c r="Y188" s="37"/>
      <c r="Z188" s="932"/>
      <c r="AA188" s="37"/>
      <c r="AB188" s="932"/>
      <c r="AC188" s="37"/>
      <c r="AD188" s="932"/>
      <c r="AE188" s="37"/>
      <c r="AF188" s="932"/>
      <c r="AG188" s="37"/>
      <c r="AH188" s="37"/>
      <c r="AI188" s="37"/>
      <c r="AJ188" s="932"/>
      <c r="AK188" s="37"/>
      <c r="AL188" s="932"/>
      <c r="AM188" s="37"/>
      <c r="AN188" s="932"/>
      <c r="AO188" s="37"/>
      <c r="AP188" s="932"/>
      <c r="AQ188" s="37"/>
      <c r="AR188" s="37"/>
      <c r="AS188" s="37"/>
      <c r="AT188" s="37"/>
      <c r="AU188" s="37"/>
      <c r="AV188" s="37"/>
      <c r="AW188" s="37"/>
      <c r="AX188" s="932"/>
      <c r="AY188" s="37"/>
      <c r="AZ188" s="932"/>
      <c r="BA188" s="37"/>
      <c r="BB188" s="932"/>
      <c r="BC188" s="37"/>
      <c r="BD188" s="932"/>
      <c r="BE188" s="37"/>
      <c r="BF188" s="932"/>
      <c r="BG188" s="37"/>
      <c r="BH188" s="37"/>
      <c r="BI188" s="37"/>
      <c r="BJ188" s="37"/>
      <c r="BK188" s="37"/>
      <c r="BL188" s="932"/>
      <c r="BM188" s="37"/>
      <c r="BN188" s="932"/>
      <c r="BO188" s="37"/>
      <c r="BP188" s="932"/>
      <c r="BQ188" s="37"/>
      <c r="BR188" s="932"/>
      <c r="BS188" s="37"/>
      <c r="BT188" s="932"/>
      <c r="BU188" s="932"/>
      <c r="BV188" s="932"/>
      <c r="BW188" s="932"/>
      <c r="BX188" s="37"/>
      <c r="BY188" s="37"/>
      <c r="BZ188" s="932"/>
      <c r="CA188" s="37"/>
      <c r="CB188" s="932"/>
      <c r="CC188" s="37"/>
      <c r="CD188" s="932"/>
      <c r="CE188" s="37"/>
      <c r="CF188" s="932"/>
      <c r="CG188" s="37"/>
      <c r="CH188" s="932"/>
      <c r="CI188" s="932"/>
      <c r="CJ188" s="932"/>
      <c r="CK188" s="932"/>
      <c r="CL188" s="37"/>
      <c r="CM188" s="37"/>
      <c r="CN188" s="932"/>
      <c r="CO188" s="37"/>
      <c r="CP188" s="932"/>
      <c r="CQ188" s="37"/>
      <c r="CR188" s="932"/>
      <c r="CS188" s="37"/>
      <c r="CT188" s="932"/>
      <c r="CU188" s="37"/>
      <c r="CV188" s="932"/>
      <c r="CW188" s="932"/>
      <c r="CX188" s="932"/>
      <c r="CY188" s="932"/>
      <c r="CZ188" s="37"/>
      <c r="DA188" s="37"/>
      <c r="DB188" s="932"/>
      <c r="DC188" s="37"/>
      <c r="DD188" s="932"/>
      <c r="DE188" s="37"/>
      <c r="DF188" s="932"/>
      <c r="DG188" s="37"/>
      <c r="DH188" s="932"/>
      <c r="DI188" s="37"/>
      <c r="DJ188" s="932"/>
      <c r="DK188" s="932"/>
      <c r="DL188" s="932"/>
      <c r="DM188" s="932"/>
      <c r="DN188" s="37"/>
      <c r="DO188" s="37"/>
      <c r="DP188" s="932"/>
      <c r="DQ188" s="37"/>
      <c r="DR188" s="932"/>
      <c r="DS188" s="37"/>
      <c r="DT188" s="932"/>
      <c r="DU188" s="37"/>
      <c r="DV188" s="932"/>
      <c r="DW188" s="37"/>
      <c r="DX188" s="932"/>
      <c r="DY188" s="932"/>
      <c r="DZ188" s="932"/>
      <c r="EA188" s="932"/>
      <c r="EB188" s="37"/>
      <c r="EC188" s="37"/>
      <c r="EE188" s="941"/>
      <c r="EG188" s="938"/>
      <c r="EI188" s="938"/>
      <c r="EK188" s="938"/>
      <c r="EM188" s="938"/>
      <c r="EO188" s="938"/>
      <c r="EQ188" s="938"/>
      <c r="ES188" s="938"/>
      <c r="EU188" s="938"/>
      <c r="EW188" s="938"/>
      <c r="EY188" s="938"/>
      <c r="FA188" s="938"/>
      <c r="FC188" s="938"/>
      <c r="FE188" s="938"/>
      <c r="FG188" s="938"/>
      <c r="FI188" s="938"/>
      <c r="FK188" s="938"/>
      <c r="FM188" s="938"/>
      <c r="FO188" s="938"/>
      <c r="FQ188" s="938"/>
      <c r="FS188" s="938"/>
      <c r="FU188" s="938"/>
      <c r="FW188" s="938"/>
      <c r="FY188" s="938"/>
      <c r="GA188" s="938"/>
      <c r="GC188" s="938"/>
      <c r="GE188" s="938"/>
      <c r="GG188" s="938"/>
      <c r="GI188" s="938"/>
      <c r="GK188" s="938"/>
      <c r="GM188" s="938"/>
      <c r="GO188" s="938"/>
      <c r="GQ188" s="938"/>
      <c r="GS188" s="938"/>
      <c r="GU188" s="938"/>
      <c r="GW188" s="938"/>
      <c r="GY188" s="938"/>
      <c r="HA188" s="938"/>
      <c r="HC188" s="938"/>
      <c r="HE188" s="938"/>
      <c r="HG188" s="938"/>
      <c r="HI188" s="938"/>
      <c r="HK188" s="938"/>
      <c r="HM188" s="938"/>
      <c r="HO188" s="938"/>
      <c r="HQ188" s="938"/>
      <c r="HS188" s="938"/>
      <c r="HU188" s="938"/>
      <c r="HW188" s="938"/>
      <c r="HY188" s="938"/>
      <c r="IA188" s="938"/>
      <c r="IC188" s="938"/>
      <c r="IE188" s="938"/>
      <c r="IG188" s="938"/>
      <c r="II188" s="938"/>
      <c r="IK188" s="938"/>
      <c r="IM188" s="938"/>
      <c r="IO188" s="938"/>
      <c r="IQ188" s="938"/>
      <c r="IS188" s="938"/>
      <c r="IT188" s="932"/>
      <c r="IU188" s="938"/>
      <c r="IW188" s="939"/>
      <c r="IX188" s="938"/>
      <c r="IY188" s="938"/>
      <c r="IZ188" s="938"/>
      <c r="JB188" s="940"/>
      <c r="JC188" s="940"/>
      <c r="JD188" s="940"/>
      <c r="JE188" s="940"/>
      <c r="JF188" s="940"/>
      <c r="JG188" s="940"/>
      <c r="JH188" s="940"/>
      <c r="JI188" s="940"/>
      <c r="JJ188" s="940"/>
      <c r="JK188" s="940"/>
      <c r="JL188" s="940"/>
      <c r="JM188" s="940"/>
      <c r="JN188" s="940"/>
      <c r="JO188" s="940"/>
      <c r="JP188" s="940"/>
      <c r="JQ188" s="940"/>
      <c r="JR188" s="940"/>
      <c r="JS188" s="940"/>
      <c r="JT188" s="940"/>
      <c r="JU188" s="940"/>
      <c r="JV188" s="940"/>
      <c r="JW188" s="940"/>
      <c r="JX188" s="940"/>
      <c r="JY188" s="940"/>
      <c r="JZ188" s="940"/>
      <c r="KA188" s="940"/>
      <c r="KB188" s="940"/>
      <c r="KC188" s="940"/>
      <c r="KD188" s="940"/>
      <c r="KE188" s="940"/>
      <c r="KF188" s="940"/>
      <c r="KG188" s="940"/>
      <c r="KH188" s="940"/>
      <c r="KI188" s="940"/>
      <c r="KJ188" s="940"/>
      <c r="KK188" s="940"/>
      <c r="KL188" s="940"/>
      <c r="KM188" s="940"/>
      <c r="KN188" s="940"/>
      <c r="KO188" s="940"/>
      <c r="KP188" s="940"/>
      <c r="KQ188" s="940"/>
      <c r="KR188" s="940"/>
      <c r="KS188" s="940"/>
      <c r="KT188" s="940"/>
      <c r="KU188" s="940"/>
      <c r="KV188" s="940"/>
      <c r="KW188" s="940"/>
      <c r="KX188" s="940"/>
      <c r="KY188" s="940"/>
      <c r="KZ188" s="940"/>
      <c r="LA188" s="940"/>
      <c r="LB188" s="940"/>
      <c r="LC188" s="940"/>
      <c r="LD188" s="940"/>
      <c r="LE188" s="940"/>
      <c r="LF188" s="940"/>
      <c r="LG188" s="940"/>
      <c r="LH188" s="940"/>
    </row>
    <row r="189" spans="1:320" s="462" customFormat="1" ht="15" hidden="1" customHeight="1" outlineLevel="1" x14ac:dyDescent="0.25">
      <c r="A189" s="1205">
        <v>43460</v>
      </c>
      <c r="B189" s="1205"/>
      <c r="C189" s="463"/>
      <c r="D189" s="461"/>
      <c r="H189" s="932"/>
      <c r="I189" s="37"/>
      <c r="J189" s="932"/>
      <c r="K189" s="37"/>
      <c r="L189" s="932"/>
      <c r="M189" s="37"/>
      <c r="N189" s="932"/>
      <c r="O189" s="37"/>
      <c r="P189" s="932"/>
      <c r="Q189" s="37"/>
      <c r="R189" s="932"/>
      <c r="S189" s="37"/>
      <c r="T189" s="37"/>
      <c r="U189" s="37"/>
      <c r="V189" s="932"/>
      <c r="W189" s="37"/>
      <c r="X189" s="932"/>
      <c r="Y189" s="37"/>
      <c r="Z189" s="932"/>
      <c r="AA189" s="37"/>
      <c r="AB189" s="932"/>
      <c r="AC189" s="37"/>
      <c r="AD189" s="932"/>
      <c r="AE189" s="37"/>
      <c r="AF189" s="932"/>
      <c r="AG189" s="37"/>
      <c r="AH189" s="37"/>
      <c r="AI189" s="37"/>
      <c r="AJ189" s="932"/>
      <c r="AK189" s="37"/>
      <c r="AL189" s="932"/>
      <c r="AM189" s="37"/>
      <c r="AN189" s="932"/>
      <c r="AO189" s="37"/>
      <c r="AP189" s="932"/>
      <c r="AQ189" s="37"/>
      <c r="AR189" s="37"/>
      <c r="AS189" s="37"/>
      <c r="AT189" s="37"/>
      <c r="AU189" s="37"/>
      <c r="AV189" s="37"/>
      <c r="AW189" s="37"/>
      <c r="AX189" s="932"/>
      <c r="AY189" s="37"/>
      <c r="AZ189" s="932"/>
      <c r="BA189" s="37"/>
      <c r="BB189" s="932"/>
      <c r="BC189" s="37"/>
      <c r="BD189" s="932"/>
      <c r="BE189" s="37"/>
      <c r="BF189" s="932"/>
      <c r="BG189" s="37"/>
      <c r="BH189" s="37"/>
      <c r="BI189" s="37"/>
      <c r="BJ189" s="37"/>
      <c r="BK189" s="37"/>
      <c r="BL189" s="932"/>
      <c r="BM189" s="37"/>
      <c r="BN189" s="932"/>
      <c r="BO189" s="37"/>
      <c r="BP189" s="932"/>
      <c r="BQ189" s="37"/>
      <c r="BR189" s="932"/>
      <c r="BS189" s="37"/>
      <c r="BT189" s="932"/>
      <c r="BU189" s="932"/>
      <c r="BV189" s="932"/>
      <c r="BW189" s="932"/>
      <c r="BX189" s="37"/>
      <c r="BY189" s="37"/>
      <c r="BZ189" s="932"/>
      <c r="CA189" s="37"/>
      <c r="CB189" s="932"/>
      <c r="CC189" s="37"/>
      <c r="CD189" s="932"/>
      <c r="CE189" s="37"/>
      <c r="CF189" s="932"/>
      <c r="CG189" s="37"/>
      <c r="CH189" s="932"/>
      <c r="CI189" s="932"/>
      <c r="CJ189" s="932"/>
      <c r="CK189" s="932"/>
      <c r="CL189" s="37"/>
      <c r="CM189" s="37"/>
      <c r="CN189" s="932"/>
      <c r="CO189" s="37"/>
      <c r="CP189" s="932"/>
      <c r="CQ189" s="37"/>
      <c r="CR189" s="932"/>
      <c r="CS189" s="37"/>
      <c r="CT189" s="932"/>
      <c r="CU189" s="37"/>
      <c r="CV189" s="932"/>
      <c r="CW189" s="932"/>
      <c r="CX189" s="932"/>
      <c r="CY189" s="932"/>
      <c r="CZ189" s="37"/>
      <c r="DA189" s="37"/>
      <c r="DB189" s="932"/>
      <c r="DC189" s="37"/>
      <c r="DD189" s="932"/>
      <c r="DE189" s="37"/>
      <c r="DF189" s="932"/>
      <c r="DG189" s="37"/>
      <c r="DH189" s="932"/>
      <c r="DI189" s="37"/>
      <c r="DJ189" s="932"/>
      <c r="DK189" s="932"/>
      <c r="DL189" s="932"/>
      <c r="DM189" s="932"/>
      <c r="DN189" s="37"/>
      <c r="DO189" s="37"/>
      <c r="DP189" s="932"/>
      <c r="DQ189" s="37"/>
      <c r="DR189" s="932"/>
      <c r="DS189" s="37"/>
      <c r="DT189" s="932"/>
      <c r="DU189" s="37"/>
      <c r="DV189" s="932"/>
      <c r="DW189" s="37"/>
      <c r="DX189" s="932"/>
      <c r="DY189" s="932"/>
      <c r="DZ189" s="932"/>
      <c r="EA189" s="932"/>
      <c r="EB189" s="37"/>
      <c r="EC189" s="37"/>
      <c r="EE189" s="941"/>
      <c r="EG189" s="938"/>
      <c r="EI189" s="938"/>
      <c r="EK189" s="938"/>
      <c r="EM189" s="938"/>
      <c r="EO189" s="938"/>
      <c r="EQ189" s="938"/>
      <c r="ES189" s="938"/>
      <c r="EU189" s="938"/>
      <c r="EW189" s="938"/>
      <c r="EY189" s="938"/>
      <c r="FA189" s="938"/>
      <c r="FC189" s="938"/>
      <c r="FE189" s="938"/>
      <c r="FG189" s="938"/>
      <c r="FI189" s="938"/>
      <c r="FK189" s="938"/>
      <c r="FM189" s="938"/>
      <c r="FO189" s="938"/>
      <c r="FQ189" s="938"/>
      <c r="FS189" s="938"/>
      <c r="FU189" s="938"/>
      <c r="FW189" s="938"/>
      <c r="FY189" s="938"/>
      <c r="GA189" s="938"/>
      <c r="GC189" s="938"/>
      <c r="GE189" s="938"/>
      <c r="GG189" s="938"/>
      <c r="GI189" s="938"/>
      <c r="GK189" s="938"/>
      <c r="GM189" s="938"/>
      <c r="GO189" s="938"/>
      <c r="GQ189" s="938"/>
      <c r="GS189" s="938"/>
      <c r="GU189" s="938"/>
      <c r="GW189" s="938"/>
      <c r="GY189" s="938"/>
      <c r="HA189" s="938"/>
      <c r="HC189" s="938"/>
      <c r="HE189" s="938"/>
      <c r="HG189" s="938"/>
      <c r="HI189" s="938"/>
      <c r="HK189" s="938"/>
      <c r="HM189" s="938"/>
      <c r="HO189" s="938"/>
      <c r="HQ189" s="938"/>
      <c r="HS189" s="938"/>
      <c r="HU189" s="938"/>
      <c r="HW189" s="938"/>
      <c r="HY189" s="938"/>
      <c r="IA189" s="938"/>
      <c r="IC189" s="938"/>
      <c r="IE189" s="938"/>
      <c r="IG189" s="938"/>
      <c r="II189" s="938"/>
      <c r="IK189" s="938"/>
      <c r="IM189" s="938"/>
      <c r="IO189" s="938"/>
      <c r="IQ189" s="938"/>
      <c r="IS189" s="938"/>
      <c r="IT189" s="932"/>
      <c r="IU189" s="938"/>
      <c r="IW189" s="939"/>
      <c r="IX189" s="938"/>
      <c r="IY189" s="938"/>
      <c r="IZ189" s="938"/>
      <c r="JB189" s="940"/>
      <c r="JC189" s="940"/>
      <c r="JD189" s="940"/>
      <c r="JE189" s="940"/>
      <c r="JF189" s="940"/>
      <c r="JG189" s="940"/>
      <c r="JH189" s="940"/>
      <c r="JI189" s="940"/>
      <c r="JJ189" s="940"/>
      <c r="JK189" s="940"/>
      <c r="JL189" s="940"/>
      <c r="JM189" s="940"/>
      <c r="JN189" s="940"/>
      <c r="JO189" s="940"/>
      <c r="JP189" s="940"/>
      <c r="JQ189" s="940"/>
      <c r="JR189" s="940"/>
      <c r="JS189" s="940"/>
      <c r="JT189" s="940"/>
      <c r="JU189" s="940"/>
      <c r="JV189" s="940"/>
      <c r="JW189" s="940"/>
      <c r="JX189" s="940"/>
      <c r="JY189" s="940"/>
      <c r="JZ189" s="940"/>
      <c r="KA189" s="940"/>
      <c r="KB189" s="940"/>
      <c r="KC189" s="940"/>
      <c r="KD189" s="940"/>
      <c r="KE189" s="940"/>
      <c r="KF189" s="940"/>
      <c r="KG189" s="940"/>
      <c r="KH189" s="940"/>
      <c r="KI189" s="940"/>
      <c r="KJ189" s="940"/>
      <c r="KK189" s="940"/>
      <c r="KL189" s="940"/>
      <c r="KM189" s="940"/>
      <c r="KN189" s="940"/>
      <c r="KO189" s="940"/>
      <c r="KP189" s="940"/>
      <c r="KQ189" s="940"/>
      <c r="KR189" s="940"/>
      <c r="KS189" s="940"/>
      <c r="KT189" s="940"/>
      <c r="KU189" s="940"/>
      <c r="KV189" s="940"/>
      <c r="KW189" s="940"/>
      <c r="KX189" s="940"/>
      <c r="KY189" s="940"/>
      <c r="KZ189" s="940"/>
      <c r="LA189" s="940"/>
      <c r="LB189" s="940"/>
      <c r="LC189" s="940"/>
      <c r="LD189" s="940"/>
      <c r="LE189" s="940"/>
      <c r="LF189" s="940"/>
      <c r="LG189" s="940"/>
      <c r="LH189" s="940"/>
    </row>
    <row r="190" spans="1:320" s="462" customFormat="1" ht="15" hidden="1" customHeight="1" outlineLevel="1" x14ac:dyDescent="0.25">
      <c r="A190" s="1205">
        <v>43466</v>
      </c>
      <c r="B190" s="1205"/>
      <c r="C190" s="463"/>
      <c r="D190" s="461"/>
      <c r="H190" s="932"/>
      <c r="I190" s="37"/>
      <c r="J190" s="932"/>
      <c r="K190" s="37"/>
      <c r="L190" s="932"/>
      <c r="M190" s="37"/>
      <c r="N190" s="932"/>
      <c r="O190" s="37"/>
      <c r="P190" s="932"/>
      <c r="Q190" s="37"/>
      <c r="R190" s="932"/>
      <c r="S190" s="37"/>
      <c r="T190" s="37"/>
      <c r="U190" s="37"/>
      <c r="V190" s="932"/>
      <c r="W190" s="37"/>
      <c r="X190" s="932"/>
      <c r="Y190" s="37"/>
      <c r="Z190" s="932"/>
      <c r="AA190" s="37"/>
      <c r="AB190" s="932"/>
      <c r="AC190" s="37"/>
      <c r="AD190" s="932"/>
      <c r="AE190" s="37"/>
      <c r="AF190" s="932"/>
      <c r="AG190" s="37"/>
      <c r="AH190" s="37"/>
      <c r="AI190" s="37"/>
      <c r="AJ190" s="932"/>
      <c r="AK190" s="37"/>
      <c r="AL190" s="932"/>
      <c r="AM190" s="37"/>
      <c r="AN190" s="932"/>
      <c r="AO190" s="37"/>
      <c r="AP190" s="932"/>
      <c r="AQ190" s="37"/>
      <c r="AR190" s="37"/>
      <c r="AS190" s="37"/>
      <c r="AT190" s="37"/>
      <c r="AU190" s="37"/>
      <c r="AV190" s="37"/>
      <c r="AW190" s="37"/>
      <c r="AX190" s="932"/>
      <c r="AY190" s="37"/>
      <c r="AZ190" s="932"/>
      <c r="BA190" s="37"/>
      <c r="BB190" s="932"/>
      <c r="BC190" s="37"/>
      <c r="BD190" s="932"/>
      <c r="BE190" s="37"/>
      <c r="BF190" s="932"/>
      <c r="BG190" s="37"/>
      <c r="BH190" s="37"/>
      <c r="BI190" s="37"/>
      <c r="BJ190" s="37"/>
      <c r="BK190" s="37"/>
      <c r="BL190" s="932"/>
      <c r="BM190" s="37"/>
      <c r="BN190" s="932"/>
      <c r="BO190" s="37"/>
      <c r="BP190" s="932"/>
      <c r="BQ190" s="37"/>
      <c r="BR190" s="932"/>
      <c r="BS190" s="37"/>
      <c r="BT190" s="932"/>
      <c r="BU190" s="932"/>
      <c r="BV190" s="932"/>
      <c r="BW190" s="932"/>
      <c r="BX190" s="37"/>
      <c r="BY190" s="37"/>
      <c r="BZ190" s="932"/>
      <c r="CA190" s="37"/>
      <c r="CB190" s="932"/>
      <c r="CC190" s="37"/>
      <c r="CD190" s="932"/>
      <c r="CE190" s="37"/>
      <c r="CF190" s="932"/>
      <c r="CG190" s="37"/>
      <c r="CH190" s="932"/>
      <c r="CI190" s="932"/>
      <c r="CJ190" s="932"/>
      <c r="CK190" s="932"/>
      <c r="CL190" s="37"/>
      <c r="CM190" s="37"/>
      <c r="CN190" s="932"/>
      <c r="CO190" s="37"/>
      <c r="CP190" s="932"/>
      <c r="CQ190" s="37"/>
      <c r="CR190" s="932"/>
      <c r="CS190" s="37"/>
      <c r="CT190" s="932"/>
      <c r="CU190" s="37"/>
      <c r="CV190" s="932"/>
      <c r="CW190" s="932"/>
      <c r="CX190" s="932"/>
      <c r="CY190" s="932"/>
      <c r="CZ190" s="37"/>
      <c r="DA190" s="37"/>
      <c r="DB190" s="932"/>
      <c r="DC190" s="37"/>
      <c r="DD190" s="932"/>
      <c r="DE190" s="37"/>
      <c r="DF190" s="932"/>
      <c r="DG190" s="37"/>
      <c r="DH190" s="932"/>
      <c r="DI190" s="37"/>
      <c r="DJ190" s="932"/>
      <c r="DK190" s="932"/>
      <c r="DL190" s="932"/>
      <c r="DM190" s="932"/>
      <c r="DN190" s="37"/>
      <c r="DO190" s="37"/>
      <c r="DP190" s="932"/>
      <c r="DQ190" s="37"/>
      <c r="DR190" s="932"/>
      <c r="DS190" s="37"/>
      <c r="DT190" s="932"/>
      <c r="DU190" s="37"/>
      <c r="DV190" s="932"/>
      <c r="DW190" s="37"/>
      <c r="DX190" s="932"/>
      <c r="DY190" s="932"/>
      <c r="DZ190" s="932"/>
      <c r="EA190" s="932"/>
      <c r="EB190" s="37"/>
      <c r="EC190" s="37"/>
      <c r="EE190" s="941"/>
      <c r="EG190" s="938"/>
      <c r="EI190" s="938"/>
      <c r="EK190" s="938"/>
      <c r="EM190" s="938"/>
      <c r="EO190" s="938"/>
      <c r="EQ190" s="938"/>
      <c r="ES190" s="938"/>
      <c r="EU190" s="938"/>
      <c r="EW190" s="938"/>
      <c r="EY190" s="938"/>
      <c r="FA190" s="938"/>
      <c r="FC190" s="938"/>
      <c r="FE190" s="938"/>
      <c r="FG190" s="938"/>
      <c r="FI190" s="938"/>
      <c r="FK190" s="938"/>
      <c r="FM190" s="938"/>
      <c r="FO190" s="938"/>
      <c r="FQ190" s="938"/>
      <c r="FS190" s="938"/>
      <c r="FU190" s="938"/>
      <c r="FW190" s="938"/>
      <c r="FY190" s="938"/>
      <c r="GA190" s="938"/>
      <c r="GC190" s="938"/>
      <c r="GE190" s="938"/>
      <c r="GG190" s="938"/>
      <c r="GI190" s="938"/>
      <c r="GK190" s="938"/>
      <c r="GM190" s="938"/>
      <c r="GO190" s="938"/>
      <c r="GQ190" s="938"/>
      <c r="GS190" s="938"/>
      <c r="GU190" s="938"/>
      <c r="GW190" s="938"/>
      <c r="GY190" s="938"/>
      <c r="HA190" s="938"/>
      <c r="HC190" s="938"/>
      <c r="HE190" s="938"/>
      <c r="HG190" s="938"/>
      <c r="HI190" s="938"/>
      <c r="HK190" s="938"/>
      <c r="HM190" s="938"/>
      <c r="HO190" s="938"/>
      <c r="HQ190" s="938"/>
      <c r="HS190" s="938"/>
      <c r="HU190" s="938"/>
      <c r="HW190" s="938"/>
      <c r="HY190" s="938"/>
      <c r="IA190" s="938"/>
      <c r="IC190" s="938"/>
      <c r="IE190" s="938"/>
      <c r="IG190" s="938"/>
      <c r="II190" s="938"/>
      <c r="IK190" s="938"/>
      <c r="IM190" s="938"/>
      <c r="IO190" s="938"/>
      <c r="IQ190" s="938"/>
      <c r="IS190" s="938"/>
      <c r="IT190" s="932"/>
      <c r="IU190" s="938"/>
      <c r="IW190" s="939"/>
      <c r="IX190" s="938"/>
      <c r="IY190" s="938"/>
      <c r="IZ190" s="938"/>
      <c r="JB190" s="940"/>
      <c r="JC190" s="940"/>
      <c r="JD190" s="940"/>
      <c r="JE190" s="940"/>
      <c r="JF190" s="940"/>
      <c r="JG190" s="940"/>
      <c r="JH190" s="940"/>
      <c r="JI190" s="940"/>
      <c r="JJ190" s="940"/>
      <c r="JK190" s="940"/>
      <c r="JL190" s="940"/>
      <c r="JM190" s="940"/>
      <c r="JN190" s="940"/>
      <c r="JO190" s="940"/>
      <c r="JP190" s="940"/>
      <c r="JQ190" s="940"/>
      <c r="JR190" s="940"/>
      <c r="JS190" s="940"/>
      <c r="JT190" s="940"/>
      <c r="JU190" s="940"/>
      <c r="JV190" s="940"/>
      <c r="JW190" s="940"/>
      <c r="JX190" s="940"/>
      <c r="JY190" s="940"/>
      <c r="JZ190" s="940"/>
      <c r="KA190" s="940"/>
      <c r="KB190" s="940"/>
      <c r="KC190" s="940"/>
      <c r="KD190" s="940"/>
      <c r="KE190" s="940"/>
      <c r="KF190" s="940"/>
      <c r="KG190" s="940"/>
      <c r="KH190" s="940"/>
      <c r="KI190" s="940"/>
      <c r="KJ190" s="940"/>
      <c r="KK190" s="940"/>
      <c r="KL190" s="940"/>
      <c r="KM190" s="940"/>
      <c r="KN190" s="940"/>
      <c r="KO190" s="940"/>
      <c r="KP190" s="940"/>
      <c r="KQ190" s="940"/>
      <c r="KR190" s="940"/>
      <c r="KS190" s="940"/>
      <c r="KT190" s="940"/>
      <c r="KU190" s="940"/>
      <c r="KV190" s="940"/>
      <c r="KW190" s="940"/>
      <c r="KX190" s="940"/>
      <c r="KY190" s="940"/>
      <c r="KZ190" s="940"/>
      <c r="LA190" s="940"/>
      <c r="LB190" s="940"/>
      <c r="LC190" s="940"/>
      <c r="LD190" s="940"/>
      <c r="LE190" s="940"/>
      <c r="LF190" s="940"/>
      <c r="LG190" s="940"/>
      <c r="LH190" s="940"/>
    </row>
    <row r="191" spans="1:320" s="462" customFormat="1" ht="15" hidden="1" customHeight="1" outlineLevel="1" x14ac:dyDescent="0.25">
      <c r="A191" s="1205">
        <v>43486</v>
      </c>
      <c r="B191" s="1205"/>
      <c r="C191" s="463"/>
      <c r="D191" s="461"/>
      <c r="H191" s="932"/>
      <c r="I191" s="37"/>
      <c r="J191" s="932"/>
      <c r="K191" s="37"/>
      <c r="L191" s="932"/>
      <c r="M191" s="37"/>
      <c r="N191" s="932"/>
      <c r="O191" s="37"/>
      <c r="P191" s="932"/>
      <c r="Q191" s="37"/>
      <c r="R191" s="932"/>
      <c r="S191" s="37"/>
      <c r="T191" s="37"/>
      <c r="U191" s="37"/>
      <c r="V191" s="932"/>
      <c r="W191" s="37"/>
      <c r="X191" s="932"/>
      <c r="Y191" s="37"/>
      <c r="Z191" s="932"/>
      <c r="AA191" s="37"/>
      <c r="AB191" s="932"/>
      <c r="AC191" s="37"/>
      <c r="AD191" s="932"/>
      <c r="AE191" s="37"/>
      <c r="AF191" s="932"/>
      <c r="AG191" s="37"/>
      <c r="AH191" s="37"/>
      <c r="AI191" s="37"/>
      <c r="AJ191" s="932"/>
      <c r="AK191" s="37"/>
      <c r="AL191" s="932"/>
      <c r="AM191" s="37"/>
      <c r="AN191" s="932"/>
      <c r="AO191" s="37"/>
      <c r="AP191" s="932"/>
      <c r="AQ191" s="37"/>
      <c r="AR191" s="37"/>
      <c r="AS191" s="37"/>
      <c r="AT191" s="37"/>
      <c r="AU191" s="37"/>
      <c r="AV191" s="37"/>
      <c r="AW191" s="37"/>
      <c r="AX191" s="932"/>
      <c r="AY191" s="37"/>
      <c r="AZ191" s="932"/>
      <c r="BA191" s="37"/>
      <c r="BB191" s="932"/>
      <c r="BC191" s="37"/>
      <c r="BD191" s="932"/>
      <c r="BE191" s="37"/>
      <c r="BF191" s="932"/>
      <c r="BG191" s="37"/>
      <c r="BH191" s="37"/>
      <c r="BI191" s="37"/>
      <c r="BJ191" s="37"/>
      <c r="BK191" s="37"/>
      <c r="BL191" s="932"/>
      <c r="BM191" s="37"/>
      <c r="BN191" s="932"/>
      <c r="BO191" s="37"/>
      <c r="BP191" s="932"/>
      <c r="BQ191" s="37"/>
      <c r="BR191" s="932"/>
      <c r="BS191" s="37"/>
      <c r="BT191" s="932"/>
      <c r="BU191" s="932"/>
      <c r="BV191" s="932"/>
      <c r="BW191" s="932"/>
      <c r="BX191" s="37"/>
      <c r="BY191" s="37"/>
      <c r="BZ191" s="932"/>
      <c r="CA191" s="37"/>
      <c r="CB191" s="932"/>
      <c r="CC191" s="37"/>
      <c r="CD191" s="932"/>
      <c r="CE191" s="37"/>
      <c r="CF191" s="932"/>
      <c r="CG191" s="37"/>
      <c r="CH191" s="932"/>
      <c r="CI191" s="932"/>
      <c r="CJ191" s="932"/>
      <c r="CK191" s="932"/>
      <c r="CL191" s="37"/>
      <c r="CM191" s="37"/>
      <c r="CN191" s="932"/>
      <c r="CO191" s="37"/>
      <c r="CP191" s="932"/>
      <c r="CQ191" s="37"/>
      <c r="CR191" s="932"/>
      <c r="CS191" s="37"/>
      <c r="CT191" s="932"/>
      <c r="CU191" s="37"/>
      <c r="CV191" s="932"/>
      <c r="CW191" s="932"/>
      <c r="CX191" s="932"/>
      <c r="CY191" s="932"/>
      <c r="CZ191" s="37"/>
      <c r="DA191" s="37"/>
      <c r="DB191" s="932"/>
      <c r="DC191" s="37"/>
      <c r="DD191" s="932"/>
      <c r="DE191" s="37"/>
      <c r="DF191" s="932"/>
      <c r="DG191" s="37"/>
      <c r="DH191" s="932"/>
      <c r="DI191" s="37"/>
      <c r="DJ191" s="932"/>
      <c r="DK191" s="932"/>
      <c r="DL191" s="932"/>
      <c r="DM191" s="932"/>
      <c r="DN191" s="37"/>
      <c r="DO191" s="37"/>
      <c r="DP191" s="932"/>
      <c r="DQ191" s="37"/>
      <c r="DR191" s="932"/>
      <c r="DS191" s="37"/>
      <c r="DT191" s="932"/>
      <c r="DU191" s="37"/>
      <c r="DV191" s="932"/>
      <c r="DW191" s="37"/>
      <c r="DX191" s="932"/>
      <c r="DY191" s="932"/>
      <c r="DZ191" s="932"/>
      <c r="EA191" s="932"/>
      <c r="EB191" s="37"/>
      <c r="EC191" s="37"/>
      <c r="EE191" s="941"/>
      <c r="EG191" s="938"/>
      <c r="EI191" s="938"/>
      <c r="EK191" s="938"/>
      <c r="EM191" s="938"/>
      <c r="EO191" s="938"/>
      <c r="EQ191" s="938"/>
      <c r="ES191" s="938"/>
      <c r="EU191" s="938"/>
      <c r="EW191" s="938"/>
      <c r="EY191" s="938"/>
      <c r="FA191" s="938"/>
      <c r="FC191" s="938"/>
      <c r="FE191" s="938"/>
      <c r="FG191" s="938"/>
      <c r="FI191" s="938"/>
      <c r="FK191" s="938"/>
      <c r="FM191" s="938"/>
      <c r="FO191" s="938"/>
      <c r="FQ191" s="938"/>
      <c r="FS191" s="938"/>
      <c r="FU191" s="938"/>
      <c r="FW191" s="938"/>
      <c r="FY191" s="938"/>
      <c r="GA191" s="938"/>
      <c r="GC191" s="938"/>
      <c r="GE191" s="938"/>
      <c r="GG191" s="938"/>
      <c r="GI191" s="938"/>
      <c r="GK191" s="938"/>
      <c r="GM191" s="938"/>
      <c r="GO191" s="938"/>
      <c r="GQ191" s="938"/>
      <c r="GS191" s="938"/>
      <c r="GU191" s="938"/>
      <c r="GW191" s="938"/>
      <c r="GY191" s="938"/>
      <c r="HA191" s="938"/>
      <c r="HC191" s="938"/>
      <c r="HE191" s="938"/>
      <c r="HG191" s="938"/>
      <c r="HI191" s="938"/>
      <c r="HK191" s="938"/>
      <c r="HM191" s="938"/>
      <c r="HO191" s="938"/>
      <c r="HQ191" s="938"/>
      <c r="HS191" s="938"/>
      <c r="HU191" s="938"/>
      <c r="HW191" s="938"/>
      <c r="HY191" s="938"/>
      <c r="IA191" s="938"/>
      <c r="IC191" s="938"/>
      <c r="IE191" s="938"/>
      <c r="IG191" s="938"/>
      <c r="II191" s="938"/>
      <c r="IK191" s="938"/>
      <c r="IM191" s="938"/>
      <c r="IO191" s="938"/>
      <c r="IQ191" s="938"/>
      <c r="IS191" s="938"/>
      <c r="IT191" s="932"/>
      <c r="IU191" s="938"/>
      <c r="IW191" s="939"/>
      <c r="IX191" s="938"/>
      <c r="IY191" s="938"/>
      <c r="IZ191" s="938"/>
      <c r="JB191" s="940"/>
      <c r="JC191" s="940"/>
      <c r="JD191" s="940"/>
      <c r="JE191" s="940"/>
      <c r="JF191" s="940"/>
      <c r="JG191" s="940"/>
      <c r="JH191" s="940"/>
      <c r="JI191" s="940"/>
      <c r="JJ191" s="940"/>
      <c r="JK191" s="940"/>
      <c r="JL191" s="940"/>
      <c r="JM191" s="940"/>
      <c r="JN191" s="940"/>
      <c r="JO191" s="940"/>
      <c r="JP191" s="940"/>
      <c r="JQ191" s="940"/>
      <c r="JR191" s="940"/>
      <c r="JS191" s="940"/>
      <c r="JT191" s="940"/>
      <c r="JU191" s="940"/>
      <c r="JV191" s="940"/>
      <c r="JW191" s="940"/>
      <c r="JX191" s="940"/>
      <c r="JY191" s="940"/>
      <c r="JZ191" s="940"/>
      <c r="KA191" s="940"/>
      <c r="KB191" s="940"/>
      <c r="KC191" s="940"/>
      <c r="KD191" s="940"/>
      <c r="KE191" s="940"/>
      <c r="KF191" s="940"/>
      <c r="KG191" s="940"/>
      <c r="KH191" s="940"/>
      <c r="KI191" s="940"/>
      <c r="KJ191" s="940"/>
      <c r="KK191" s="940"/>
      <c r="KL191" s="940"/>
      <c r="KM191" s="940"/>
      <c r="KN191" s="940"/>
      <c r="KO191" s="940"/>
      <c r="KP191" s="940"/>
      <c r="KQ191" s="940"/>
      <c r="KR191" s="940"/>
      <c r="KS191" s="940"/>
      <c r="KT191" s="940"/>
      <c r="KU191" s="940"/>
      <c r="KV191" s="940"/>
      <c r="KW191" s="940"/>
      <c r="KX191" s="940"/>
      <c r="KY191" s="940"/>
      <c r="KZ191" s="940"/>
      <c r="LA191" s="940"/>
      <c r="LB191" s="940"/>
      <c r="LC191" s="940"/>
      <c r="LD191" s="940"/>
      <c r="LE191" s="940"/>
      <c r="LF191" s="940"/>
      <c r="LG191" s="940"/>
      <c r="LH191" s="940"/>
    </row>
    <row r="192" spans="1:320" s="462" customFormat="1" ht="15" hidden="1" customHeight="1" outlineLevel="1" x14ac:dyDescent="0.25">
      <c r="A192" s="1205">
        <v>43574</v>
      </c>
      <c r="B192" s="1205"/>
      <c r="C192" s="463"/>
      <c r="D192" s="461"/>
      <c r="H192" s="932"/>
      <c r="I192" s="37"/>
      <c r="J192" s="932"/>
      <c r="K192" s="37"/>
      <c r="L192" s="932"/>
      <c r="M192" s="37"/>
      <c r="N192" s="932"/>
      <c r="O192" s="37"/>
      <c r="P192" s="932"/>
      <c r="Q192" s="37"/>
      <c r="R192" s="932"/>
      <c r="S192" s="37"/>
      <c r="T192" s="37"/>
      <c r="U192" s="37"/>
      <c r="V192" s="932"/>
      <c r="W192" s="37"/>
      <c r="X192" s="932"/>
      <c r="Y192" s="37"/>
      <c r="Z192" s="932"/>
      <c r="AA192" s="37"/>
      <c r="AB192" s="932"/>
      <c r="AC192" s="37"/>
      <c r="AD192" s="932"/>
      <c r="AE192" s="37"/>
      <c r="AF192" s="932"/>
      <c r="AG192" s="37"/>
      <c r="AH192" s="37"/>
      <c r="AI192" s="37"/>
      <c r="AJ192" s="932"/>
      <c r="AK192" s="37"/>
      <c r="AL192" s="932"/>
      <c r="AM192" s="37"/>
      <c r="AN192" s="932"/>
      <c r="AO192" s="37"/>
      <c r="AP192" s="932"/>
      <c r="AQ192" s="37"/>
      <c r="AR192" s="37"/>
      <c r="AS192" s="37"/>
      <c r="AT192" s="37"/>
      <c r="AU192" s="37"/>
      <c r="AV192" s="37"/>
      <c r="AW192" s="37"/>
      <c r="AX192" s="932"/>
      <c r="AY192" s="37"/>
      <c r="AZ192" s="932"/>
      <c r="BA192" s="37"/>
      <c r="BB192" s="932"/>
      <c r="BC192" s="37"/>
      <c r="BD192" s="932"/>
      <c r="BE192" s="37"/>
      <c r="BF192" s="932"/>
      <c r="BG192" s="37"/>
      <c r="BH192" s="37"/>
      <c r="BI192" s="37"/>
      <c r="BJ192" s="37"/>
      <c r="BK192" s="37"/>
      <c r="BL192" s="932"/>
      <c r="BM192" s="37"/>
      <c r="BN192" s="932"/>
      <c r="BO192" s="37"/>
      <c r="BP192" s="932"/>
      <c r="BQ192" s="37"/>
      <c r="BR192" s="932"/>
      <c r="BS192" s="37"/>
      <c r="BT192" s="932"/>
      <c r="BU192" s="932"/>
      <c r="BV192" s="932"/>
      <c r="BW192" s="932"/>
      <c r="BX192" s="37"/>
      <c r="BY192" s="37"/>
      <c r="BZ192" s="932"/>
      <c r="CA192" s="37"/>
      <c r="CB192" s="932"/>
      <c r="CC192" s="37"/>
      <c r="CD192" s="932"/>
      <c r="CE192" s="37"/>
      <c r="CF192" s="932"/>
      <c r="CG192" s="37"/>
      <c r="CH192" s="932"/>
      <c r="CI192" s="932"/>
      <c r="CJ192" s="932"/>
      <c r="CK192" s="932"/>
      <c r="CL192" s="37"/>
      <c r="CM192" s="37"/>
      <c r="CN192" s="932"/>
      <c r="CO192" s="37"/>
      <c r="CP192" s="932"/>
      <c r="CQ192" s="37"/>
      <c r="CR192" s="932"/>
      <c r="CS192" s="37"/>
      <c r="CT192" s="932"/>
      <c r="CU192" s="37"/>
      <c r="CV192" s="932"/>
      <c r="CW192" s="932"/>
      <c r="CX192" s="932"/>
      <c r="CY192" s="932"/>
      <c r="CZ192" s="37"/>
      <c r="DA192" s="37"/>
      <c r="DB192" s="932"/>
      <c r="DC192" s="37"/>
      <c r="DD192" s="932"/>
      <c r="DE192" s="37"/>
      <c r="DF192" s="932"/>
      <c r="DG192" s="37"/>
      <c r="DH192" s="932"/>
      <c r="DI192" s="37"/>
      <c r="DJ192" s="932"/>
      <c r="DK192" s="932"/>
      <c r="DL192" s="932"/>
      <c r="DM192" s="932"/>
      <c r="DN192" s="37"/>
      <c r="DO192" s="37"/>
      <c r="DP192" s="932"/>
      <c r="DQ192" s="37"/>
      <c r="DR192" s="932"/>
      <c r="DS192" s="37"/>
      <c r="DT192" s="932"/>
      <c r="DU192" s="37"/>
      <c r="DV192" s="932"/>
      <c r="DW192" s="37"/>
      <c r="DX192" s="932"/>
      <c r="DY192" s="932"/>
      <c r="DZ192" s="932"/>
      <c r="EA192" s="932"/>
      <c r="EB192" s="37"/>
      <c r="EC192" s="37"/>
      <c r="EE192" s="941"/>
      <c r="EG192" s="938"/>
      <c r="EI192" s="938"/>
      <c r="EK192" s="938"/>
      <c r="EM192" s="938"/>
      <c r="EO192" s="938"/>
      <c r="EQ192" s="938"/>
      <c r="ES192" s="938"/>
      <c r="EU192" s="938"/>
      <c r="EW192" s="938"/>
      <c r="EY192" s="938"/>
      <c r="FA192" s="938"/>
      <c r="FC192" s="938"/>
      <c r="FE192" s="938"/>
      <c r="FG192" s="938"/>
      <c r="FI192" s="938"/>
      <c r="FK192" s="938"/>
      <c r="FM192" s="938"/>
      <c r="FO192" s="938"/>
      <c r="FQ192" s="938"/>
      <c r="FS192" s="938"/>
      <c r="FU192" s="938"/>
      <c r="FW192" s="938"/>
      <c r="FY192" s="938"/>
      <c r="GA192" s="938"/>
      <c r="GC192" s="938"/>
      <c r="GE192" s="938"/>
      <c r="GG192" s="938"/>
      <c r="GI192" s="938"/>
      <c r="GK192" s="938"/>
      <c r="GM192" s="938"/>
      <c r="GO192" s="938"/>
      <c r="GQ192" s="938"/>
      <c r="GS192" s="938"/>
      <c r="GU192" s="938"/>
      <c r="GW192" s="938"/>
      <c r="GY192" s="938"/>
      <c r="HA192" s="938"/>
      <c r="HC192" s="938"/>
      <c r="HE192" s="938"/>
      <c r="HG192" s="938"/>
      <c r="HI192" s="938"/>
      <c r="HK192" s="938"/>
      <c r="HM192" s="938"/>
      <c r="HO192" s="938"/>
      <c r="HQ192" s="938"/>
      <c r="HS192" s="938"/>
      <c r="HU192" s="938"/>
      <c r="HW192" s="938"/>
      <c r="HY192" s="938"/>
      <c r="IA192" s="938"/>
      <c r="IC192" s="938"/>
      <c r="IE192" s="938"/>
      <c r="IG192" s="938"/>
      <c r="II192" s="938"/>
      <c r="IK192" s="938"/>
      <c r="IM192" s="938"/>
      <c r="IO192" s="938"/>
      <c r="IQ192" s="938"/>
      <c r="IS192" s="938"/>
      <c r="IT192" s="932"/>
      <c r="IU192" s="938"/>
      <c r="IW192" s="939"/>
      <c r="IX192" s="938"/>
      <c r="IY192" s="938"/>
      <c r="IZ192" s="938"/>
      <c r="JB192" s="940"/>
      <c r="JC192" s="940"/>
      <c r="JD192" s="940"/>
      <c r="JE192" s="940"/>
      <c r="JF192" s="940"/>
      <c r="JG192" s="940"/>
      <c r="JH192" s="940"/>
      <c r="JI192" s="940"/>
      <c r="JJ192" s="940"/>
      <c r="JK192" s="940"/>
      <c r="JL192" s="940"/>
      <c r="JM192" s="940"/>
      <c r="JN192" s="940"/>
      <c r="JO192" s="940"/>
      <c r="JP192" s="940"/>
      <c r="JQ192" s="940"/>
      <c r="JR192" s="940"/>
      <c r="JS192" s="940"/>
      <c r="JT192" s="940"/>
      <c r="JU192" s="940"/>
      <c r="JV192" s="940"/>
      <c r="JW192" s="940"/>
      <c r="JX192" s="940"/>
      <c r="JY192" s="940"/>
      <c r="JZ192" s="940"/>
      <c r="KA192" s="940"/>
      <c r="KB192" s="940"/>
      <c r="KC192" s="940"/>
      <c r="KD192" s="940"/>
      <c r="KE192" s="940"/>
      <c r="KF192" s="940"/>
      <c r="KG192" s="940"/>
      <c r="KH192" s="940"/>
      <c r="KI192" s="940"/>
      <c r="KJ192" s="940"/>
      <c r="KK192" s="940"/>
      <c r="KL192" s="940"/>
      <c r="KM192" s="940"/>
      <c r="KN192" s="940"/>
      <c r="KO192" s="940"/>
      <c r="KP192" s="940"/>
      <c r="KQ192" s="940"/>
      <c r="KR192" s="940"/>
      <c r="KS192" s="940"/>
      <c r="KT192" s="940"/>
      <c r="KU192" s="940"/>
      <c r="KV192" s="940"/>
      <c r="KW192" s="940"/>
      <c r="KX192" s="940"/>
      <c r="KY192" s="940"/>
      <c r="KZ192" s="940"/>
      <c r="LA192" s="940"/>
      <c r="LB192" s="940"/>
      <c r="LC192" s="940"/>
      <c r="LD192" s="940"/>
      <c r="LE192" s="940"/>
      <c r="LF192" s="940"/>
      <c r="LG192" s="940"/>
      <c r="LH192" s="940"/>
    </row>
    <row r="193" spans="1:356" s="462" customFormat="1" ht="15" hidden="1" customHeight="1" outlineLevel="1" x14ac:dyDescent="0.25">
      <c r="A193" s="1205">
        <v>43612</v>
      </c>
      <c r="B193" s="1205"/>
      <c r="C193" s="463"/>
      <c r="D193" s="461"/>
      <c r="H193" s="932"/>
      <c r="I193" s="37"/>
      <c r="J193" s="932"/>
      <c r="K193" s="37"/>
      <c r="L193" s="932"/>
      <c r="M193" s="37"/>
      <c r="N193" s="932"/>
      <c r="O193" s="37"/>
      <c r="P193" s="932"/>
      <c r="Q193" s="37"/>
      <c r="R193" s="932"/>
      <c r="S193" s="37"/>
      <c r="T193" s="37"/>
      <c r="U193" s="37"/>
      <c r="V193" s="932"/>
      <c r="W193" s="37"/>
      <c r="X193" s="932"/>
      <c r="Y193" s="37"/>
      <c r="Z193" s="932"/>
      <c r="AA193" s="37"/>
      <c r="AB193" s="932"/>
      <c r="AC193" s="37"/>
      <c r="AD193" s="932"/>
      <c r="AE193" s="37"/>
      <c r="AF193" s="932"/>
      <c r="AG193" s="37"/>
      <c r="AH193" s="37"/>
      <c r="AI193" s="37"/>
      <c r="AJ193" s="932"/>
      <c r="AK193" s="37"/>
      <c r="AL193" s="932"/>
      <c r="AM193" s="37"/>
      <c r="AN193" s="932"/>
      <c r="AO193" s="37"/>
      <c r="AP193" s="932"/>
      <c r="AQ193" s="37"/>
      <c r="AR193" s="37"/>
      <c r="AS193" s="37"/>
      <c r="AT193" s="37"/>
      <c r="AU193" s="37"/>
      <c r="AV193" s="37"/>
      <c r="AW193" s="37"/>
      <c r="AX193" s="932"/>
      <c r="AY193" s="37"/>
      <c r="AZ193" s="932"/>
      <c r="BA193" s="37"/>
      <c r="BB193" s="932"/>
      <c r="BC193" s="37"/>
      <c r="BD193" s="932"/>
      <c r="BE193" s="37"/>
      <c r="BF193" s="932"/>
      <c r="BG193" s="37"/>
      <c r="BH193" s="37"/>
      <c r="BI193" s="37"/>
      <c r="BJ193" s="37"/>
      <c r="BK193" s="37"/>
      <c r="BL193" s="932"/>
      <c r="BM193" s="37"/>
      <c r="BN193" s="932"/>
      <c r="BO193" s="37"/>
      <c r="BP193" s="932"/>
      <c r="BQ193" s="37"/>
      <c r="BR193" s="932"/>
      <c r="BS193" s="37"/>
      <c r="BT193" s="932"/>
      <c r="BU193" s="932"/>
      <c r="BV193" s="932"/>
      <c r="BW193" s="932"/>
      <c r="BX193" s="37"/>
      <c r="BY193" s="37"/>
      <c r="BZ193" s="932"/>
      <c r="CA193" s="37"/>
      <c r="CB193" s="932"/>
      <c r="CC193" s="37"/>
      <c r="CD193" s="932"/>
      <c r="CE193" s="37"/>
      <c r="CF193" s="932"/>
      <c r="CG193" s="37"/>
      <c r="CH193" s="932"/>
      <c r="CI193" s="932"/>
      <c r="CJ193" s="932"/>
      <c r="CK193" s="932"/>
      <c r="CL193" s="37"/>
      <c r="CM193" s="37"/>
      <c r="CN193" s="932"/>
      <c r="CO193" s="37"/>
      <c r="CP193" s="932"/>
      <c r="CQ193" s="37"/>
      <c r="CR193" s="932"/>
      <c r="CS193" s="37"/>
      <c r="CT193" s="932"/>
      <c r="CU193" s="37"/>
      <c r="CV193" s="932"/>
      <c r="CW193" s="932"/>
      <c r="CX193" s="932"/>
      <c r="CY193" s="932"/>
      <c r="CZ193" s="37"/>
      <c r="DA193" s="37"/>
      <c r="DB193" s="932"/>
      <c r="DC193" s="37"/>
      <c r="DD193" s="932"/>
      <c r="DE193" s="37"/>
      <c r="DF193" s="932"/>
      <c r="DG193" s="37"/>
      <c r="DH193" s="932"/>
      <c r="DI193" s="37"/>
      <c r="DJ193" s="932"/>
      <c r="DK193" s="932"/>
      <c r="DL193" s="932"/>
      <c r="DM193" s="932"/>
      <c r="DN193" s="37"/>
      <c r="DO193" s="37"/>
      <c r="DP193" s="932"/>
      <c r="DQ193" s="37"/>
      <c r="DR193" s="932"/>
      <c r="DS193" s="37"/>
      <c r="DT193" s="932"/>
      <c r="DU193" s="37"/>
      <c r="DV193" s="932"/>
      <c r="DW193" s="37"/>
      <c r="DX193" s="932"/>
      <c r="DY193" s="932"/>
      <c r="DZ193" s="932"/>
      <c r="EA193" s="932"/>
      <c r="EB193" s="37"/>
      <c r="EC193" s="37"/>
      <c r="EE193" s="941"/>
      <c r="EG193" s="938"/>
      <c r="EI193" s="938"/>
      <c r="EK193" s="938"/>
      <c r="EM193" s="938"/>
      <c r="EO193" s="938"/>
      <c r="EQ193" s="938"/>
      <c r="ES193" s="938"/>
      <c r="EU193" s="938"/>
      <c r="EW193" s="938"/>
      <c r="EY193" s="938"/>
      <c r="FA193" s="938"/>
      <c r="FC193" s="938"/>
      <c r="FE193" s="938"/>
      <c r="FG193" s="938"/>
      <c r="FI193" s="938"/>
      <c r="FK193" s="938"/>
      <c r="FM193" s="938"/>
      <c r="FO193" s="938"/>
      <c r="FQ193" s="938"/>
      <c r="FS193" s="938"/>
      <c r="FU193" s="938"/>
      <c r="FW193" s="938"/>
      <c r="FY193" s="938"/>
      <c r="GA193" s="938"/>
      <c r="GC193" s="938"/>
      <c r="GE193" s="938"/>
      <c r="GG193" s="938"/>
      <c r="GI193" s="938"/>
      <c r="GK193" s="938"/>
      <c r="GM193" s="938"/>
      <c r="GO193" s="938"/>
      <c r="GQ193" s="938"/>
      <c r="GS193" s="938"/>
      <c r="GU193" s="938"/>
      <c r="GW193" s="938"/>
      <c r="GY193" s="938"/>
      <c r="HA193" s="938"/>
      <c r="HC193" s="938"/>
      <c r="HE193" s="938"/>
      <c r="HG193" s="938"/>
      <c r="HI193" s="938"/>
      <c r="HK193" s="938"/>
      <c r="HM193" s="938"/>
      <c r="HO193" s="938"/>
      <c r="HQ193" s="938"/>
      <c r="HS193" s="938"/>
      <c r="HU193" s="938"/>
      <c r="HW193" s="938"/>
      <c r="HY193" s="938"/>
      <c r="IA193" s="938"/>
      <c r="IC193" s="938"/>
      <c r="IE193" s="938"/>
      <c r="IG193" s="938"/>
      <c r="II193" s="938"/>
      <c r="IK193" s="938"/>
      <c r="IM193" s="938"/>
      <c r="IO193" s="938"/>
      <c r="IQ193" s="938"/>
      <c r="IS193" s="938"/>
      <c r="IT193" s="932"/>
      <c r="IU193" s="938"/>
      <c r="IW193" s="939"/>
      <c r="IX193" s="938"/>
      <c r="IY193" s="938"/>
      <c r="IZ193" s="938"/>
      <c r="JB193" s="940"/>
      <c r="JC193" s="940"/>
      <c r="JD193" s="940"/>
      <c r="JE193" s="940"/>
      <c r="JF193" s="940"/>
      <c r="JG193" s="940"/>
      <c r="JH193" s="940"/>
      <c r="JI193" s="940"/>
      <c r="JJ193" s="940"/>
      <c r="JK193" s="940"/>
      <c r="JL193" s="940"/>
      <c r="JM193" s="940"/>
      <c r="JN193" s="940"/>
      <c r="JO193" s="940"/>
      <c r="JP193" s="940"/>
      <c r="JQ193" s="940"/>
      <c r="JR193" s="940"/>
      <c r="JS193" s="940"/>
      <c r="JT193" s="940"/>
      <c r="JU193" s="940"/>
      <c r="JV193" s="940"/>
      <c r="JW193" s="940"/>
      <c r="JX193" s="940"/>
      <c r="JY193" s="940"/>
      <c r="JZ193" s="940"/>
      <c r="KA193" s="940"/>
      <c r="KB193" s="940"/>
      <c r="KC193" s="940"/>
      <c r="KD193" s="940"/>
      <c r="KE193" s="940"/>
      <c r="KF193" s="940"/>
      <c r="KG193" s="940"/>
      <c r="KH193" s="940"/>
      <c r="KI193" s="940"/>
      <c r="KJ193" s="940"/>
      <c r="KK193" s="940"/>
      <c r="KL193" s="940"/>
      <c r="KM193" s="940"/>
      <c r="KN193" s="940"/>
      <c r="KO193" s="940"/>
      <c r="KP193" s="940"/>
      <c r="KQ193" s="940"/>
      <c r="KR193" s="940"/>
      <c r="KS193" s="940"/>
      <c r="KT193" s="940"/>
      <c r="KU193" s="940"/>
      <c r="KV193" s="940"/>
      <c r="KW193" s="940"/>
      <c r="KX193" s="940"/>
      <c r="KY193" s="940"/>
      <c r="KZ193" s="940"/>
      <c r="LA193" s="940"/>
      <c r="LB193" s="940"/>
      <c r="LC193" s="940"/>
      <c r="LD193" s="940"/>
      <c r="LE193" s="940"/>
      <c r="LF193" s="940"/>
      <c r="LG193" s="940"/>
      <c r="LH193" s="940"/>
    </row>
    <row r="194" spans="1:356" s="462" customFormat="1" ht="15" hidden="1" customHeight="1" outlineLevel="1" x14ac:dyDescent="0.25">
      <c r="A194" s="1205">
        <v>43650</v>
      </c>
      <c r="B194" s="1205"/>
      <c r="C194" s="463"/>
      <c r="D194" s="461"/>
      <c r="H194" s="932"/>
      <c r="I194" s="37"/>
      <c r="J194" s="932"/>
      <c r="K194" s="37"/>
      <c r="L194" s="932"/>
      <c r="M194" s="37"/>
      <c r="N194" s="932"/>
      <c r="O194" s="37"/>
      <c r="P194" s="932"/>
      <c r="Q194" s="37"/>
      <c r="R194" s="932"/>
      <c r="S194" s="37"/>
      <c r="T194" s="37"/>
      <c r="U194" s="37"/>
      <c r="V194" s="932"/>
      <c r="W194" s="37"/>
      <c r="X194" s="932"/>
      <c r="Y194" s="37"/>
      <c r="Z194" s="932"/>
      <c r="AA194" s="37"/>
      <c r="AB194" s="932"/>
      <c r="AC194" s="37"/>
      <c r="AD194" s="932"/>
      <c r="AE194" s="37"/>
      <c r="AF194" s="932"/>
      <c r="AG194" s="37"/>
      <c r="AH194" s="37"/>
      <c r="AI194" s="37"/>
      <c r="AJ194" s="932"/>
      <c r="AK194" s="37"/>
      <c r="AL194" s="932"/>
      <c r="AM194" s="37"/>
      <c r="AN194" s="932"/>
      <c r="AO194" s="37"/>
      <c r="AP194" s="932"/>
      <c r="AQ194" s="37"/>
      <c r="AR194" s="37"/>
      <c r="AS194" s="37"/>
      <c r="AT194" s="37"/>
      <c r="AU194" s="37"/>
      <c r="AV194" s="37"/>
      <c r="AW194" s="37"/>
      <c r="AX194" s="932"/>
      <c r="AY194" s="37"/>
      <c r="AZ194" s="932"/>
      <c r="BA194" s="37"/>
      <c r="BB194" s="932"/>
      <c r="BC194" s="37"/>
      <c r="BD194" s="932"/>
      <c r="BE194" s="37"/>
      <c r="BF194" s="932"/>
      <c r="BG194" s="37"/>
      <c r="BH194" s="37"/>
      <c r="BI194" s="37"/>
      <c r="BJ194" s="37"/>
      <c r="BK194" s="37"/>
      <c r="BL194" s="932"/>
      <c r="BM194" s="37"/>
      <c r="BN194" s="932"/>
      <c r="BO194" s="37"/>
      <c r="BP194" s="932"/>
      <c r="BQ194" s="37"/>
      <c r="BR194" s="932"/>
      <c r="BS194" s="37"/>
      <c r="BT194" s="932"/>
      <c r="BU194" s="932"/>
      <c r="BV194" s="932"/>
      <c r="BW194" s="932"/>
      <c r="BX194" s="37"/>
      <c r="BY194" s="37"/>
      <c r="BZ194" s="932"/>
      <c r="CA194" s="37"/>
      <c r="CB194" s="932"/>
      <c r="CC194" s="37"/>
      <c r="CD194" s="932"/>
      <c r="CE194" s="37"/>
      <c r="CF194" s="932"/>
      <c r="CG194" s="37"/>
      <c r="CH194" s="932"/>
      <c r="CI194" s="932"/>
      <c r="CJ194" s="932"/>
      <c r="CK194" s="932"/>
      <c r="CL194" s="37"/>
      <c r="CM194" s="37"/>
      <c r="CN194" s="932"/>
      <c r="CO194" s="37"/>
      <c r="CP194" s="932"/>
      <c r="CQ194" s="37"/>
      <c r="CR194" s="932"/>
      <c r="CS194" s="37"/>
      <c r="CT194" s="932"/>
      <c r="CU194" s="37"/>
      <c r="CV194" s="932"/>
      <c r="CW194" s="932"/>
      <c r="CX194" s="932"/>
      <c r="CY194" s="932"/>
      <c r="CZ194" s="37"/>
      <c r="DA194" s="37"/>
      <c r="DB194" s="932"/>
      <c r="DC194" s="37"/>
      <c r="DD194" s="932"/>
      <c r="DE194" s="37"/>
      <c r="DF194" s="932"/>
      <c r="DG194" s="37"/>
      <c r="DH194" s="932"/>
      <c r="DI194" s="37"/>
      <c r="DJ194" s="932"/>
      <c r="DK194" s="932"/>
      <c r="DL194" s="932"/>
      <c r="DM194" s="932"/>
      <c r="DN194" s="37"/>
      <c r="DO194" s="37"/>
      <c r="DP194" s="932"/>
      <c r="DQ194" s="37"/>
      <c r="DR194" s="932"/>
      <c r="DS194" s="37"/>
      <c r="DT194" s="932"/>
      <c r="DU194" s="37"/>
      <c r="DV194" s="932"/>
      <c r="DW194" s="37"/>
      <c r="DX194" s="932"/>
      <c r="DY194" s="932"/>
      <c r="DZ194" s="932"/>
      <c r="EA194" s="932"/>
      <c r="EB194" s="37"/>
      <c r="EC194" s="37"/>
      <c r="EE194" s="941"/>
      <c r="EG194" s="938"/>
      <c r="EI194" s="938"/>
      <c r="EK194" s="938"/>
      <c r="EM194" s="938"/>
      <c r="EO194" s="938"/>
      <c r="EQ194" s="938"/>
      <c r="ES194" s="938"/>
      <c r="EU194" s="938"/>
      <c r="EW194" s="938"/>
      <c r="EY194" s="938"/>
      <c r="FA194" s="938"/>
      <c r="FC194" s="938"/>
      <c r="FE194" s="938"/>
      <c r="FG194" s="938"/>
      <c r="FI194" s="938"/>
      <c r="FK194" s="938"/>
      <c r="FM194" s="938"/>
      <c r="FO194" s="938"/>
      <c r="FQ194" s="938"/>
      <c r="FS194" s="938"/>
      <c r="FU194" s="938"/>
      <c r="FW194" s="938"/>
      <c r="FY194" s="938"/>
      <c r="GA194" s="938"/>
      <c r="GC194" s="938"/>
      <c r="GE194" s="938"/>
      <c r="GG194" s="938"/>
      <c r="GI194" s="938"/>
      <c r="GK194" s="938"/>
      <c r="GM194" s="938"/>
      <c r="GO194" s="938"/>
      <c r="GQ194" s="938"/>
      <c r="GS194" s="938"/>
      <c r="GU194" s="938"/>
      <c r="GW194" s="938"/>
      <c r="GY194" s="938"/>
      <c r="HA194" s="938"/>
      <c r="HC194" s="938"/>
      <c r="HE194" s="938"/>
      <c r="HG194" s="938"/>
      <c r="HI194" s="938"/>
      <c r="HK194" s="938"/>
      <c r="HM194" s="938"/>
      <c r="HO194" s="938"/>
      <c r="HQ194" s="938"/>
      <c r="HS194" s="938"/>
      <c r="HU194" s="938"/>
      <c r="HW194" s="938"/>
      <c r="HY194" s="938"/>
      <c r="IA194" s="938"/>
      <c r="IC194" s="938"/>
      <c r="IE194" s="938"/>
      <c r="IG194" s="938"/>
      <c r="II194" s="938"/>
      <c r="IK194" s="938"/>
      <c r="IM194" s="938"/>
      <c r="IO194" s="938"/>
      <c r="IQ194" s="938"/>
      <c r="IS194" s="938"/>
      <c r="IT194" s="932"/>
      <c r="IU194" s="938"/>
      <c r="IW194" s="939"/>
      <c r="IX194" s="938"/>
      <c r="IY194" s="938"/>
      <c r="IZ194" s="938"/>
      <c r="JB194" s="940"/>
      <c r="JC194" s="940"/>
      <c r="JD194" s="940"/>
      <c r="JE194" s="940"/>
      <c r="JF194" s="940"/>
      <c r="JG194" s="940"/>
      <c r="JH194" s="940"/>
      <c r="JI194" s="940"/>
      <c r="JJ194" s="940"/>
      <c r="JK194" s="940"/>
      <c r="JL194" s="940"/>
      <c r="JM194" s="940"/>
      <c r="JN194" s="940"/>
      <c r="JO194" s="940"/>
      <c r="JP194" s="940"/>
      <c r="JQ194" s="940"/>
      <c r="JR194" s="940"/>
      <c r="JS194" s="940"/>
      <c r="JT194" s="940"/>
      <c r="JU194" s="940"/>
      <c r="JV194" s="940"/>
      <c r="JW194" s="940"/>
      <c r="JX194" s="940"/>
      <c r="JY194" s="940"/>
      <c r="JZ194" s="940"/>
      <c r="KA194" s="940"/>
      <c r="KB194" s="940"/>
      <c r="KC194" s="940"/>
      <c r="KD194" s="940"/>
      <c r="KE194" s="940"/>
      <c r="KF194" s="940"/>
      <c r="KG194" s="940"/>
      <c r="KH194" s="940"/>
      <c r="KI194" s="940"/>
      <c r="KJ194" s="940"/>
      <c r="KK194" s="940"/>
      <c r="KL194" s="940"/>
      <c r="KM194" s="940"/>
      <c r="KN194" s="940"/>
      <c r="KO194" s="940"/>
      <c r="KP194" s="940"/>
      <c r="KQ194" s="940"/>
      <c r="KR194" s="940"/>
      <c r="KS194" s="940"/>
      <c r="KT194" s="940"/>
      <c r="KU194" s="940"/>
      <c r="KV194" s="940"/>
      <c r="KW194" s="940"/>
      <c r="KX194" s="940"/>
      <c r="KY194" s="940"/>
      <c r="KZ194" s="940"/>
      <c r="LA194" s="940"/>
      <c r="LB194" s="940"/>
      <c r="LC194" s="940"/>
      <c r="LD194" s="940"/>
      <c r="LE194" s="940"/>
      <c r="LF194" s="940"/>
      <c r="LG194" s="940"/>
      <c r="LH194" s="940"/>
    </row>
    <row r="195" spans="1:356" s="462" customFormat="1" ht="15" hidden="1" customHeight="1" outlineLevel="1" x14ac:dyDescent="0.25">
      <c r="A195" s="1205">
        <v>43710</v>
      </c>
      <c r="B195" s="1205"/>
      <c r="C195" s="463"/>
      <c r="D195" s="461"/>
      <c r="H195" s="932"/>
      <c r="I195" s="37"/>
      <c r="J195" s="932"/>
      <c r="K195" s="37"/>
      <c r="L195" s="932"/>
      <c r="M195" s="37"/>
      <c r="N195" s="932"/>
      <c r="O195" s="37"/>
      <c r="P195" s="932"/>
      <c r="Q195" s="37"/>
      <c r="R195" s="932"/>
      <c r="S195" s="37"/>
      <c r="T195" s="37"/>
      <c r="U195" s="37"/>
      <c r="V195" s="932"/>
      <c r="W195" s="37"/>
      <c r="X195" s="932"/>
      <c r="Y195" s="37"/>
      <c r="Z195" s="932"/>
      <c r="AA195" s="37"/>
      <c r="AB195" s="932"/>
      <c r="AC195" s="37"/>
      <c r="AD195" s="932"/>
      <c r="AE195" s="37"/>
      <c r="AF195" s="932"/>
      <c r="AG195" s="37"/>
      <c r="AH195" s="37"/>
      <c r="AI195" s="37"/>
      <c r="AJ195" s="932"/>
      <c r="AK195" s="37"/>
      <c r="AL195" s="932"/>
      <c r="AM195" s="37"/>
      <c r="AN195" s="932"/>
      <c r="AO195" s="37"/>
      <c r="AP195" s="932"/>
      <c r="AQ195" s="37"/>
      <c r="AR195" s="37"/>
      <c r="AS195" s="37"/>
      <c r="AT195" s="37"/>
      <c r="AU195" s="37"/>
      <c r="AV195" s="37"/>
      <c r="AW195" s="37"/>
      <c r="AX195" s="932"/>
      <c r="AY195" s="37"/>
      <c r="AZ195" s="932"/>
      <c r="BA195" s="37"/>
      <c r="BB195" s="932"/>
      <c r="BC195" s="37"/>
      <c r="BD195" s="932"/>
      <c r="BE195" s="37"/>
      <c r="BF195" s="932"/>
      <c r="BG195" s="37"/>
      <c r="BH195" s="37"/>
      <c r="BI195" s="37"/>
      <c r="BJ195" s="37"/>
      <c r="BK195" s="37"/>
      <c r="BL195" s="932"/>
      <c r="BM195" s="37"/>
      <c r="BN195" s="932"/>
      <c r="BO195" s="37"/>
      <c r="BP195" s="932"/>
      <c r="BQ195" s="37"/>
      <c r="BR195" s="932"/>
      <c r="BS195" s="37"/>
      <c r="BT195" s="932"/>
      <c r="BU195" s="932"/>
      <c r="BV195" s="932"/>
      <c r="BW195" s="932"/>
      <c r="BX195" s="37"/>
      <c r="BY195" s="37"/>
      <c r="BZ195" s="932"/>
      <c r="CA195" s="37"/>
      <c r="CB195" s="932"/>
      <c r="CC195" s="37"/>
      <c r="CD195" s="932"/>
      <c r="CE195" s="37"/>
      <c r="CF195" s="932"/>
      <c r="CG195" s="37"/>
      <c r="CH195" s="932"/>
      <c r="CI195" s="932"/>
      <c r="CJ195" s="932"/>
      <c r="CK195" s="932"/>
      <c r="CL195" s="37"/>
      <c r="CM195" s="37"/>
      <c r="CN195" s="932"/>
      <c r="CO195" s="37"/>
      <c r="CP195" s="932"/>
      <c r="CQ195" s="37"/>
      <c r="CR195" s="932"/>
      <c r="CS195" s="37"/>
      <c r="CT195" s="932"/>
      <c r="CU195" s="37"/>
      <c r="CV195" s="932"/>
      <c r="CW195" s="932"/>
      <c r="CX195" s="932"/>
      <c r="CY195" s="932"/>
      <c r="CZ195" s="37"/>
      <c r="DA195" s="37"/>
      <c r="DB195" s="932"/>
      <c r="DC195" s="37"/>
      <c r="DD195" s="932"/>
      <c r="DE195" s="37"/>
      <c r="DF195" s="932"/>
      <c r="DG195" s="37"/>
      <c r="DH195" s="932"/>
      <c r="DI195" s="37"/>
      <c r="DJ195" s="932"/>
      <c r="DK195" s="932"/>
      <c r="DL195" s="932"/>
      <c r="DM195" s="932"/>
      <c r="DN195" s="37"/>
      <c r="DO195" s="37"/>
      <c r="DP195" s="932"/>
      <c r="DQ195" s="37"/>
      <c r="DR195" s="932"/>
      <c r="DS195" s="37"/>
      <c r="DT195" s="932"/>
      <c r="DU195" s="37"/>
      <c r="DV195" s="932"/>
      <c r="DW195" s="37"/>
      <c r="DX195" s="932"/>
      <c r="DY195" s="932"/>
      <c r="DZ195" s="932"/>
      <c r="EA195" s="932"/>
      <c r="EB195" s="37"/>
      <c r="EC195" s="37"/>
      <c r="EE195" s="941"/>
      <c r="EG195" s="938"/>
      <c r="EI195" s="938"/>
      <c r="EK195" s="938"/>
      <c r="EM195" s="938"/>
      <c r="EO195" s="938"/>
      <c r="EQ195" s="938"/>
      <c r="ES195" s="938"/>
      <c r="EU195" s="938"/>
      <c r="EW195" s="938"/>
      <c r="EY195" s="938"/>
      <c r="FA195" s="938"/>
      <c r="FC195" s="938"/>
      <c r="FE195" s="938"/>
      <c r="FG195" s="938"/>
      <c r="FI195" s="938"/>
      <c r="FK195" s="938"/>
      <c r="FM195" s="938"/>
      <c r="FO195" s="938"/>
      <c r="FQ195" s="938"/>
      <c r="FS195" s="938"/>
      <c r="FU195" s="938"/>
      <c r="FW195" s="938"/>
      <c r="FY195" s="938"/>
      <c r="GA195" s="938"/>
      <c r="GC195" s="938"/>
      <c r="GE195" s="938"/>
      <c r="GG195" s="938"/>
      <c r="GI195" s="938"/>
      <c r="GK195" s="938"/>
      <c r="GM195" s="938"/>
      <c r="GO195" s="938"/>
      <c r="GQ195" s="938"/>
      <c r="GS195" s="938"/>
      <c r="GU195" s="938"/>
      <c r="GW195" s="938"/>
      <c r="GY195" s="938"/>
      <c r="HA195" s="938"/>
      <c r="HC195" s="938"/>
      <c r="HE195" s="938"/>
      <c r="HG195" s="938"/>
      <c r="HI195" s="938"/>
      <c r="HK195" s="938"/>
      <c r="HM195" s="938"/>
      <c r="HO195" s="938"/>
      <c r="HQ195" s="938"/>
      <c r="HS195" s="938"/>
      <c r="HU195" s="938"/>
      <c r="HW195" s="938"/>
      <c r="HY195" s="938"/>
      <c r="IA195" s="938"/>
      <c r="IC195" s="938"/>
      <c r="IE195" s="938"/>
      <c r="IG195" s="938"/>
      <c r="II195" s="938"/>
      <c r="IK195" s="938"/>
      <c r="IM195" s="938"/>
      <c r="IO195" s="938"/>
      <c r="IQ195" s="938"/>
      <c r="IS195" s="938"/>
      <c r="IT195" s="932"/>
      <c r="IU195" s="938"/>
      <c r="IW195" s="939"/>
      <c r="IX195" s="938"/>
      <c r="IY195" s="938"/>
      <c r="IZ195" s="938"/>
      <c r="JB195" s="940"/>
      <c r="JC195" s="940"/>
      <c r="JD195" s="940"/>
      <c r="JE195" s="940"/>
      <c r="JF195" s="940"/>
      <c r="JG195" s="940"/>
      <c r="JH195" s="940"/>
      <c r="JI195" s="940"/>
      <c r="JJ195" s="940"/>
      <c r="JK195" s="940"/>
      <c r="JL195" s="940"/>
      <c r="JM195" s="940"/>
      <c r="JN195" s="940"/>
      <c r="JO195" s="940"/>
      <c r="JP195" s="940"/>
      <c r="JQ195" s="940"/>
      <c r="JR195" s="940"/>
      <c r="JS195" s="940"/>
      <c r="JT195" s="940"/>
      <c r="JU195" s="940"/>
      <c r="JV195" s="940"/>
      <c r="JW195" s="940"/>
      <c r="JX195" s="940"/>
      <c r="JY195" s="940"/>
      <c r="JZ195" s="940"/>
      <c r="KA195" s="940"/>
      <c r="KB195" s="940"/>
      <c r="KC195" s="940"/>
      <c r="KD195" s="940"/>
      <c r="KE195" s="940"/>
      <c r="KF195" s="940"/>
      <c r="KG195" s="940"/>
      <c r="KH195" s="940"/>
      <c r="KI195" s="940"/>
      <c r="KJ195" s="940"/>
      <c r="KK195" s="940"/>
      <c r="KL195" s="940"/>
      <c r="KM195" s="940"/>
      <c r="KN195" s="940"/>
      <c r="KO195" s="940"/>
      <c r="KP195" s="940"/>
      <c r="KQ195" s="940"/>
      <c r="KR195" s="940"/>
      <c r="KS195" s="940"/>
      <c r="KT195" s="940"/>
      <c r="KU195" s="940"/>
      <c r="KV195" s="940"/>
      <c r="KW195" s="940"/>
      <c r="KX195" s="940"/>
      <c r="KY195" s="940"/>
      <c r="KZ195" s="940"/>
      <c r="LA195" s="940"/>
      <c r="LB195" s="940"/>
      <c r="LC195" s="940"/>
      <c r="LD195" s="940"/>
      <c r="LE195" s="940"/>
      <c r="LF195" s="940"/>
      <c r="LG195" s="940"/>
      <c r="LH195" s="940"/>
    </row>
    <row r="196" spans="1:356" s="462" customFormat="1" ht="15" hidden="1" customHeight="1" outlineLevel="1" x14ac:dyDescent="0.25">
      <c r="A196" s="1205">
        <v>43780</v>
      </c>
      <c r="B196" s="1205"/>
      <c r="C196" s="463"/>
      <c r="D196" s="461"/>
      <c r="H196" s="932"/>
      <c r="I196" s="37"/>
      <c r="J196" s="932"/>
      <c r="K196" s="37"/>
      <c r="L196" s="932"/>
      <c r="M196" s="37"/>
      <c r="N196" s="932"/>
      <c r="O196" s="37"/>
      <c r="P196" s="932"/>
      <c r="Q196" s="37"/>
      <c r="R196" s="932"/>
      <c r="S196" s="37"/>
      <c r="T196" s="37"/>
      <c r="U196" s="37"/>
      <c r="V196" s="932"/>
      <c r="W196" s="37"/>
      <c r="X196" s="932"/>
      <c r="Y196" s="37"/>
      <c r="Z196" s="932"/>
      <c r="AA196" s="37"/>
      <c r="AB196" s="932"/>
      <c r="AC196" s="37"/>
      <c r="AD196" s="932"/>
      <c r="AE196" s="37"/>
      <c r="AF196" s="932"/>
      <c r="AG196" s="37"/>
      <c r="AH196" s="37"/>
      <c r="AI196" s="37"/>
      <c r="AJ196" s="932"/>
      <c r="AK196" s="37"/>
      <c r="AL196" s="932"/>
      <c r="AM196" s="37"/>
      <c r="AN196" s="932"/>
      <c r="AO196" s="37"/>
      <c r="AP196" s="932"/>
      <c r="AQ196" s="37"/>
      <c r="AR196" s="37"/>
      <c r="AS196" s="37"/>
      <c r="AT196" s="37"/>
      <c r="AU196" s="37"/>
      <c r="AV196" s="37"/>
      <c r="AW196" s="37"/>
      <c r="AX196" s="932"/>
      <c r="AY196" s="37"/>
      <c r="AZ196" s="932"/>
      <c r="BA196" s="37"/>
      <c r="BB196" s="932"/>
      <c r="BC196" s="37"/>
      <c r="BD196" s="932"/>
      <c r="BE196" s="37"/>
      <c r="BF196" s="932"/>
      <c r="BG196" s="37"/>
      <c r="BH196" s="37"/>
      <c r="BI196" s="37"/>
      <c r="BJ196" s="37"/>
      <c r="BK196" s="37"/>
      <c r="BL196" s="932"/>
      <c r="BM196" s="37"/>
      <c r="BN196" s="932"/>
      <c r="BO196" s="37"/>
      <c r="BP196" s="932"/>
      <c r="BQ196" s="37"/>
      <c r="BR196" s="932"/>
      <c r="BS196" s="37"/>
      <c r="BT196" s="932"/>
      <c r="BU196" s="932"/>
      <c r="BV196" s="932"/>
      <c r="BW196" s="932"/>
      <c r="BX196" s="37"/>
      <c r="BY196" s="37"/>
      <c r="BZ196" s="932"/>
      <c r="CA196" s="37"/>
      <c r="CB196" s="932"/>
      <c r="CC196" s="37"/>
      <c r="CD196" s="932"/>
      <c r="CE196" s="37"/>
      <c r="CF196" s="932"/>
      <c r="CG196" s="37"/>
      <c r="CH196" s="932"/>
      <c r="CI196" s="932"/>
      <c r="CJ196" s="932"/>
      <c r="CK196" s="932"/>
      <c r="CL196" s="37"/>
      <c r="CM196" s="37"/>
      <c r="CN196" s="932"/>
      <c r="CO196" s="37"/>
      <c r="CP196" s="932"/>
      <c r="CQ196" s="37"/>
      <c r="CR196" s="932"/>
      <c r="CS196" s="37"/>
      <c r="CT196" s="932"/>
      <c r="CU196" s="37"/>
      <c r="CV196" s="932"/>
      <c r="CW196" s="932"/>
      <c r="CX196" s="932"/>
      <c r="CY196" s="932"/>
      <c r="CZ196" s="37"/>
      <c r="DA196" s="37"/>
      <c r="DB196" s="932"/>
      <c r="DC196" s="37"/>
      <c r="DD196" s="932"/>
      <c r="DE196" s="37"/>
      <c r="DF196" s="932"/>
      <c r="DG196" s="37"/>
      <c r="DH196" s="932"/>
      <c r="DI196" s="37"/>
      <c r="DJ196" s="932"/>
      <c r="DK196" s="932"/>
      <c r="DL196" s="932"/>
      <c r="DM196" s="932"/>
      <c r="DN196" s="37"/>
      <c r="DO196" s="37"/>
      <c r="DP196" s="932"/>
      <c r="DQ196" s="37"/>
      <c r="DR196" s="932"/>
      <c r="DS196" s="37"/>
      <c r="DT196" s="932"/>
      <c r="DU196" s="37"/>
      <c r="DV196" s="932"/>
      <c r="DW196" s="37"/>
      <c r="DX196" s="932"/>
      <c r="DY196" s="932"/>
      <c r="DZ196" s="932"/>
      <c r="EA196" s="932"/>
      <c r="EB196" s="37"/>
      <c r="EC196" s="37"/>
      <c r="EE196" s="941"/>
      <c r="EG196" s="938"/>
      <c r="EI196" s="938"/>
      <c r="EK196" s="938"/>
      <c r="EM196" s="938"/>
      <c r="EO196" s="938"/>
      <c r="EQ196" s="938"/>
      <c r="ES196" s="938"/>
      <c r="EU196" s="938"/>
      <c r="EW196" s="938"/>
      <c r="EY196" s="938"/>
      <c r="FA196" s="938"/>
      <c r="FC196" s="938"/>
      <c r="FE196" s="938"/>
      <c r="FG196" s="938"/>
      <c r="FI196" s="938"/>
      <c r="FK196" s="938"/>
      <c r="FM196" s="938"/>
      <c r="FO196" s="938"/>
      <c r="FQ196" s="938"/>
      <c r="FS196" s="938"/>
      <c r="FU196" s="938"/>
      <c r="FW196" s="938"/>
      <c r="FY196" s="938"/>
      <c r="GA196" s="938"/>
      <c r="GC196" s="938"/>
      <c r="GE196" s="938"/>
      <c r="GG196" s="938"/>
      <c r="GI196" s="938"/>
      <c r="GK196" s="938"/>
      <c r="GM196" s="938"/>
      <c r="GO196" s="938"/>
      <c r="GQ196" s="938"/>
      <c r="GS196" s="938"/>
      <c r="GU196" s="938"/>
      <c r="GW196" s="938"/>
      <c r="GY196" s="938"/>
      <c r="HA196" s="938"/>
      <c r="HC196" s="938"/>
      <c r="HE196" s="938"/>
      <c r="HG196" s="938"/>
      <c r="HI196" s="938"/>
      <c r="HK196" s="938"/>
      <c r="HM196" s="938"/>
      <c r="HO196" s="938"/>
      <c r="HQ196" s="938"/>
      <c r="HS196" s="938"/>
      <c r="HU196" s="938"/>
      <c r="HW196" s="938"/>
      <c r="HY196" s="938"/>
      <c r="IA196" s="938"/>
      <c r="IC196" s="938"/>
      <c r="IE196" s="938"/>
      <c r="IG196" s="938"/>
      <c r="II196" s="938"/>
      <c r="IK196" s="938"/>
      <c r="IM196" s="938"/>
      <c r="IO196" s="938"/>
      <c r="IQ196" s="938"/>
      <c r="IS196" s="938"/>
      <c r="IT196" s="932"/>
      <c r="IU196" s="938"/>
      <c r="IW196" s="939"/>
      <c r="IX196" s="938"/>
      <c r="IY196" s="938"/>
      <c r="IZ196" s="938"/>
      <c r="JB196" s="940"/>
      <c r="JC196" s="940"/>
      <c r="JD196" s="940"/>
      <c r="JE196" s="940"/>
      <c r="JF196" s="940"/>
      <c r="JG196" s="940"/>
      <c r="JH196" s="940"/>
      <c r="JI196" s="940"/>
      <c r="JJ196" s="940"/>
      <c r="JK196" s="940"/>
      <c r="JL196" s="940"/>
      <c r="JM196" s="940"/>
      <c r="JN196" s="940"/>
      <c r="JO196" s="940"/>
      <c r="JP196" s="940"/>
      <c r="JQ196" s="940"/>
      <c r="JR196" s="940"/>
      <c r="JS196" s="940"/>
      <c r="JT196" s="940"/>
      <c r="JU196" s="940"/>
      <c r="JV196" s="940"/>
      <c r="JW196" s="940"/>
      <c r="JX196" s="940"/>
      <c r="JY196" s="940"/>
      <c r="JZ196" s="940"/>
      <c r="KA196" s="940"/>
      <c r="KB196" s="940"/>
      <c r="KC196" s="940"/>
      <c r="KD196" s="940"/>
      <c r="KE196" s="940"/>
      <c r="KF196" s="940"/>
      <c r="KG196" s="940"/>
      <c r="KH196" s="940"/>
      <c r="KI196" s="940"/>
      <c r="KJ196" s="940"/>
      <c r="KK196" s="940"/>
      <c r="KL196" s="940"/>
      <c r="KM196" s="940"/>
      <c r="KN196" s="940"/>
      <c r="KO196" s="940"/>
      <c r="KP196" s="940"/>
      <c r="KQ196" s="940"/>
      <c r="KR196" s="940"/>
      <c r="KS196" s="940"/>
      <c r="KT196" s="940"/>
      <c r="KU196" s="940"/>
      <c r="KV196" s="940"/>
      <c r="KW196" s="940"/>
      <c r="KX196" s="940"/>
      <c r="KY196" s="940"/>
      <c r="KZ196" s="940"/>
      <c r="LA196" s="940"/>
      <c r="LB196" s="940"/>
      <c r="LC196" s="940"/>
      <c r="LD196" s="940"/>
      <c r="LE196" s="940"/>
      <c r="LF196" s="940"/>
      <c r="LG196" s="940"/>
      <c r="LH196" s="940"/>
    </row>
    <row r="197" spans="1:356" s="462" customFormat="1" ht="15" hidden="1" customHeight="1" outlineLevel="1" x14ac:dyDescent="0.25">
      <c r="A197" s="1205">
        <v>43797</v>
      </c>
      <c r="B197" s="1205"/>
      <c r="C197" s="463"/>
      <c r="D197" s="461"/>
      <c r="H197" s="932"/>
      <c r="I197" s="37"/>
      <c r="J197" s="932"/>
      <c r="K197" s="37"/>
      <c r="L197" s="932"/>
      <c r="M197" s="37"/>
      <c r="N197" s="932"/>
      <c r="O197" s="37"/>
      <c r="P197" s="932"/>
      <c r="Q197" s="37"/>
      <c r="R197" s="932"/>
      <c r="S197" s="37"/>
      <c r="T197" s="37"/>
      <c r="U197" s="37"/>
      <c r="V197" s="932"/>
      <c r="W197" s="37"/>
      <c r="X197" s="932"/>
      <c r="Y197" s="37"/>
      <c r="Z197" s="932"/>
      <c r="AA197" s="37"/>
      <c r="AB197" s="932"/>
      <c r="AC197" s="37"/>
      <c r="AD197" s="932"/>
      <c r="AE197" s="37"/>
      <c r="AF197" s="932"/>
      <c r="AG197" s="37"/>
      <c r="AH197" s="37"/>
      <c r="AI197" s="37"/>
      <c r="AJ197" s="932"/>
      <c r="AK197" s="37"/>
      <c r="AL197" s="932"/>
      <c r="AM197" s="37"/>
      <c r="AN197" s="932"/>
      <c r="AO197" s="37"/>
      <c r="AP197" s="932"/>
      <c r="AQ197" s="37"/>
      <c r="AR197" s="37"/>
      <c r="AS197" s="37"/>
      <c r="AT197" s="37"/>
      <c r="AU197" s="37"/>
      <c r="AV197" s="37"/>
      <c r="AW197" s="37"/>
      <c r="AX197" s="932"/>
      <c r="AY197" s="37"/>
      <c r="AZ197" s="932"/>
      <c r="BA197" s="37"/>
      <c r="BB197" s="932"/>
      <c r="BC197" s="37"/>
      <c r="BD197" s="932"/>
      <c r="BE197" s="37"/>
      <c r="BF197" s="932"/>
      <c r="BG197" s="37"/>
      <c r="BH197" s="37"/>
      <c r="BI197" s="37"/>
      <c r="BJ197" s="37"/>
      <c r="BK197" s="37"/>
      <c r="BL197" s="932"/>
      <c r="BM197" s="37"/>
      <c r="BN197" s="932"/>
      <c r="BO197" s="37"/>
      <c r="BP197" s="932"/>
      <c r="BQ197" s="37"/>
      <c r="BR197" s="932"/>
      <c r="BS197" s="37"/>
      <c r="BT197" s="932"/>
      <c r="BU197" s="932"/>
      <c r="BV197" s="932"/>
      <c r="BW197" s="932"/>
      <c r="BX197" s="37"/>
      <c r="BY197" s="37"/>
      <c r="BZ197" s="932"/>
      <c r="CA197" s="37"/>
      <c r="CB197" s="932"/>
      <c r="CC197" s="37"/>
      <c r="CD197" s="932"/>
      <c r="CE197" s="37"/>
      <c r="CF197" s="932"/>
      <c r="CG197" s="37"/>
      <c r="CH197" s="932"/>
      <c r="CI197" s="932"/>
      <c r="CJ197" s="932"/>
      <c r="CK197" s="932"/>
      <c r="CL197" s="37"/>
      <c r="CM197" s="37"/>
      <c r="CN197" s="932"/>
      <c r="CO197" s="37"/>
      <c r="CP197" s="932"/>
      <c r="CQ197" s="37"/>
      <c r="CR197" s="932"/>
      <c r="CS197" s="37"/>
      <c r="CT197" s="932"/>
      <c r="CU197" s="37"/>
      <c r="CV197" s="932"/>
      <c r="CW197" s="932"/>
      <c r="CX197" s="932"/>
      <c r="CY197" s="932"/>
      <c r="CZ197" s="37"/>
      <c r="DA197" s="37"/>
      <c r="DB197" s="932"/>
      <c r="DC197" s="37"/>
      <c r="DD197" s="932"/>
      <c r="DE197" s="37"/>
      <c r="DF197" s="932"/>
      <c r="DG197" s="37"/>
      <c r="DH197" s="932"/>
      <c r="DI197" s="37"/>
      <c r="DJ197" s="932"/>
      <c r="DK197" s="932"/>
      <c r="DL197" s="932"/>
      <c r="DM197" s="932"/>
      <c r="DN197" s="37"/>
      <c r="DO197" s="37"/>
      <c r="DP197" s="932"/>
      <c r="DQ197" s="37"/>
      <c r="DR197" s="932"/>
      <c r="DS197" s="37"/>
      <c r="DT197" s="932"/>
      <c r="DU197" s="37"/>
      <c r="DV197" s="932"/>
      <c r="DW197" s="37"/>
      <c r="DX197" s="932"/>
      <c r="DY197" s="932"/>
      <c r="DZ197" s="932"/>
      <c r="EA197" s="932"/>
      <c r="EB197" s="37"/>
      <c r="EC197" s="37"/>
      <c r="EE197" s="941"/>
      <c r="EG197" s="938"/>
      <c r="EI197" s="938"/>
      <c r="EK197" s="938"/>
      <c r="EM197" s="938"/>
      <c r="EO197" s="938"/>
      <c r="EQ197" s="938"/>
      <c r="ES197" s="938"/>
      <c r="EU197" s="938"/>
      <c r="EW197" s="938"/>
      <c r="EY197" s="938"/>
      <c r="FA197" s="938"/>
      <c r="FC197" s="938"/>
      <c r="FE197" s="938"/>
      <c r="FG197" s="938"/>
      <c r="FI197" s="938"/>
      <c r="FK197" s="938"/>
      <c r="FM197" s="938"/>
      <c r="FO197" s="938"/>
      <c r="FQ197" s="938"/>
      <c r="FS197" s="938"/>
      <c r="FU197" s="938"/>
      <c r="FW197" s="938"/>
      <c r="FY197" s="938"/>
      <c r="GA197" s="938"/>
      <c r="GC197" s="938"/>
      <c r="GE197" s="938"/>
      <c r="GG197" s="938"/>
      <c r="GI197" s="938"/>
      <c r="GK197" s="938"/>
      <c r="GM197" s="938"/>
      <c r="GO197" s="938"/>
      <c r="GQ197" s="938"/>
      <c r="GS197" s="938"/>
      <c r="GU197" s="938"/>
      <c r="GW197" s="938"/>
      <c r="GY197" s="938"/>
      <c r="HA197" s="938"/>
      <c r="HC197" s="938"/>
      <c r="HE197" s="938"/>
      <c r="HG197" s="938"/>
      <c r="HI197" s="938"/>
      <c r="HK197" s="938"/>
      <c r="HM197" s="938"/>
      <c r="HO197" s="938"/>
      <c r="HQ197" s="938"/>
      <c r="HS197" s="938"/>
      <c r="HU197" s="938"/>
      <c r="HW197" s="938"/>
      <c r="HY197" s="938"/>
      <c r="IA197" s="938"/>
      <c r="IC197" s="938"/>
      <c r="IE197" s="938"/>
      <c r="IG197" s="938"/>
      <c r="II197" s="938"/>
      <c r="IK197" s="938"/>
      <c r="IM197" s="938"/>
      <c r="IO197" s="938"/>
      <c r="IQ197" s="938"/>
      <c r="IS197" s="938"/>
      <c r="IT197" s="932"/>
      <c r="IU197" s="938"/>
      <c r="IW197" s="939"/>
      <c r="IX197" s="938"/>
      <c r="IY197" s="938"/>
      <c r="IZ197" s="938"/>
      <c r="JB197" s="940"/>
      <c r="JC197" s="940"/>
      <c r="JD197" s="940"/>
      <c r="JE197" s="940"/>
      <c r="JF197" s="940"/>
      <c r="JG197" s="940"/>
      <c r="JH197" s="940"/>
      <c r="JI197" s="940"/>
      <c r="JJ197" s="940"/>
      <c r="JK197" s="940"/>
      <c r="JL197" s="940"/>
      <c r="JM197" s="940"/>
      <c r="JN197" s="940"/>
      <c r="JO197" s="940"/>
      <c r="JP197" s="940"/>
      <c r="JQ197" s="940"/>
      <c r="JR197" s="940"/>
      <c r="JS197" s="940"/>
      <c r="JT197" s="940"/>
      <c r="JU197" s="940"/>
      <c r="JV197" s="940"/>
      <c r="JW197" s="940"/>
      <c r="JX197" s="940"/>
      <c r="JY197" s="940"/>
      <c r="JZ197" s="940"/>
      <c r="KA197" s="940"/>
      <c r="KB197" s="940"/>
      <c r="KC197" s="940"/>
      <c r="KD197" s="940"/>
      <c r="KE197" s="940"/>
      <c r="KF197" s="940"/>
      <c r="KG197" s="940"/>
      <c r="KH197" s="940"/>
      <c r="KI197" s="940"/>
      <c r="KJ197" s="940"/>
      <c r="KK197" s="940"/>
      <c r="KL197" s="940"/>
      <c r="KM197" s="940"/>
      <c r="KN197" s="940"/>
      <c r="KO197" s="940"/>
      <c r="KP197" s="940"/>
      <c r="KQ197" s="940"/>
      <c r="KR197" s="940"/>
      <c r="KS197" s="940"/>
      <c r="KT197" s="940"/>
      <c r="KU197" s="940"/>
      <c r="KV197" s="940"/>
      <c r="KW197" s="940"/>
      <c r="KX197" s="940"/>
      <c r="KY197" s="940"/>
      <c r="KZ197" s="940"/>
      <c r="LA197" s="940"/>
      <c r="LB197" s="940"/>
      <c r="LC197" s="940"/>
      <c r="LD197" s="940"/>
      <c r="LE197" s="940"/>
      <c r="LF197" s="940"/>
      <c r="LG197" s="940"/>
      <c r="LH197" s="940"/>
    </row>
    <row r="198" spans="1:356" s="462" customFormat="1" ht="15" hidden="1" customHeight="1" outlineLevel="1" x14ac:dyDescent="0.25">
      <c r="A198" s="1205">
        <v>43798</v>
      </c>
      <c r="B198" s="1205"/>
      <c r="C198" s="463"/>
      <c r="D198" s="461"/>
      <c r="H198" s="932"/>
      <c r="I198" s="37"/>
      <c r="J198" s="932"/>
      <c r="K198" s="37"/>
      <c r="L198" s="932"/>
      <c r="M198" s="37"/>
      <c r="N198" s="932"/>
      <c r="O198" s="37"/>
      <c r="P198" s="932"/>
      <c r="Q198" s="37"/>
      <c r="R198" s="932"/>
      <c r="S198" s="37"/>
      <c r="T198" s="37"/>
      <c r="U198" s="37"/>
      <c r="V198" s="932"/>
      <c r="W198" s="37"/>
      <c r="X198" s="932"/>
      <c r="Y198" s="37"/>
      <c r="Z198" s="932"/>
      <c r="AA198" s="37"/>
      <c r="AB198" s="932"/>
      <c r="AC198" s="37"/>
      <c r="AD198" s="932"/>
      <c r="AE198" s="37"/>
      <c r="AF198" s="932"/>
      <c r="AG198" s="37"/>
      <c r="AH198" s="37"/>
      <c r="AI198" s="37"/>
      <c r="AJ198" s="932"/>
      <c r="AK198" s="37"/>
      <c r="AL198" s="932"/>
      <c r="AM198" s="37"/>
      <c r="AN198" s="932"/>
      <c r="AO198" s="37"/>
      <c r="AP198" s="932"/>
      <c r="AQ198" s="37"/>
      <c r="AR198" s="37"/>
      <c r="AS198" s="37"/>
      <c r="AT198" s="37"/>
      <c r="AU198" s="37"/>
      <c r="AV198" s="37"/>
      <c r="AW198" s="37"/>
      <c r="AX198" s="932"/>
      <c r="AY198" s="37"/>
      <c r="AZ198" s="932"/>
      <c r="BA198" s="37"/>
      <c r="BB198" s="932"/>
      <c r="BC198" s="37"/>
      <c r="BD198" s="932"/>
      <c r="BE198" s="37"/>
      <c r="BF198" s="932"/>
      <c r="BG198" s="37"/>
      <c r="BH198" s="37"/>
      <c r="BI198" s="37"/>
      <c r="BJ198" s="37"/>
      <c r="BK198" s="37"/>
      <c r="BL198" s="932"/>
      <c r="BM198" s="37"/>
      <c r="BN198" s="932"/>
      <c r="BO198" s="37"/>
      <c r="BP198" s="932"/>
      <c r="BQ198" s="37"/>
      <c r="BR198" s="932"/>
      <c r="BS198" s="37"/>
      <c r="BT198" s="932"/>
      <c r="BU198" s="932"/>
      <c r="BV198" s="932"/>
      <c r="BW198" s="932"/>
      <c r="BX198" s="37"/>
      <c r="BY198" s="37"/>
      <c r="BZ198" s="932"/>
      <c r="CA198" s="37"/>
      <c r="CB198" s="932"/>
      <c r="CC198" s="37"/>
      <c r="CD198" s="932"/>
      <c r="CE198" s="37"/>
      <c r="CF198" s="932"/>
      <c r="CG198" s="37"/>
      <c r="CH198" s="932"/>
      <c r="CI198" s="932"/>
      <c r="CJ198" s="932"/>
      <c r="CK198" s="932"/>
      <c r="CL198" s="37"/>
      <c r="CM198" s="37"/>
      <c r="CN198" s="932"/>
      <c r="CO198" s="37"/>
      <c r="CP198" s="932"/>
      <c r="CQ198" s="37"/>
      <c r="CR198" s="932"/>
      <c r="CS198" s="37"/>
      <c r="CT198" s="932"/>
      <c r="CU198" s="37"/>
      <c r="CV198" s="932"/>
      <c r="CW198" s="932"/>
      <c r="CX198" s="932"/>
      <c r="CY198" s="932"/>
      <c r="CZ198" s="37"/>
      <c r="DA198" s="37"/>
      <c r="DB198" s="932"/>
      <c r="DC198" s="37"/>
      <c r="DD198" s="932"/>
      <c r="DE198" s="37"/>
      <c r="DF198" s="932"/>
      <c r="DG198" s="37"/>
      <c r="DH198" s="932"/>
      <c r="DI198" s="37"/>
      <c r="DJ198" s="932"/>
      <c r="DK198" s="932"/>
      <c r="DL198" s="932"/>
      <c r="DM198" s="932"/>
      <c r="DN198" s="37"/>
      <c r="DO198" s="37"/>
      <c r="DP198" s="932"/>
      <c r="DQ198" s="37"/>
      <c r="DR198" s="932"/>
      <c r="DS198" s="37"/>
      <c r="DT198" s="932"/>
      <c r="DU198" s="37"/>
      <c r="DV198" s="932"/>
      <c r="DW198" s="37"/>
      <c r="DX198" s="932"/>
      <c r="DY198" s="932"/>
      <c r="DZ198" s="932"/>
      <c r="EA198" s="932"/>
      <c r="EB198" s="37"/>
      <c r="EC198" s="37"/>
      <c r="EE198" s="941"/>
      <c r="EG198" s="938"/>
      <c r="EI198" s="938"/>
      <c r="EK198" s="938"/>
      <c r="EM198" s="938"/>
      <c r="EO198" s="938"/>
      <c r="EQ198" s="938"/>
      <c r="ES198" s="938"/>
      <c r="EU198" s="938"/>
      <c r="EW198" s="938"/>
      <c r="EY198" s="938"/>
      <c r="FA198" s="938"/>
      <c r="FC198" s="938"/>
      <c r="FE198" s="938"/>
      <c r="FG198" s="938"/>
      <c r="FI198" s="938"/>
      <c r="FK198" s="938"/>
      <c r="FM198" s="938"/>
      <c r="FO198" s="938"/>
      <c r="FQ198" s="938"/>
      <c r="FS198" s="938"/>
      <c r="FU198" s="938"/>
      <c r="FW198" s="938"/>
      <c r="FY198" s="938"/>
      <c r="GA198" s="938"/>
      <c r="GC198" s="938"/>
      <c r="GE198" s="938"/>
      <c r="GG198" s="938"/>
      <c r="GI198" s="938"/>
      <c r="GK198" s="938"/>
      <c r="GM198" s="938"/>
      <c r="GO198" s="938"/>
      <c r="GQ198" s="938"/>
      <c r="GS198" s="938"/>
      <c r="GU198" s="938"/>
      <c r="GW198" s="938"/>
      <c r="GY198" s="938"/>
      <c r="HA198" s="938"/>
      <c r="HC198" s="938"/>
      <c r="HE198" s="938"/>
      <c r="HG198" s="938"/>
      <c r="HI198" s="938"/>
      <c r="HK198" s="938"/>
      <c r="HM198" s="938"/>
      <c r="HO198" s="938"/>
      <c r="HQ198" s="938"/>
      <c r="HS198" s="938"/>
      <c r="HU198" s="938"/>
      <c r="HW198" s="938"/>
      <c r="HY198" s="938"/>
      <c r="IA198" s="938"/>
      <c r="IC198" s="938"/>
      <c r="IE198" s="938"/>
      <c r="IG198" s="938"/>
      <c r="II198" s="938"/>
      <c r="IK198" s="938"/>
      <c r="IM198" s="938"/>
      <c r="IO198" s="938"/>
      <c r="IQ198" s="938"/>
      <c r="IS198" s="938"/>
      <c r="IT198" s="932"/>
      <c r="IU198" s="938"/>
      <c r="IW198" s="939"/>
      <c r="IX198" s="938"/>
      <c r="IY198" s="938"/>
      <c r="IZ198" s="938"/>
      <c r="JB198" s="940"/>
      <c r="JC198" s="940"/>
      <c r="JD198" s="940"/>
      <c r="JE198" s="940"/>
      <c r="JF198" s="940"/>
      <c r="JG198" s="940"/>
      <c r="JH198" s="940"/>
      <c r="JI198" s="940"/>
      <c r="JJ198" s="940"/>
      <c r="JK198" s="940"/>
      <c r="JL198" s="940"/>
      <c r="JM198" s="940"/>
      <c r="JN198" s="940"/>
      <c r="JO198" s="940"/>
      <c r="JP198" s="940"/>
      <c r="JQ198" s="940"/>
      <c r="JR198" s="940"/>
      <c r="JS198" s="940"/>
      <c r="JT198" s="940"/>
      <c r="JU198" s="940"/>
      <c r="JV198" s="940"/>
      <c r="JW198" s="940"/>
      <c r="JX198" s="940"/>
      <c r="JY198" s="940"/>
      <c r="JZ198" s="940"/>
      <c r="KA198" s="940"/>
      <c r="KB198" s="940"/>
      <c r="KC198" s="940"/>
      <c r="KD198" s="940"/>
      <c r="KE198" s="940"/>
      <c r="KF198" s="940"/>
      <c r="KG198" s="940"/>
      <c r="KH198" s="940"/>
      <c r="KI198" s="940"/>
      <c r="KJ198" s="940"/>
      <c r="KK198" s="940"/>
      <c r="KL198" s="940"/>
      <c r="KM198" s="940"/>
      <c r="KN198" s="940"/>
      <c r="KO198" s="940"/>
      <c r="KP198" s="940"/>
      <c r="KQ198" s="940"/>
      <c r="KR198" s="940"/>
      <c r="KS198" s="940"/>
      <c r="KT198" s="940"/>
      <c r="KU198" s="940"/>
      <c r="KV198" s="940"/>
      <c r="KW198" s="940"/>
      <c r="KX198" s="940"/>
      <c r="KY198" s="940"/>
      <c r="KZ198" s="940"/>
      <c r="LA198" s="940"/>
      <c r="LB198" s="940"/>
      <c r="LC198" s="940"/>
      <c r="LD198" s="940"/>
      <c r="LE198" s="940"/>
      <c r="LF198" s="940"/>
      <c r="LG198" s="940"/>
      <c r="LH198" s="940"/>
    </row>
    <row r="199" spans="1:356" s="462" customFormat="1" ht="15" hidden="1" customHeight="1" outlineLevel="1" x14ac:dyDescent="0.25">
      <c r="A199" s="1205">
        <v>43823</v>
      </c>
      <c r="B199" s="1205"/>
      <c r="C199" s="463"/>
      <c r="D199" s="461"/>
      <c r="H199" s="932"/>
      <c r="I199" s="37"/>
      <c r="J199" s="932"/>
      <c r="K199" s="37"/>
      <c r="L199" s="932"/>
      <c r="M199" s="37"/>
      <c r="N199" s="932"/>
      <c r="O199" s="37"/>
      <c r="P199" s="932"/>
      <c r="Q199" s="37"/>
      <c r="R199" s="932"/>
      <c r="S199" s="37"/>
      <c r="T199" s="37"/>
      <c r="U199" s="37"/>
      <c r="V199" s="932"/>
      <c r="W199" s="37"/>
      <c r="X199" s="932"/>
      <c r="Y199" s="37"/>
      <c r="Z199" s="932"/>
      <c r="AA199" s="37"/>
      <c r="AB199" s="932"/>
      <c r="AC199" s="37"/>
      <c r="AD199" s="932"/>
      <c r="AE199" s="37"/>
      <c r="AF199" s="932"/>
      <c r="AG199" s="37"/>
      <c r="AH199" s="37"/>
      <c r="AI199" s="37"/>
      <c r="AJ199" s="932"/>
      <c r="AK199" s="37"/>
      <c r="AL199" s="932"/>
      <c r="AM199" s="37"/>
      <c r="AN199" s="932"/>
      <c r="AO199" s="37"/>
      <c r="AP199" s="932"/>
      <c r="AQ199" s="37"/>
      <c r="AR199" s="37"/>
      <c r="AS199" s="37"/>
      <c r="AT199" s="37"/>
      <c r="AU199" s="37"/>
      <c r="AV199" s="37"/>
      <c r="AW199" s="37"/>
      <c r="AX199" s="932"/>
      <c r="AY199" s="37"/>
      <c r="AZ199" s="932"/>
      <c r="BA199" s="37"/>
      <c r="BB199" s="932"/>
      <c r="BC199" s="37"/>
      <c r="BD199" s="932"/>
      <c r="BE199" s="37"/>
      <c r="BF199" s="932"/>
      <c r="BG199" s="37"/>
      <c r="BH199" s="37"/>
      <c r="BI199" s="37"/>
      <c r="BJ199" s="37"/>
      <c r="BK199" s="37"/>
      <c r="BL199" s="932"/>
      <c r="BM199" s="37"/>
      <c r="BN199" s="932"/>
      <c r="BO199" s="37"/>
      <c r="BP199" s="932"/>
      <c r="BQ199" s="37"/>
      <c r="BR199" s="932"/>
      <c r="BS199" s="37"/>
      <c r="BT199" s="932"/>
      <c r="BU199" s="932"/>
      <c r="BV199" s="932"/>
      <c r="BW199" s="932"/>
      <c r="BX199" s="37"/>
      <c r="BY199" s="37"/>
      <c r="BZ199" s="932"/>
      <c r="CA199" s="37"/>
      <c r="CB199" s="932"/>
      <c r="CC199" s="37"/>
      <c r="CD199" s="932"/>
      <c r="CE199" s="37"/>
      <c r="CF199" s="932"/>
      <c r="CG199" s="37"/>
      <c r="CH199" s="932"/>
      <c r="CI199" s="932"/>
      <c r="CJ199" s="932"/>
      <c r="CK199" s="932"/>
      <c r="CL199" s="37"/>
      <c r="CM199" s="37"/>
      <c r="CN199" s="932"/>
      <c r="CO199" s="37"/>
      <c r="CP199" s="932"/>
      <c r="CQ199" s="37"/>
      <c r="CR199" s="932"/>
      <c r="CS199" s="37"/>
      <c r="CT199" s="932"/>
      <c r="CU199" s="37"/>
      <c r="CV199" s="932"/>
      <c r="CW199" s="932"/>
      <c r="CX199" s="932"/>
      <c r="CY199" s="932"/>
      <c r="CZ199" s="37"/>
      <c r="DA199" s="37"/>
      <c r="DB199" s="932"/>
      <c r="DC199" s="37"/>
      <c r="DD199" s="932"/>
      <c r="DE199" s="37"/>
      <c r="DF199" s="932"/>
      <c r="DG199" s="37"/>
      <c r="DH199" s="932"/>
      <c r="DI199" s="37"/>
      <c r="DJ199" s="932"/>
      <c r="DK199" s="932"/>
      <c r="DL199" s="932"/>
      <c r="DM199" s="932"/>
      <c r="DN199" s="37"/>
      <c r="DO199" s="37"/>
      <c r="DP199" s="932"/>
      <c r="DQ199" s="37"/>
      <c r="DR199" s="932"/>
      <c r="DS199" s="37"/>
      <c r="DT199" s="932"/>
      <c r="DU199" s="37"/>
      <c r="DV199" s="932"/>
      <c r="DW199" s="37"/>
      <c r="DX199" s="932"/>
      <c r="DY199" s="932"/>
      <c r="DZ199" s="932"/>
      <c r="EA199" s="932"/>
      <c r="EB199" s="37"/>
      <c r="EC199" s="37"/>
      <c r="EE199" s="941"/>
      <c r="EG199" s="938"/>
      <c r="EI199" s="938"/>
      <c r="EK199" s="938"/>
      <c r="EM199" s="938"/>
      <c r="EO199" s="938"/>
      <c r="EQ199" s="938"/>
      <c r="ES199" s="938"/>
      <c r="EU199" s="938"/>
      <c r="EW199" s="938"/>
      <c r="EY199" s="938"/>
      <c r="FA199" s="938"/>
      <c r="FC199" s="938"/>
      <c r="FE199" s="938"/>
      <c r="FG199" s="938"/>
      <c r="FI199" s="938"/>
      <c r="FK199" s="938"/>
      <c r="FM199" s="938"/>
      <c r="FO199" s="938"/>
      <c r="FQ199" s="938"/>
      <c r="FS199" s="938"/>
      <c r="FU199" s="938"/>
      <c r="FW199" s="938"/>
      <c r="FY199" s="938"/>
      <c r="GA199" s="938"/>
      <c r="GC199" s="938"/>
      <c r="GE199" s="938"/>
      <c r="GG199" s="938"/>
      <c r="GI199" s="938"/>
      <c r="GK199" s="938"/>
      <c r="GM199" s="938"/>
      <c r="GO199" s="938"/>
      <c r="GQ199" s="938"/>
      <c r="GS199" s="938"/>
      <c r="GU199" s="938"/>
      <c r="GW199" s="938"/>
      <c r="GY199" s="938"/>
      <c r="HA199" s="938"/>
      <c r="HC199" s="938"/>
      <c r="HE199" s="938"/>
      <c r="HG199" s="938"/>
      <c r="HI199" s="938"/>
      <c r="HK199" s="938"/>
      <c r="HM199" s="938"/>
      <c r="HO199" s="938"/>
      <c r="HQ199" s="938"/>
      <c r="HS199" s="938"/>
      <c r="HU199" s="938"/>
      <c r="HW199" s="938"/>
      <c r="HY199" s="938"/>
      <c r="IA199" s="938"/>
      <c r="IC199" s="938"/>
      <c r="IE199" s="938"/>
      <c r="IG199" s="938"/>
      <c r="II199" s="938"/>
      <c r="IK199" s="938"/>
      <c r="IM199" s="938"/>
      <c r="IO199" s="938"/>
      <c r="IQ199" s="938"/>
      <c r="IS199" s="938"/>
      <c r="IT199" s="932"/>
      <c r="IU199" s="938"/>
      <c r="IW199" s="939"/>
      <c r="IX199" s="938"/>
      <c r="IY199" s="938"/>
      <c r="IZ199" s="938"/>
      <c r="JB199" s="940"/>
      <c r="JC199" s="940"/>
      <c r="JD199" s="940"/>
      <c r="JE199" s="940"/>
      <c r="JF199" s="940"/>
      <c r="JG199" s="940"/>
      <c r="JH199" s="940"/>
      <c r="JI199" s="940"/>
      <c r="JJ199" s="940"/>
      <c r="JK199" s="940"/>
      <c r="JL199" s="940"/>
      <c r="JM199" s="940"/>
      <c r="JN199" s="940"/>
      <c r="JO199" s="940"/>
      <c r="JP199" s="940"/>
      <c r="JQ199" s="940"/>
      <c r="JR199" s="940"/>
      <c r="JS199" s="940"/>
      <c r="JT199" s="940"/>
      <c r="JU199" s="940"/>
      <c r="JV199" s="940"/>
      <c r="JW199" s="940"/>
      <c r="JX199" s="940"/>
      <c r="JY199" s="940"/>
      <c r="JZ199" s="940"/>
      <c r="KA199" s="940"/>
      <c r="KB199" s="940"/>
      <c r="KC199" s="940"/>
      <c r="KD199" s="940"/>
      <c r="KE199" s="940"/>
      <c r="KF199" s="940"/>
      <c r="KG199" s="940"/>
      <c r="KH199" s="940"/>
      <c r="KI199" s="940"/>
      <c r="KJ199" s="940"/>
      <c r="KK199" s="940"/>
      <c r="KL199" s="940"/>
      <c r="KM199" s="940"/>
      <c r="KN199" s="940"/>
      <c r="KO199" s="940"/>
      <c r="KP199" s="940"/>
      <c r="KQ199" s="940"/>
      <c r="KR199" s="940"/>
      <c r="KS199" s="940"/>
      <c r="KT199" s="940"/>
      <c r="KU199" s="940"/>
      <c r="KV199" s="940"/>
      <c r="KW199" s="940"/>
      <c r="KX199" s="940"/>
      <c r="KY199" s="940"/>
      <c r="KZ199" s="940"/>
      <c r="LA199" s="940"/>
      <c r="LB199" s="940"/>
      <c r="LC199" s="940"/>
      <c r="LD199" s="940"/>
      <c r="LE199" s="940"/>
      <c r="LF199" s="940"/>
      <c r="LG199" s="940"/>
      <c r="LH199" s="940"/>
    </row>
    <row r="200" spans="1:356" s="462" customFormat="1" ht="15" hidden="1" customHeight="1" outlineLevel="1" x14ac:dyDescent="0.25">
      <c r="A200" s="1205">
        <v>43824</v>
      </c>
      <c r="B200" s="1205"/>
      <c r="C200" s="463"/>
      <c r="D200" s="461"/>
      <c r="H200" s="932"/>
      <c r="I200" s="37"/>
      <c r="J200" s="932"/>
      <c r="K200" s="37"/>
      <c r="L200" s="932"/>
      <c r="M200" s="37"/>
      <c r="N200" s="932"/>
      <c r="O200" s="37"/>
      <c r="P200" s="932"/>
      <c r="Q200" s="37"/>
      <c r="R200" s="932"/>
      <c r="S200" s="37"/>
      <c r="T200" s="37"/>
      <c r="U200" s="37"/>
      <c r="V200" s="932"/>
      <c r="W200" s="37"/>
      <c r="X200" s="932"/>
      <c r="Y200" s="37"/>
      <c r="Z200" s="932"/>
      <c r="AA200" s="37"/>
      <c r="AB200" s="932"/>
      <c r="AC200" s="37"/>
      <c r="AD200" s="932"/>
      <c r="AE200" s="37"/>
      <c r="AF200" s="932"/>
      <c r="AG200" s="37"/>
      <c r="AH200" s="37"/>
      <c r="AI200" s="37"/>
      <c r="AJ200" s="932"/>
      <c r="AK200" s="37"/>
      <c r="AL200" s="932"/>
      <c r="AM200" s="37"/>
      <c r="AN200" s="932"/>
      <c r="AO200" s="37"/>
      <c r="AP200" s="932"/>
      <c r="AQ200" s="37"/>
      <c r="AR200" s="37"/>
      <c r="AS200" s="37"/>
      <c r="AT200" s="37"/>
      <c r="AU200" s="37"/>
      <c r="AV200" s="37"/>
      <c r="AW200" s="37"/>
      <c r="AX200" s="932"/>
      <c r="AY200" s="37"/>
      <c r="AZ200" s="932"/>
      <c r="BA200" s="37"/>
      <c r="BB200" s="932"/>
      <c r="BC200" s="37"/>
      <c r="BD200" s="932"/>
      <c r="BE200" s="37"/>
      <c r="BF200" s="932"/>
      <c r="BG200" s="37"/>
      <c r="BH200" s="37"/>
      <c r="BI200" s="37"/>
      <c r="BJ200" s="37"/>
      <c r="BK200" s="37"/>
      <c r="BL200" s="932"/>
      <c r="BM200" s="37"/>
      <c r="BN200" s="932"/>
      <c r="BO200" s="37"/>
      <c r="BP200" s="932"/>
      <c r="BQ200" s="37"/>
      <c r="BR200" s="932"/>
      <c r="BS200" s="37"/>
      <c r="BT200" s="932"/>
      <c r="BU200" s="932"/>
      <c r="BV200" s="932"/>
      <c r="BW200" s="932"/>
      <c r="BX200" s="37"/>
      <c r="BY200" s="37"/>
      <c r="BZ200" s="932"/>
      <c r="CA200" s="37"/>
      <c r="CB200" s="932"/>
      <c r="CC200" s="37"/>
      <c r="CD200" s="932"/>
      <c r="CE200" s="37"/>
      <c r="CF200" s="932"/>
      <c r="CG200" s="37"/>
      <c r="CH200" s="932"/>
      <c r="CI200" s="932"/>
      <c r="CJ200" s="932"/>
      <c r="CK200" s="932"/>
      <c r="CL200" s="37"/>
      <c r="CM200" s="37"/>
      <c r="CN200" s="932"/>
      <c r="CO200" s="37"/>
      <c r="CP200" s="932"/>
      <c r="CQ200" s="37"/>
      <c r="CR200" s="932"/>
      <c r="CS200" s="37"/>
      <c r="CT200" s="932"/>
      <c r="CU200" s="37"/>
      <c r="CV200" s="932"/>
      <c r="CW200" s="932"/>
      <c r="CX200" s="932"/>
      <c r="CY200" s="932"/>
      <c r="CZ200" s="37"/>
      <c r="DA200" s="37"/>
      <c r="DB200" s="932"/>
      <c r="DC200" s="37"/>
      <c r="DD200" s="932"/>
      <c r="DE200" s="37"/>
      <c r="DF200" s="932"/>
      <c r="DG200" s="37"/>
      <c r="DH200" s="932"/>
      <c r="DI200" s="37"/>
      <c r="DJ200" s="932"/>
      <c r="DK200" s="932"/>
      <c r="DL200" s="932"/>
      <c r="DM200" s="932"/>
      <c r="DN200" s="37"/>
      <c r="DO200" s="37"/>
      <c r="DP200" s="932"/>
      <c r="DQ200" s="37"/>
      <c r="DR200" s="932"/>
      <c r="DS200" s="37"/>
      <c r="DT200" s="932"/>
      <c r="DU200" s="37"/>
      <c r="DV200" s="932"/>
      <c r="DW200" s="37"/>
      <c r="DX200" s="932"/>
      <c r="DY200" s="932"/>
      <c r="DZ200" s="932"/>
      <c r="EA200" s="932"/>
      <c r="EB200" s="37"/>
      <c r="EC200" s="37"/>
      <c r="EE200" s="941"/>
      <c r="EG200" s="938"/>
      <c r="EI200" s="938"/>
      <c r="EK200" s="938"/>
      <c r="EM200" s="938"/>
      <c r="EO200" s="938"/>
      <c r="EQ200" s="938"/>
      <c r="ES200" s="938"/>
      <c r="EU200" s="938"/>
      <c r="EW200" s="938"/>
      <c r="EY200" s="938"/>
      <c r="FA200" s="938"/>
      <c r="FC200" s="938"/>
      <c r="FE200" s="938"/>
      <c r="FG200" s="938"/>
      <c r="FI200" s="938"/>
      <c r="FK200" s="938"/>
      <c r="FM200" s="938"/>
      <c r="FO200" s="938"/>
      <c r="FQ200" s="938"/>
      <c r="FS200" s="938"/>
      <c r="FU200" s="938"/>
      <c r="FW200" s="938"/>
      <c r="FY200" s="938"/>
      <c r="GA200" s="938"/>
      <c r="GC200" s="938"/>
      <c r="GE200" s="938"/>
      <c r="GG200" s="938"/>
      <c r="GI200" s="938"/>
      <c r="GK200" s="938"/>
      <c r="GM200" s="938"/>
      <c r="GO200" s="938"/>
      <c r="GQ200" s="938"/>
      <c r="GS200" s="938"/>
      <c r="GU200" s="938"/>
      <c r="GW200" s="938"/>
      <c r="GY200" s="938"/>
      <c r="HA200" s="938"/>
      <c r="HC200" s="938"/>
      <c r="HE200" s="938"/>
      <c r="HG200" s="938"/>
      <c r="HI200" s="938"/>
      <c r="HK200" s="938"/>
      <c r="HM200" s="938"/>
      <c r="HO200" s="938"/>
      <c r="HQ200" s="938"/>
      <c r="HS200" s="938"/>
      <c r="HU200" s="938"/>
      <c r="HW200" s="938"/>
      <c r="HY200" s="938"/>
      <c r="IA200" s="938"/>
      <c r="IC200" s="938"/>
      <c r="IE200" s="938"/>
      <c r="IG200" s="938"/>
      <c r="II200" s="938"/>
      <c r="IK200" s="938"/>
      <c r="IM200" s="938"/>
      <c r="IO200" s="938"/>
      <c r="IQ200" s="938"/>
      <c r="IS200" s="938"/>
      <c r="IT200" s="932"/>
      <c r="IU200" s="938"/>
      <c r="IW200" s="939"/>
      <c r="IX200" s="938"/>
      <c r="IY200" s="938"/>
      <c r="IZ200" s="938"/>
      <c r="JB200" s="940"/>
      <c r="JC200" s="940"/>
      <c r="JD200" s="940"/>
      <c r="JE200" s="940"/>
      <c r="JF200" s="940"/>
      <c r="JG200" s="940"/>
      <c r="JH200" s="940"/>
      <c r="JI200" s="940"/>
      <c r="JJ200" s="940"/>
      <c r="JK200" s="940"/>
      <c r="JL200" s="940"/>
      <c r="JM200" s="940"/>
      <c r="JN200" s="940"/>
      <c r="JO200" s="940"/>
      <c r="JP200" s="940"/>
      <c r="JQ200" s="940"/>
      <c r="JR200" s="940"/>
      <c r="JS200" s="940"/>
      <c r="JT200" s="940"/>
      <c r="JU200" s="940"/>
      <c r="JV200" s="940"/>
      <c r="JW200" s="940"/>
      <c r="JX200" s="940"/>
      <c r="JY200" s="940"/>
      <c r="JZ200" s="940"/>
      <c r="KA200" s="940"/>
      <c r="KB200" s="940"/>
      <c r="KC200" s="940"/>
      <c r="KD200" s="940"/>
      <c r="KE200" s="940"/>
      <c r="KF200" s="940"/>
      <c r="KG200" s="940"/>
      <c r="KH200" s="940"/>
      <c r="KI200" s="940"/>
      <c r="KJ200" s="940"/>
      <c r="KK200" s="940"/>
      <c r="KL200" s="940"/>
      <c r="KM200" s="940"/>
      <c r="KN200" s="940"/>
      <c r="KO200" s="940"/>
      <c r="KP200" s="940"/>
      <c r="KQ200" s="940"/>
      <c r="KR200" s="940"/>
      <c r="KS200" s="940"/>
      <c r="KT200" s="940"/>
      <c r="KU200" s="940"/>
      <c r="KV200" s="940"/>
      <c r="KW200" s="940"/>
      <c r="KX200" s="940"/>
      <c r="KY200" s="940"/>
      <c r="KZ200" s="940"/>
      <c r="LA200" s="940"/>
      <c r="LB200" s="940"/>
      <c r="LC200" s="940"/>
      <c r="LD200" s="940"/>
      <c r="LE200" s="940"/>
      <c r="LF200" s="940"/>
      <c r="LG200" s="940"/>
      <c r="LH200" s="940"/>
    </row>
    <row r="201" spans="1:356" s="462" customFormat="1" ht="15" hidden="1" customHeight="1" outlineLevel="1" x14ac:dyDescent="0.25">
      <c r="A201" s="1205">
        <v>43825</v>
      </c>
      <c r="B201" s="1205"/>
      <c r="C201" s="463"/>
      <c r="D201" s="461"/>
      <c r="H201" s="932"/>
      <c r="I201" s="37"/>
      <c r="J201" s="932"/>
      <c r="K201" s="37"/>
      <c r="L201" s="932"/>
      <c r="M201" s="37"/>
      <c r="N201" s="932"/>
      <c r="O201" s="37"/>
      <c r="P201" s="932"/>
      <c r="Q201" s="37"/>
      <c r="R201" s="932"/>
      <c r="S201" s="37"/>
      <c r="T201" s="37"/>
      <c r="U201" s="37"/>
      <c r="V201" s="932"/>
      <c r="W201" s="37"/>
      <c r="X201" s="932"/>
      <c r="Y201" s="37"/>
      <c r="Z201" s="932"/>
      <c r="AA201" s="37"/>
      <c r="AB201" s="932"/>
      <c r="AC201" s="37"/>
      <c r="AD201" s="932"/>
      <c r="AE201" s="37"/>
      <c r="AF201" s="932"/>
      <c r="AG201" s="37"/>
      <c r="AH201" s="37"/>
      <c r="AI201" s="37"/>
      <c r="AJ201" s="932"/>
      <c r="AK201" s="37"/>
      <c r="AL201" s="932"/>
      <c r="AM201" s="37"/>
      <c r="AN201" s="932"/>
      <c r="AO201" s="37"/>
      <c r="AP201" s="932"/>
      <c r="AQ201" s="37"/>
      <c r="AR201" s="37"/>
      <c r="AS201" s="37"/>
      <c r="AT201" s="37"/>
      <c r="AU201" s="37"/>
      <c r="AV201" s="37"/>
      <c r="AW201" s="37"/>
      <c r="AX201" s="932"/>
      <c r="AY201" s="37"/>
      <c r="AZ201" s="932"/>
      <c r="BA201" s="37"/>
      <c r="BB201" s="932"/>
      <c r="BC201" s="37"/>
      <c r="BD201" s="932"/>
      <c r="BE201" s="37"/>
      <c r="BF201" s="932"/>
      <c r="BG201" s="37"/>
      <c r="BH201" s="37"/>
      <c r="BI201" s="37"/>
      <c r="BJ201" s="37"/>
      <c r="BK201" s="37"/>
      <c r="BL201" s="932"/>
      <c r="BM201" s="37"/>
      <c r="BN201" s="932"/>
      <c r="BO201" s="37"/>
      <c r="BP201" s="932"/>
      <c r="BQ201" s="37"/>
      <c r="BR201" s="932"/>
      <c r="BS201" s="37"/>
      <c r="BT201" s="932"/>
      <c r="BU201" s="932"/>
      <c r="BV201" s="932"/>
      <c r="BW201" s="932"/>
      <c r="BX201" s="37"/>
      <c r="BY201" s="37"/>
      <c r="BZ201" s="932"/>
      <c r="CA201" s="37"/>
      <c r="CB201" s="932"/>
      <c r="CC201" s="37"/>
      <c r="CD201" s="932"/>
      <c r="CE201" s="37"/>
      <c r="CF201" s="932"/>
      <c r="CG201" s="37"/>
      <c r="CH201" s="932"/>
      <c r="CI201" s="932"/>
      <c r="CJ201" s="932"/>
      <c r="CK201" s="932"/>
      <c r="CL201" s="37"/>
      <c r="CM201" s="37"/>
      <c r="CN201" s="932"/>
      <c r="CO201" s="37"/>
      <c r="CP201" s="932"/>
      <c r="CQ201" s="37"/>
      <c r="CR201" s="932"/>
      <c r="CS201" s="37"/>
      <c r="CT201" s="932"/>
      <c r="CU201" s="37"/>
      <c r="CV201" s="932"/>
      <c r="CW201" s="932"/>
      <c r="CX201" s="932"/>
      <c r="CY201" s="932"/>
      <c r="CZ201" s="37"/>
      <c r="DA201" s="37"/>
      <c r="DB201" s="932"/>
      <c r="DC201" s="37"/>
      <c r="DD201" s="932"/>
      <c r="DE201" s="37"/>
      <c r="DF201" s="932"/>
      <c r="DG201" s="37"/>
      <c r="DH201" s="932"/>
      <c r="DI201" s="37"/>
      <c r="DJ201" s="932"/>
      <c r="DK201" s="932"/>
      <c r="DL201" s="932"/>
      <c r="DM201" s="932"/>
      <c r="DN201" s="37"/>
      <c r="DO201" s="37"/>
      <c r="DP201" s="932"/>
      <c r="DQ201" s="37"/>
      <c r="DR201" s="932"/>
      <c r="DS201" s="37"/>
      <c r="DT201" s="932"/>
      <c r="DU201" s="37"/>
      <c r="DV201" s="932"/>
      <c r="DW201" s="37"/>
      <c r="DX201" s="932"/>
      <c r="DY201" s="932"/>
      <c r="DZ201" s="932"/>
      <c r="EA201" s="932"/>
      <c r="EB201" s="37"/>
      <c r="EC201" s="37"/>
      <c r="EE201" s="941"/>
      <c r="EG201" s="938"/>
      <c r="EI201" s="938"/>
      <c r="EK201" s="938"/>
      <c r="EM201" s="938"/>
      <c r="EO201" s="938"/>
      <c r="EQ201" s="938"/>
      <c r="ES201" s="938"/>
      <c r="EU201" s="938"/>
      <c r="EW201" s="938"/>
      <c r="EY201" s="938"/>
      <c r="FA201" s="938"/>
      <c r="FC201" s="938"/>
      <c r="FE201" s="938"/>
      <c r="FG201" s="938"/>
      <c r="FI201" s="938"/>
      <c r="FK201" s="938"/>
      <c r="FM201" s="938"/>
      <c r="FO201" s="938"/>
      <c r="FQ201" s="938"/>
      <c r="FS201" s="938"/>
      <c r="FU201" s="938"/>
      <c r="FW201" s="938"/>
      <c r="FY201" s="938"/>
      <c r="GA201" s="938"/>
      <c r="GC201" s="938"/>
      <c r="GE201" s="938"/>
      <c r="GG201" s="938"/>
      <c r="GI201" s="938"/>
      <c r="GK201" s="938"/>
      <c r="GM201" s="938"/>
      <c r="GO201" s="938"/>
      <c r="GQ201" s="938"/>
      <c r="GS201" s="938"/>
      <c r="GU201" s="938"/>
      <c r="GW201" s="938"/>
      <c r="GY201" s="938"/>
      <c r="HA201" s="938"/>
      <c r="HC201" s="938"/>
      <c r="HE201" s="938"/>
      <c r="HG201" s="938"/>
      <c r="HI201" s="938"/>
      <c r="HK201" s="938"/>
      <c r="HM201" s="938"/>
      <c r="HO201" s="938"/>
      <c r="HQ201" s="938"/>
      <c r="HS201" s="938"/>
      <c r="HU201" s="938"/>
      <c r="HW201" s="938"/>
      <c r="HY201" s="938"/>
      <c r="IA201" s="938"/>
      <c r="IC201" s="938"/>
      <c r="IE201" s="938"/>
      <c r="IG201" s="938"/>
      <c r="II201" s="938"/>
      <c r="IK201" s="938"/>
      <c r="IM201" s="938"/>
      <c r="IO201" s="938"/>
      <c r="IQ201" s="938"/>
      <c r="IS201" s="938"/>
      <c r="IT201" s="932"/>
      <c r="IU201" s="938"/>
      <c r="IW201" s="939"/>
      <c r="IX201" s="938"/>
      <c r="IY201" s="938"/>
      <c r="IZ201" s="938"/>
      <c r="JB201" s="940"/>
      <c r="JC201" s="940"/>
      <c r="JD201" s="940"/>
      <c r="JE201" s="940"/>
      <c r="JF201" s="940"/>
      <c r="JG201" s="940"/>
      <c r="JH201" s="940"/>
      <c r="JI201" s="940"/>
      <c r="JJ201" s="940"/>
      <c r="JK201" s="940"/>
      <c r="JL201" s="940"/>
      <c r="JM201" s="940"/>
      <c r="JN201" s="940"/>
      <c r="JO201" s="940"/>
      <c r="JP201" s="940"/>
      <c r="JQ201" s="940"/>
      <c r="JR201" s="940"/>
      <c r="JS201" s="940"/>
      <c r="JT201" s="940"/>
      <c r="JU201" s="940"/>
      <c r="JV201" s="940"/>
      <c r="JW201" s="940"/>
      <c r="JX201" s="940"/>
      <c r="JY201" s="940"/>
      <c r="JZ201" s="940"/>
      <c r="KA201" s="940"/>
      <c r="KB201" s="940"/>
      <c r="KC201" s="940"/>
      <c r="KD201" s="940"/>
      <c r="KE201" s="940"/>
      <c r="KF201" s="940"/>
      <c r="KG201" s="940"/>
      <c r="KH201" s="940"/>
      <c r="KI201" s="940"/>
      <c r="KJ201" s="940"/>
      <c r="KK201" s="940"/>
      <c r="KL201" s="940"/>
      <c r="KM201" s="940"/>
      <c r="KN201" s="940"/>
      <c r="KO201" s="940"/>
      <c r="KP201" s="940"/>
      <c r="KQ201" s="940"/>
      <c r="KR201" s="940"/>
      <c r="KS201" s="940"/>
      <c r="KT201" s="940"/>
      <c r="KU201" s="940"/>
      <c r="KV201" s="940"/>
      <c r="KW201" s="940"/>
      <c r="KX201" s="940"/>
      <c r="KY201" s="940"/>
      <c r="KZ201" s="940"/>
      <c r="LA201" s="940"/>
      <c r="LB201" s="940"/>
      <c r="LC201" s="940"/>
      <c r="LD201" s="940"/>
      <c r="LE201" s="940"/>
      <c r="LF201" s="940"/>
      <c r="LG201" s="940"/>
      <c r="LH201" s="940"/>
    </row>
    <row r="202" spans="1:356" s="462" customFormat="1" ht="15" hidden="1" customHeight="1" outlineLevel="1" x14ac:dyDescent="0.25">
      <c r="A202" s="1205"/>
      <c r="B202" s="1205"/>
      <c r="C202" s="463"/>
      <c r="D202" s="461"/>
      <c r="H202" s="932"/>
      <c r="I202" s="37"/>
      <c r="J202" s="932"/>
      <c r="K202" s="37"/>
      <c r="L202" s="932"/>
      <c r="M202" s="37"/>
      <c r="N202" s="932"/>
      <c r="O202" s="37"/>
      <c r="P202" s="932"/>
      <c r="Q202" s="37"/>
      <c r="R202" s="932"/>
      <c r="S202" s="37"/>
      <c r="T202" s="37"/>
      <c r="U202" s="37"/>
      <c r="V202" s="932"/>
      <c r="W202" s="37"/>
      <c r="X202" s="932"/>
      <c r="Y202" s="37"/>
      <c r="Z202" s="932"/>
      <c r="AA202" s="37"/>
      <c r="AB202" s="932"/>
      <c r="AC202" s="37"/>
      <c r="AD202" s="932"/>
      <c r="AE202" s="37"/>
      <c r="AF202" s="932"/>
      <c r="AG202" s="37"/>
      <c r="AH202" s="37"/>
      <c r="AI202" s="37"/>
      <c r="AJ202" s="932"/>
      <c r="AK202" s="37"/>
      <c r="AL202" s="932"/>
      <c r="AM202" s="37"/>
      <c r="AN202" s="932"/>
      <c r="AO202" s="37"/>
      <c r="AP202" s="932"/>
      <c r="AQ202" s="37"/>
      <c r="AR202" s="37"/>
      <c r="AS202" s="37"/>
      <c r="AT202" s="37"/>
      <c r="AU202" s="37"/>
      <c r="AV202" s="37"/>
      <c r="AW202" s="37"/>
      <c r="AX202" s="932"/>
      <c r="AY202" s="37"/>
      <c r="AZ202" s="932"/>
      <c r="BA202" s="37"/>
      <c r="BB202" s="932"/>
      <c r="BC202" s="37"/>
      <c r="BD202" s="932"/>
      <c r="BE202" s="37"/>
      <c r="BF202" s="932"/>
      <c r="BG202" s="37"/>
      <c r="BH202" s="37"/>
      <c r="BI202" s="37"/>
      <c r="BJ202" s="37"/>
      <c r="BK202" s="37"/>
      <c r="BL202" s="932"/>
      <c r="BM202" s="37"/>
      <c r="BN202" s="932"/>
      <c r="BO202" s="37"/>
      <c r="BP202" s="932"/>
      <c r="BQ202" s="37"/>
      <c r="BR202" s="932"/>
      <c r="BS202" s="37"/>
      <c r="BT202" s="932"/>
      <c r="BU202" s="932"/>
      <c r="BV202" s="932"/>
      <c r="BW202" s="932"/>
      <c r="BX202" s="37"/>
      <c r="BY202" s="37"/>
      <c r="BZ202" s="932"/>
      <c r="CA202" s="37"/>
      <c r="CB202" s="932"/>
      <c r="CC202" s="37"/>
      <c r="CD202" s="932"/>
      <c r="CE202" s="37"/>
      <c r="CF202" s="932"/>
      <c r="CG202" s="37"/>
      <c r="CH202" s="932"/>
      <c r="CI202" s="932"/>
      <c r="CJ202" s="932"/>
      <c r="CK202" s="932"/>
      <c r="CL202" s="37"/>
      <c r="CM202" s="37"/>
      <c r="CN202" s="932"/>
      <c r="CO202" s="37"/>
      <c r="CP202" s="932"/>
      <c r="CQ202" s="37"/>
      <c r="CR202" s="932"/>
      <c r="CS202" s="37"/>
      <c r="CT202" s="932"/>
      <c r="CU202" s="37"/>
      <c r="CV202" s="932"/>
      <c r="CW202" s="932"/>
      <c r="CX202" s="932"/>
      <c r="CY202" s="932"/>
      <c r="CZ202" s="37"/>
      <c r="DA202" s="37"/>
      <c r="DB202" s="932"/>
      <c r="DC202" s="37"/>
      <c r="DD202" s="932"/>
      <c r="DE202" s="37"/>
      <c r="DF202" s="932"/>
      <c r="DG202" s="37"/>
      <c r="DH202" s="932"/>
      <c r="DI202" s="37"/>
      <c r="DJ202" s="932"/>
      <c r="DK202" s="932"/>
      <c r="DL202" s="932"/>
      <c r="DM202" s="932"/>
      <c r="DN202" s="37"/>
      <c r="DO202" s="37"/>
      <c r="DP202" s="932"/>
      <c r="DQ202" s="37"/>
      <c r="DR202" s="932"/>
      <c r="DS202" s="37"/>
      <c r="DT202" s="932"/>
      <c r="DU202" s="37"/>
      <c r="DV202" s="932"/>
      <c r="DW202" s="37"/>
      <c r="DX202" s="932"/>
      <c r="DY202" s="932"/>
      <c r="DZ202" s="932"/>
      <c r="EA202" s="932"/>
      <c r="EB202" s="37"/>
      <c r="EC202" s="37"/>
      <c r="EE202" s="941"/>
      <c r="EG202" s="938"/>
      <c r="EI202" s="938"/>
      <c r="EK202" s="938"/>
      <c r="EM202" s="938"/>
      <c r="EO202" s="938"/>
      <c r="EQ202" s="938"/>
      <c r="ES202" s="938"/>
      <c r="EU202" s="938"/>
      <c r="EW202" s="938"/>
      <c r="EY202" s="938"/>
      <c r="FA202" s="938"/>
      <c r="FC202" s="938"/>
      <c r="FE202" s="938"/>
      <c r="FG202" s="938"/>
      <c r="FI202" s="938"/>
      <c r="FK202" s="938"/>
      <c r="FM202" s="938"/>
      <c r="FO202" s="938"/>
      <c r="FQ202" s="938"/>
      <c r="FS202" s="938"/>
      <c r="FU202" s="938"/>
      <c r="FW202" s="938"/>
      <c r="FY202" s="938"/>
      <c r="GA202" s="938"/>
      <c r="GC202" s="938"/>
      <c r="GE202" s="938"/>
      <c r="GG202" s="938"/>
      <c r="GI202" s="938"/>
      <c r="GK202" s="938"/>
      <c r="GM202" s="938"/>
      <c r="GO202" s="938"/>
      <c r="GQ202" s="938"/>
      <c r="GS202" s="938"/>
      <c r="GU202" s="938"/>
      <c r="GW202" s="938"/>
      <c r="GY202" s="938"/>
      <c r="HA202" s="938"/>
      <c r="HC202" s="938"/>
      <c r="HE202" s="938"/>
      <c r="HG202" s="938"/>
      <c r="HI202" s="938"/>
      <c r="HK202" s="938"/>
      <c r="HM202" s="938"/>
      <c r="HO202" s="938"/>
      <c r="HQ202" s="938"/>
      <c r="HS202" s="938"/>
      <c r="HU202" s="938"/>
      <c r="HW202" s="938"/>
      <c r="HY202" s="938"/>
      <c r="IA202" s="938"/>
      <c r="IC202" s="938"/>
      <c r="IE202" s="938"/>
      <c r="IG202" s="938"/>
      <c r="II202" s="938"/>
      <c r="IK202" s="938"/>
      <c r="IM202" s="938"/>
      <c r="IO202" s="938"/>
      <c r="IQ202" s="938"/>
      <c r="IS202" s="938"/>
      <c r="IT202" s="932"/>
      <c r="IU202" s="938"/>
      <c r="IW202" s="939"/>
      <c r="IX202" s="938"/>
      <c r="IY202" s="938"/>
      <c r="IZ202" s="938"/>
      <c r="JB202" s="940"/>
      <c r="JC202" s="940"/>
      <c r="JD202" s="940"/>
      <c r="JE202" s="940"/>
      <c r="JF202" s="940"/>
      <c r="JG202" s="940"/>
      <c r="JH202" s="940"/>
      <c r="JI202" s="940"/>
      <c r="JJ202" s="940"/>
      <c r="JK202" s="940"/>
      <c r="JL202" s="940"/>
      <c r="JM202" s="940"/>
      <c r="JN202" s="940"/>
      <c r="JO202" s="940"/>
      <c r="JP202" s="940"/>
      <c r="JQ202" s="940"/>
      <c r="JR202" s="940"/>
      <c r="JS202" s="940"/>
      <c r="JT202" s="940"/>
      <c r="JU202" s="940"/>
      <c r="JV202" s="940"/>
      <c r="JW202" s="940"/>
      <c r="JX202" s="940"/>
      <c r="JY202" s="940"/>
      <c r="JZ202" s="940"/>
      <c r="KA202" s="940"/>
      <c r="KB202" s="940"/>
      <c r="KC202" s="940"/>
      <c r="KD202" s="940"/>
      <c r="KE202" s="940"/>
      <c r="KF202" s="940"/>
      <c r="KG202" s="940"/>
      <c r="KH202" s="940"/>
      <c r="KI202" s="940"/>
      <c r="KJ202" s="940"/>
      <c r="KK202" s="940"/>
      <c r="KL202" s="940"/>
      <c r="KM202" s="940"/>
      <c r="KN202" s="940"/>
      <c r="KO202" s="940"/>
      <c r="KP202" s="940"/>
      <c r="KQ202" s="940"/>
      <c r="KR202" s="940"/>
      <c r="KS202" s="940"/>
      <c r="KT202" s="940"/>
      <c r="KU202" s="940"/>
      <c r="KV202" s="940"/>
      <c r="KW202" s="940"/>
      <c r="KX202" s="940"/>
      <c r="KY202" s="940"/>
      <c r="KZ202" s="940"/>
      <c r="LA202" s="940"/>
      <c r="LB202" s="940"/>
      <c r="LC202" s="940"/>
      <c r="LD202" s="940"/>
      <c r="LE202" s="940"/>
      <c r="LF202" s="940"/>
      <c r="LG202" s="940"/>
      <c r="LH202" s="940"/>
    </row>
    <row r="203" spans="1:356" s="462" customFormat="1" ht="15" hidden="1" customHeight="1" outlineLevel="1" x14ac:dyDescent="0.25">
      <c r="A203" s="1205"/>
      <c r="B203" s="1205"/>
      <c r="C203" s="463"/>
      <c r="D203" s="461"/>
      <c r="H203" s="932"/>
      <c r="I203" s="37"/>
      <c r="J203" s="932"/>
      <c r="K203" s="37"/>
      <c r="L203" s="932"/>
      <c r="M203" s="37"/>
      <c r="N203" s="932"/>
      <c r="O203" s="37"/>
      <c r="P203" s="932"/>
      <c r="Q203" s="37"/>
      <c r="R203" s="932"/>
      <c r="S203" s="37"/>
      <c r="T203" s="37"/>
      <c r="U203" s="37"/>
      <c r="V203" s="932"/>
      <c r="W203" s="37"/>
      <c r="X203" s="932"/>
      <c r="Y203" s="37"/>
      <c r="Z203" s="932"/>
      <c r="AA203" s="37"/>
      <c r="AB203" s="932"/>
      <c r="AC203" s="37"/>
      <c r="AD203" s="932"/>
      <c r="AE203" s="37"/>
      <c r="AF203" s="932"/>
      <c r="AG203" s="37"/>
      <c r="AH203" s="37"/>
      <c r="AI203" s="37"/>
      <c r="AJ203" s="932"/>
      <c r="AK203" s="37"/>
      <c r="AL203" s="932"/>
      <c r="AM203" s="37"/>
      <c r="AN203" s="932"/>
      <c r="AO203" s="37"/>
      <c r="AP203" s="932"/>
      <c r="AQ203" s="37"/>
      <c r="AR203" s="37"/>
      <c r="AS203" s="37"/>
      <c r="AT203" s="37"/>
      <c r="AU203" s="37"/>
      <c r="AV203" s="37"/>
      <c r="AW203" s="37"/>
      <c r="AX203" s="932"/>
      <c r="AY203" s="37"/>
      <c r="AZ203" s="932"/>
      <c r="BA203" s="37"/>
      <c r="BB203" s="932"/>
      <c r="BC203" s="37"/>
      <c r="BD203" s="932"/>
      <c r="BE203" s="37"/>
      <c r="BF203" s="932"/>
      <c r="BG203" s="37"/>
      <c r="BH203" s="37"/>
      <c r="BI203" s="37"/>
      <c r="BJ203" s="37"/>
      <c r="BK203" s="37"/>
      <c r="BL203" s="932"/>
      <c r="BM203" s="37"/>
      <c r="BN203" s="932"/>
      <c r="BO203" s="37"/>
      <c r="BP203" s="932"/>
      <c r="BQ203" s="37"/>
      <c r="BR203" s="932"/>
      <c r="BS203" s="37"/>
      <c r="BT203" s="932"/>
      <c r="BU203" s="932"/>
      <c r="BV203" s="932"/>
      <c r="BW203" s="932"/>
      <c r="BX203" s="37"/>
      <c r="BY203" s="37"/>
      <c r="BZ203" s="932"/>
      <c r="CA203" s="37"/>
      <c r="CB203" s="932"/>
      <c r="CC203" s="37"/>
      <c r="CD203" s="932"/>
      <c r="CE203" s="37"/>
      <c r="CF203" s="932"/>
      <c r="CG203" s="37"/>
      <c r="CH203" s="932"/>
      <c r="CI203" s="932"/>
      <c r="CJ203" s="932"/>
      <c r="CK203" s="932"/>
      <c r="CL203" s="37"/>
      <c r="CM203" s="37"/>
      <c r="CN203" s="932"/>
      <c r="CO203" s="37"/>
      <c r="CP203" s="932"/>
      <c r="CQ203" s="37"/>
      <c r="CR203" s="932"/>
      <c r="CS203" s="37"/>
      <c r="CT203" s="932"/>
      <c r="CU203" s="37"/>
      <c r="CV203" s="932"/>
      <c r="CW203" s="932"/>
      <c r="CX203" s="932"/>
      <c r="CY203" s="932"/>
      <c r="CZ203" s="37"/>
      <c r="DA203" s="37"/>
      <c r="DB203" s="932"/>
      <c r="DC203" s="37"/>
      <c r="DD203" s="932"/>
      <c r="DE203" s="37"/>
      <c r="DF203" s="932"/>
      <c r="DG203" s="37"/>
      <c r="DH203" s="932"/>
      <c r="DI203" s="37"/>
      <c r="DJ203" s="932"/>
      <c r="DK203" s="932"/>
      <c r="DL203" s="932"/>
      <c r="DM203" s="932"/>
      <c r="DN203" s="37"/>
      <c r="DO203" s="37"/>
      <c r="DP203" s="932"/>
      <c r="DQ203" s="37"/>
      <c r="DR203" s="932"/>
      <c r="DS203" s="37"/>
      <c r="DT203" s="932"/>
      <c r="DU203" s="37"/>
      <c r="DV203" s="932"/>
      <c r="DW203" s="37"/>
      <c r="DX203" s="932"/>
      <c r="DY203" s="932"/>
      <c r="DZ203" s="932"/>
      <c r="EA203" s="932"/>
      <c r="EB203" s="37"/>
      <c r="EC203" s="37"/>
      <c r="EE203" s="938"/>
      <c r="EG203" s="938"/>
      <c r="EI203" s="938"/>
      <c r="EK203" s="938"/>
      <c r="EM203" s="938"/>
      <c r="EO203" s="938"/>
      <c r="EQ203" s="938"/>
      <c r="ES203" s="938"/>
      <c r="EU203" s="938"/>
      <c r="EW203" s="938"/>
      <c r="EY203" s="938"/>
      <c r="FA203" s="938"/>
      <c r="FC203" s="938"/>
      <c r="FE203" s="938"/>
      <c r="FG203" s="938"/>
      <c r="FI203" s="938"/>
      <c r="FK203" s="938"/>
      <c r="FM203" s="938"/>
      <c r="FO203" s="938"/>
      <c r="FQ203" s="938"/>
      <c r="FS203" s="938"/>
      <c r="FU203" s="938"/>
      <c r="FW203" s="938"/>
      <c r="FY203" s="938"/>
      <c r="GA203" s="938"/>
      <c r="GC203" s="938"/>
      <c r="GE203" s="938"/>
      <c r="GG203" s="938"/>
      <c r="GI203" s="938"/>
      <c r="GK203" s="938"/>
      <c r="GM203" s="938"/>
      <c r="GO203" s="938"/>
      <c r="GQ203" s="938"/>
      <c r="GS203" s="938"/>
      <c r="GU203" s="938"/>
      <c r="GW203" s="938"/>
      <c r="GY203" s="938"/>
      <c r="HA203" s="938"/>
      <c r="HC203" s="938"/>
      <c r="HE203" s="938"/>
      <c r="HG203" s="938"/>
      <c r="HI203" s="938"/>
      <c r="HK203" s="938"/>
      <c r="HM203" s="938"/>
      <c r="HO203" s="938"/>
      <c r="HQ203" s="938"/>
      <c r="HS203" s="938"/>
      <c r="HU203" s="938"/>
      <c r="HW203" s="938"/>
      <c r="HY203" s="938"/>
      <c r="IA203" s="938"/>
      <c r="IC203" s="938"/>
      <c r="IE203" s="938"/>
      <c r="IG203" s="938"/>
      <c r="II203" s="938"/>
      <c r="IK203" s="938"/>
      <c r="IM203" s="938"/>
      <c r="IO203" s="938"/>
      <c r="IQ203" s="938"/>
      <c r="IS203" s="938"/>
      <c r="IT203" s="932"/>
      <c r="IU203" s="938"/>
      <c r="IW203" s="939"/>
      <c r="IX203" s="938"/>
      <c r="IY203" s="938"/>
      <c r="IZ203" s="938"/>
      <c r="JB203" s="940"/>
      <c r="JC203" s="940"/>
      <c r="JD203" s="940"/>
      <c r="JE203" s="940"/>
      <c r="JF203" s="940"/>
      <c r="JG203" s="940"/>
      <c r="JH203" s="940"/>
      <c r="JI203" s="940"/>
      <c r="JJ203" s="940"/>
      <c r="JK203" s="940"/>
      <c r="JL203" s="940"/>
      <c r="JM203" s="940"/>
      <c r="JN203" s="940"/>
      <c r="JO203" s="940"/>
      <c r="JP203" s="940"/>
      <c r="JQ203" s="940"/>
      <c r="JR203" s="940"/>
      <c r="JS203" s="940"/>
      <c r="JT203" s="940"/>
      <c r="JU203" s="940"/>
      <c r="JV203" s="940"/>
      <c r="JW203" s="940"/>
      <c r="JX203" s="940"/>
      <c r="JY203" s="940"/>
      <c r="JZ203" s="940"/>
      <c r="KA203" s="940"/>
      <c r="KB203" s="940"/>
      <c r="KC203" s="940"/>
      <c r="KD203" s="940"/>
      <c r="KE203" s="940"/>
      <c r="KF203" s="940"/>
      <c r="KG203" s="940"/>
      <c r="KH203" s="940"/>
      <c r="KI203" s="940"/>
      <c r="KJ203" s="940"/>
      <c r="KK203" s="940"/>
      <c r="KL203" s="940"/>
      <c r="KM203" s="940"/>
      <c r="KN203" s="940"/>
      <c r="KO203" s="940"/>
      <c r="KP203" s="940"/>
      <c r="KQ203" s="940"/>
      <c r="KR203" s="940"/>
      <c r="KS203" s="940"/>
      <c r="KT203" s="940"/>
      <c r="KU203" s="940"/>
      <c r="KV203" s="940"/>
      <c r="KW203" s="940"/>
      <c r="KX203" s="940"/>
      <c r="KY203" s="940"/>
      <c r="KZ203" s="940"/>
      <c r="LA203" s="940"/>
      <c r="LB203" s="940"/>
      <c r="LC203" s="940"/>
      <c r="LD203" s="940"/>
      <c r="LE203" s="940"/>
      <c r="LF203" s="940"/>
      <c r="LG203" s="940"/>
      <c r="LH203" s="940"/>
    </row>
    <row r="204" spans="1:356" s="436" customFormat="1" ht="15" hidden="1" customHeight="1" outlineLevel="1" x14ac:dyDescent="0.25">
      <c r="A204" s="772"/>
      <c r="B204" s="518"/>
      <c r="C204" s="518"/>
      <c r="D204" s="519"/>
      <c r="E204" s="520"/>
      <c r="F204" s="523" t="s">
        <v>153</v>
      </c>
      <c r="G204" s="520"/>
      <c r="H204" s="521">
        <v>46.807884744849872</v>
      </c>
      <c r="I204" s="521">
        <v>49.260122118551038</v>
      </c>
      <c r="J204" s="521">
        <v>49.600629476584025</v>
      </c>
      <c r="K204" s="521">
        <v>32.058265425964407</v>
      </c>
      <c r="L204" s="521">
        <v>46.081432089165375</v>
      </c>
      <c r="M204" s="521">
        <v>53.606562170308962</v>
      </c>
      <c r="N204" s="521">
        <v>50.375557716349483</v>
      </c>
      <c r="O204" s="521">
        <v>51.188483219716829</v>
      </c>
      <c r="P204" s="521">
        <v>48.296872752420462</v>
      </c>
      <c r="Q204" s="521">
        <v>56.460944662737397</v>
      </c>
      <c r="R204" s="521">
        <v>46.201291727140784</v>
      </c>
      <c r="S204" s="521">
        <v>38.039013381719215</v>
      </c>
      <c r="T204" s="521">
        <v>46.38694335395892</v>
      </c>
      <c r="U204" s="521">
        <v>46.38694335395892</v>
      </c>
      <c r="V204" s="521">
        <f t="shared" ref="V204:Y204" si="1291">V48/V28</f>
        <v>47.678426818580185</v>
      </c>
      <c r="W204" s="521">
        <f t="shared" si="1291"/>
        <v>51.208712842290232</v>
      </c>
      <c r="X204" s="521">
        <f t="shared" si="1291"/>
        <v>50.734484282073069</v>
      </c>
      <c r="Y204" s="521">
        <f t="shared" si="1291"/>
        <v>42.190769124551224</v>
      </c>
      <c r="Z204" s="521">
        <v>49.962058581536944</v>
      </c>
      <c r="AA204" s="521">
        <v>48.429290465631929</v>
      </c>
      <c r="AB204" s="521">
        <v>48.372510336680442</v>
      </c>
      <c r="AC204" s="521">
        <v>46.831612440877166</v>
      </c>
      <c r="AD204" s="521">
        <v>43.422286127167624</v>
      </c>
      <c r="AE204" s="521">
        <v>45.204978656126478</v>
      </c>
      <c r="AF204" s="521">
        <v>55.26859276278001</v>
      </c>
      <c r="AG204" s="521">
        <v>100.37871701244813</v>
      </c>
      <c r="AH204" s="521">
        <v>51.984377273199627</v>
      </c>
      <c r="AI204" s="521"/>
      <c r="AJ204" s="521">
        <f t="shared" ref="AJ204" si="1292">AJ48/AJ28</f>
        <v>43.934589647411848</v>
      </c>
      <c r="AK204" s="521">
        <f t="shared" ref="AK204:AP204" si="1293">AK48/AK28</f>
        <v>39.460915542938253</v>
      </c>
      <c r="AL204" s="521">
        <f t="shared" si="1293"/>
        <v>53.048919523099855</v>
      </c>
      <c r="AM204" s="521">
        <f t="shared" si="1293"/>
        <v>34.754163060806192</v>
      </c>
      <c r="AN204" s="521">
        <f t="shared" si="1293"/>
        <v>46.466020615336561</v>
      </c>
      <c r="AO204" s="521">
        <f t="shared" si="1293"/>
        <v>51.455762975778548</v>
      </c>
      <c r="AP204" s="521">
        <f t="shared" si="1293"/>
        <v>45.154702863317127</v>
      </c>
      <c r="AQ204" s="521">
        <f t="shared" ref="AQ204:AW204" si="1294">AQ48/AQ28</f>
        <v>51.007578768095378</v>
      </c>
      <c r="AR204" s="521">
        <f t="shared" si="1294"/>
        <v>48.816616867469882</v>
      </c>
      <c r="AS204" s="521">
        <f t="shared" si="1294"/>
        <v>44.554325130499628</v>
      </c>
      <c r="AT204" s="521">
        <f t="shared" si="1294"/>
        <v>37.016265969095997</v>
      </c>
      <c r="AU204" s="521">
        <f t="shared" si="1294"/>
        <v>52.154613981762914</v>
      </c>
      <c r="AV204" s="521">
        <f t="shared" si="1294"/>
        <v>44.994030186568068</v>
      </c>
      <c r="AW204" s="521">
        <f t="shared" si="1294"/>
        <v>44.994030186568075</v>
      </c>
      <c r="AX204" s="521">
        <f t="shared" ref="AX204:BD204" si="1295">AX48/AX28</f>
        <v>41.724177667766774</v>
      </c>
      <c r="AY204" s="521">
        <f t="shared" si="1295"/>
        <v>42.979971651311125</v>
      </c>
      <c r="AZ204" s="521">
        <f t="shared" si="1295"/>
        <v>39.408668442077229</v>
      </c>
      <c r="BA204" s="521">
        <f t="shared" si="1295"/>
        <v>23.008445614805062</v>
      </c>
      <c r="BB204" s="521">
        <f t="shared" si="1295"/>
        <v>33.73032412032412</v>
      </c>
      <c r="BC204" s="521">
        <f t="shared" si="1295"/>
        <v>45.460926988265975</v>
      </c>
      <c r="BD204" s="521">
        <f t="shared" si="1295"/>
        <v>35.570375519904935</v>
      </c>
      <c r="BE204" s="521">
        <f t="shared" ref="BE204:BK204" si="1296">BE48/BE28</f>
        <v>51.571908695652169</v>
      </c>
      <c r="BF204" s="521">
        <f t="shared" si="1296"/>
        <v>48.014424988870758</v>
      </c>
      <c r="BG204" s="521">
        <f t="shared" si="1296"/>
        <v>50.09903268164576</v>
      </c>
      <c r="BH204" s="521">
        <f t="shared" si="1296"/>
        <v>42.96415193287384</v>
      </c>
      <c r="BI204" s="521">
        <f t="shared" si="1296"/>
        <v>49.239896096602074</v>
      </c>
      <c r="BJ204" s="521">
        <f t="shared" si="1296"/>
        <v>40.354295244016818</v>
      </c>
      <c r="BK204" s="521">
        <f t="shared" si="1296"/>
        <v>40.354295244016825</v>
      </c>
      <c r="BL204" s="521">
        <f t="shared" ref="BL204:BR204" si="1297">BL48/BL28</f>
        <v>39.377360160965793</v>
      </c>
      <c r="BM204" s="521">
        <f t="shared" si="1297"/>
        <v>43.424386542591272</v>
      </c>
      <c r="BN204" s="521">
        <f t="shared" si="1297"/>
        <v>39.795787653006919</v>
      </c>
      <c r="BO204" s="521">
        <f t="shared" si="1297"/>
        <v>23.120209741856179</v>
      </c>
      <c r="BP204" s="521">
        <f t="shared" si="1297"/>
        <v>42.030766814969901</v>
      </c>
      <c r="BQ204" s="521">
        <f t="shared" si="1297"/>
        <v>40.098041574061966</v>
      </c>
      <c r="BR204" s="521">
        <f t="shared" si="1297"/>
        <v>35.183855585831068</v>
      </c>
      <c r="BS204" s="521">
        <f>BS48/BS28</f>
        <v>46.886963034217395</v>
      </c>
      <c r="BT204" s="521">
        <f>BT48/BT28</f>
        <v>41.117954462437602</v>
      </c>
      <c r="BU204" s="521">
        <f t="shared" ref="BU204:BW204" si="1298">BU48/BU28</f>
        <v>35.515317188422912</v>
      </c>
      <c r="BV204" s="521">
        <f t="shared" si="1298"/>
        <v>43.952296678966789</v>
      </c>
      <c r="BW204" s="521">
        <f t="shared" si="1298"/>
        <v>40.305526495960564</v>
      </c>
      <c r="BX204" s="521">
        <f>BX48/BX28</f>
        <v>38.169253686768833</v>
      </c>
      <c r="BY204" s="521">
        <f>BY48/BY28</f>
        <v>38.169253686768833</v>
      </c>
      <c r="BZ204" s="521">
        <f t="shared" ref="BZ204:CF204" si="1299">BZ48/BZ28</f>
        <v>39.617228197486071</v>
      </c>
      <c r="CA204" s="521">
        <f t="shared" si="1299"/>
        <v>44.64712922810061</v>
      </c>
      <c r="CB204" s="521">
        <f t="shared" si="1299"/>
        <v>43.884188651436986</v>
      </c>
      <c r="CC204" s="521">
        <f t="shared" si="1299"/>
        <v>45.077566786009363</v>
      </c>
      <c r="CD204" s="521">
        <f t="shared" si="1299"/>
        <v>46.209625875689376</v>
      </c>
      <c r="CE204" s="521">
        <f t="shared" si="1299"/>
        <v>49.598425476034144</v>
      </c>
      <c r="CF204" s="521">
        <f t="shared" si="1299"/>
        <v>47.497612070216157</v>
      </c>
      <c r="CG204" s="521">
        <f>CG48/CG28</f>
        <v>50.116685157624133</v>
      </c>
      <c r="CH204" s="521">
        <f>CH48/CH28</f>
        <v>36.71271654599088</v>
      </c>
      <c r="CI204" s="521">
        <f t="shared" ref="CI204:CK204" si="1300">CI48/CI28</f>
        <v>45.132158763823661</v>
      </c>
      <c r="CJ204" s="521">
        <f t="shared" si="1300"/>
        <v>53.123495435684646</v>
      </c>
      <c r="CK204" s="521">
        <f t="shared" si="1300"/>
        <v>53.434263990267638</v>
      </c>
      <c r="CL204" s="521">
        <f>CL48/CL28</f>
        <v>46.079832638475274</v>
      </c>
      <c r="CM204" s="521">
        <f>CM48/CM28</f>
        <v>46.079832638475274</v>
      </c>
      <c r="CN204" s="521">
        <f t="shared" ref="CN204:CT204" si="1301">CN48/CN28</f>
        <v>47.051524843796486</v>
      </c>
      <c r="CO204" s="521">
        <f t="shared" si="1301"/>
        <v>45.805508681302918</v>
      </c>
      <c r="CP204" s="521">
        <f t="shared" si="1301"/>
        <v>41.681346718146713</v>
      </c>
      <c r="CQ204" s="521">
        <f t="shared" si="1301"/>
        <v>47.573246573445935</v>
      </c>
      <c r="CR204" s="521">
        <f t="shared" si="1301"/>
        <v>52.52150411861615</v>
      </c>
      <c r="CS204" s="521">
        <f t="shared" si="1301"/>
        <v>51.922098097112858</v>
      </c>
      <c r="CT204" s="521">
        <f t="shared" si="1301"/>
        <v>42.305789473684214</v>
      </c>
      <c r="CU204" s="521">
        <f>CU48/CU28</f>
        <v>56.002215398442175</v>
      </c>
      <c r="CV204" s="521">
        <f>CV48/CV28</f>
        <v>54.861168525208107</v>
      </c>
      <c r="CW204" s="521">
        <f t="shared" ref="CW204:CY204" si="1302">CW48/CW28</f>
        <v>63.389547417840369</v>
      </c>
      <c r="CX204" s="521">
        <f t="shared" si="1302"/>
        <v>62.096465781409606</v>
      </c>
      <c r="CY204" s="521">
        <f t="shared" si="1302"/>
        <v>63.231818669527897</v>
      </c>
      <c r="CZ204" s="521">
        <f>CZ48/CZ28</f>
        <v>51.844372714763118</v>
      </c>
      <c r="DA204" s="521">
        <f>DA48/DA28</f>
        <v>51.844372714763118</v>
      </c>
      <c r="DB204" s="521">
        <f t="shared" ref="DB204:DH204" si="1303">DB48/DB28</f>
        <v>66.047822975517889</v>
      </c>
      <c r="DC204" s="521">
        <f t="shared" si="1303"/>
        <v>58.66440276406712</v>
      </c>
      <c r="DD204" s="521">
        <f t="shared" si="1303"/>
        <v>68.435974729241877</v>
      </c>
      <c r="DE204" s="521">
        <f t="shared" si="1303"/>
        <v>61.571003179088663</v>
      </c>
      <c r="DF204" s="521">
        <f t="shared" si="1303"/>
        <v>69.761088353413655</v>
      </c>
      <c r="DG204" s="521">
        <f t="shared" si="1303"/>
        <v>70.11463712136613</v>
      </c>
      <c r="DH204" s="521">
        <f t="shared" si="1303"/>
        <v>56.294353045798132</v>
      </c>
      <c r="DI204" s="521">
        <f>DI48/DI28</f>
        <v>59.475509633312619</v>
      </c>
      <c r="DJ204" s="521">
        <f>DJ48/DJ28</f>
        <v>64.331499421391968</v>
      </c>
      <c r="DK204" s="521">
        <f t="shared" ref="DK204:DM204" si="1304">DK48/DK28</f>
        <v>56.632705321944805</v>
      </c>
      <c r="DL204" s="521" t="e">
        <f t="shared" si="1304"/>
        <v>#DIV/0!</v>
      </c>
      <c r="DM204" s="521" t="e">
        <f t="shared" si="1304"/>
        <v>#DIV/0!</v>
      </c>
      <c r="DN204" s="521">
        <f>DN48/DN28</f>
        <v>62.631047419439355</v>
      </c>
      <c r="DO204" s="521">
        <f>DO48/DO28</f>
        <v>62.631047419439355</v>
      </c>
      <c r="DP204" s="521" t="e">
        <f t="shared" ref="DP204:DV204" si="1305">DP48/DP28</f>
        <v>#DIV/0!</v>
      </c>
      <c r="DQ204" s="521" t="e">
        <f t="shared" si="1305"/>
        <v>#DIV/0!</v>
      </c>
      <c r="DR204" s="521" t="e">
        <f t="shared" si="1305"/>
        <v>#DIV/0!</v>
      </c>
      <c r="DS204" s="521" t="e">
        <f t="shared" si="1305"/>
        <v>#DIV/0!</v>
      </c>
      <c r="DT204" s="521" t="e">
        <f t="shared" si="1305"/>
        <v>#DIV/0!</v>
      </c>
      <c r="DU204" s="521" t="e">
        <f t="shared" si="1305"/>
        <v>#DIV/0!</v>
      </c>
      <c r="DV204" s="521" t="e">
        <f t="shared" si="1305"/>
        <v>#DIV/0!</v>
      </c>
      <c r="DW204" s="521" t="e">
        <f>DW48/DW28</f>
        <v>#DIV/0!</v>
      </c>
      <c r="DX204" s="521" t="e">
        <f>DX48/DX28</f>
        <v>#DIV/0!</v>
      </c>
      <c r="DY204" s="521" t="e">
        <f t="shared" ref="DY204:EA204" si="1306">DY48/DY28</f>
        <v>#DIV/0!</v>
      </c>
      <c r="DZ204" s="521" t="e">
        <f t="shared" si="1306"/>
        <v>#DIV/0!</v>
      </c>
      <c r="EA204" s="521" t="e">
        <f t="shared" si="1306"/>
        <v>#DIV/0!</v>
      </c>
      <c r="EB204" s="521" t="e">
        <f>EB48/EB28</f>
        <v>#DIV/0!</v>
      </c>
      <c r="EC204" s="521" t="e">
        <f>EC48/EC28</f>
        <v>#DIV/0!</v>
      </c>
      <c r="EE204" s="522"/>
      <c r="EG204" s="522"/>
      <c r="EI204" s="522"/>
      <c r="EK204" s="522"/>
      <c r="EM204" s="522"/>
      <c r="EO204" s="522"/>
      <c r="EQ204" s="522"/>
      <c r="ES204" s="522"/>
      <c r="EU204" s="522"/>
      <c r="EW204" s="522"/>
      <c r="EY204" s="522"/>
      <c r="FA204" s="522"/>
      <c r="FC204" s="522"/>
      <c r="FE204" s="522"/>
      <c r="FG204" s="522"/>
      <c r="FI204" s="522"/>
      <c r="FK204" s="522"/>
      <c r="FM204" s="522"/>
      <c r="FO204" s="522"/>
      <c r="FQ204" s="522"/>
      <c r="FS204" s="522"/>
      <c r="FU204" s="522"/>
      <c r="FW204" s="522"/>
      <c r="FY204" s="522"/>
      <c r="GA204" s="522"/>
      <c r="GC204" s="522"/>
      <c r="GE204" s="522"/>
      <c r="GG204" s="522"/>
      <c r="GI204" s="522"/>
      <c r="GK204" s="522"/>
      <c r="GM204" s="522"/>
      <c r="GO204" s="522"/>
      <c r="GQ204" s="522"/>
      <c r="GS204" s="522"/>
      <c r="GU204" s="522"/>
      <c r="GW204" s="522"/>
      <c r="GY204" s="522"/>
      <c r="HA204" s="522"/>
      <c r="HC204" s="522"/>
      <c r="HE204" s="522"/>
      <c r="HG204" s="522"/>
      <c r="HI204" s="522"/>
      <c r="HK204" s="522"/>
      <c r="HM204" s="522"/>
      <c r="HO204" s="522"/>
      <c r="HQ204" s="522"/>
      <c r="HS204" s="522"/>
      <c r="HU204" s="522"/>
      <c r="HW204" s="522"/>
      <c r="HY204" s="522"/>
      <c r="IA204" s="522"/>
      <c r="IC204" s="522"/>
      <c r="IE204" s="522"/>
      <c r="IG204" s="522"/>
      <c r="II204" s="522"/>
      <c r="IK204" s="522"/>
      <c r="IM204" s="522"/>
      <c r="IO204" s="522"/>
      <c r="IQ204" s="522"/>
      <c r="IS204" s="522"/>
      <c r="IT204" s="521"/>
      <c r="IU204" s="522"/>
      <c r="IX204" s="522"/>
      <c r="IY204" s="522"/>
      <c r="IZ204" s="522"/>
      <c r="JB204" s="276"/>
      <c r="JC204" s="276"/>
      <c r="JD204" s="276"/>
      <c r="JE204" s="276"/>
      <c r="JF204" s="276"/>
      <c r="JG204" s="276"/>
      <c r="JH204" s="276"/>
      <c r="JI204" s="276"/>
      <c r="JJ204" s="276"/>
      <c r="JK204" s="276"/>
      <c r="JL204" s="276"/>
      <c r="JM204" s="277"/>
      <c r="JN204" s="277"/>
      <c r="JO204" s="277"/>
      <c r="JP204" s="277"/>
      <c r="JQ204" s="277"/>
      <c r="JR204" s="277"/>
      <c r="JS204" s="277"/>
      <c r="JT204" s="277"/>
      <c r="JU204" s="277"/>
      <c r="JV204" s="277"/>
      <c r="JW204" s="277"/>
      <c r="JX204" s="277"/>
      <c r="JY204" s="277"/>
      <c r="JZ204" s="277"/>
      <c r="KA204" s="277"/>
      <c r="KB204" s="277"/>
      <c r="KC204" s="277"/>
      <c r="KD204" s="277"/>
      <c r="KE204" s="277"/>
      <c r="KF204" s="277"/>
      <c r="KG204" s="277"/>
      <c r="KH204" s="277"/>
      <c r="KI204" s="277"/>
      <c r="KJ204" s="277"/>
      <c r="KK204" s="795"/>
      <c r="KL204" s="795"/>
      <c r="KM204" s="795"/>
      <c r="KN204" s="795"/>
      <c r="KO204" s="795"/>
      <c r="KP204" s="795"/>
      <c r="KQ204" s="795"/>
      <c r="KR204" s="795"/>
      <c r="KS204" s="795"/>
      <c r="KT204" s="795"/>
      <c r="KU204" s="795"/>
      <c r="KV204" s="795"/>
      <c r="KW204" s="907"/>
      <c r="KX204" s="907"/>
      <c r="KY204" s="907"/>
      <c r="KZ204" s="907"/>
      <c r="LA204" s="907"/>
      <c r="LB204" s="907"/>
      <c r="LC204" s="907"/>
      <c r="LD204" s="907"/>
      <c r="LE204" s="907"/>
      <c r="LF204" s="907"/>
      <c r="LG204" s="907"/>
      <c r="LH204" s="907"/>
      <c r="LU204" s="520"/>
      <c r="LV204" s="520"/>
      <c r="LW204" s="520"/>
      <c r="LX204" s="520"/>
      <c r="LY204" s="520"/>
      <c r="LZ204" s="520"/>
      <c r="MA204" s="520"/>
      <c r="MB204" s="520"/>
      <c r="MC204" s="520"/>
      <c r="MD204" s="520"/>
      <c r="ME204" s="520"/>
      <c r="MF204" s="520"/>
      <c r="MG204" s="520"/>
      <c r="MH204" s="520"/>
      <c r="MI204" s="520"/>
      <c r="MJ204" s="520"/>
      <c r="MK204" s="520"/>
      <c r="ML204" s="520"/>
      <c r="MM204" s="520"/>
      <c r="MN204" s="520"/>
      <c r="MO204" s="520"/>
      <c r="MP204" s="520"/>
      <c r="MQ204" s="520"/>
      <c r="MR204" s="520"/>
    </row>
    <row r="205" spans="1:356" collapsed="1" x14ac:dyDescent="0.25">
      <c r="BU205" s="20"/>
      <c r="BW205" s="20"/>
      <c r="CI205" s="20"/>
      <c r="CK205" s="20"/>
      <c r="CW205" s="20"/>
      <c r="CY205" s="20"/>
      <c r="DK205" s="20"/>
      <c r="DM205" s="20"/>
      <c r="DY205" s="20"/>
      <c r="EA205" s="20"/>
    </row>
  </sheetData>
  <sheetProtection sheet="1" objects="1" scenarios="1"/>
  <mergeCells count="305">
    <mergeCell ref="HR1:HS1"/>
    <mergeCell ref="HR10:HS10"/>
    <mergeCell ref="HT1:HU1"/>
    <mergeCell ref="HT10:HU10"/>
    <mergeCell ref="HH1:HI1"/>
    <mergeCell ref="HH10:HI10"/>
    <mergeCell ref="HJ1:HK1"/>
    <mergeCell ref="HJ10:HK10"/>
    <mergeCell ref="HL1:HM1"/>
    <mergeCell ref="HL10:HM10"/>
    <mergeCell ref="HN1:HO1"/>
    <mergeCell ref="HN10:HO10"/>
    <mergeCell ref="HP1:HQ1"/>
    <mergeCell ref="HP10:HQ10"/>
    <mergeCell ref="GX1:GY1"/>
    <mergeCell ref="GX10:GY10"/>
    <mergeCell ref="GZ1:HA1"/>
    <mergeCell ref="GZ10:HA10"/>
    <mergeCell ref="HB1:HC1"/>
    <mergeCell ref="HB10:HC10"/>
    <mergeCell ref="HD1:HE1"/>
    <mergeCell ref="HD10:HE10"/>
    <mergeCell ref="HF1:HG1"/>
    <mergeCell ref="HF10:HG10"/>
    <mergeCell ref="GP1:GQ1"/>
    <mergeCell ref="GP10:GQ10"/>
    <mergeCell ref="GR1:GS1"/>
    <mergeCell ref="GR10:GS10"/>
    <mergeCell ref="GT1:GU1"/>
    <mergeCell ref="GT10:GU10"/>
    <mergeCell ref="GV1:GW1"/>
    <mergeCell ref="GV10:GW10"/>
    <mergeCell ref="GF1:GG1"/>
    <mergeCell ref="GF10:GG10"/>
    <mergeCell ref="GH1:GI1"/>
    <mergeCell ref="GH10:GI10"/>
    <mergeCell ref="GJ1:GK1"/>
    <mergeCell ref="GJ10:GK10"/>
    <mergeCell ref="GL1:GM1"/>
    <mergeCell ref="GL10:GM10"/>
    <mergeCell ref="GN1:GO1"/>
    <mergeCell ref="GN10:GO10"/>
    <mergeCell ref="A163:B163"/>
    <mergeCell ref="A164:B164"/>
    <mergeCell ref="A202:B202"/>
    <mergeCell ref="A203:B203"/>
    <mergeCell ref="FZ1:GA1"/>
    <mergeCell ref="FZ10:GA10"/>
    <mergeCell ref="GB1:GC1"/>
    <mergeCell ref="GB10:GC10"/>
    <mergeCell ref="GD1:GE1"/>
    <mergeCell ref="GD10:GE10"/>
    <mergeCell ref="A154:B154"/>
    <mergeCell ref="A155:B155"/>
    <mergeCell ref="A156:B156"/>
    <mergeCell ref="A157:B157"/>
    <mergeCell ref="A158:B158"/>
    <mergeCell ref="A159:B159"/>
    <mergeCell ref="A160:B160"/>
    <mergeCell ref="A161:B161"/>
    <mergeCell ref="A162:B162"/>
    <mergeCell ref="A151:B151"/>
    <mergeCell ref="A152:B152"/>
    <mergeCell ref="A153:B153"/>
    <mergeCell ref="A142:B142"/>
    <mergeCell ref="A143:B143"/>
    <mergeCell ref="A144:B144"/>
    <mergeCell ref="A145:B145"/>
    <mergeCell ref="A146:B146"/>
    <mergeCell ref="A147:B147"/>
    <mergeCell ref="A148:B148"/>
    <mergeCell ref="A149:B149"/>
    <mergeCell ref="A150:B150"/>
    <mergeCell ref="FT1:FU1"/>
    <mergeCell ref="FT10:FU10"/>
    <mergeCell ref="FH1:FI1"/>
    <mergeCell ref="FH10:FI10"/>
    <mergeCell ref="FJ1:FK1"/>
    <mergeCell ref="FJ10:FK10"/>
    <mergeCell ref="FL1:FM1"/>
    <mergeCell ref="FL10:FM10"/>
    <mergeCell ref="FB1:FC1"/>
    <mergeCell ref="FB10:FC10"/>
    <mergeCell ref="FD1:FE1"/>
    <mergeCell ref="FD10:FE10"/>
    <mergeCell ref="FF1:FG1"/>
    <mergeCell ref="FF10:FG10"/>
    <mergeCell ref="A135:B135"/>
    <mergeCell ref="A137:B137"/>
    <mergeCell ref="A138:B138"/>
    <mergeCell ref="FV1:FW1"/>
    <mergeCell ref="FV10:FW10"/>
    <mergeCell ref="FX1:FY1"/>
    <mergeCell ref="FX10:FY10"/>
    <mergeCell ref="FN1:FO1"/>
    <mergeCell ref="FN10:FO10"/>
    <mergeCell ref="FP1:FQ1"/>
    <mergeCell ref="FP10:FQ10"/>
    <mergeCell ref="FR1:FS1"/>
    <mergeCell ref="FR10:FS10"/>
    <mergeCell ref="A139:B139"/>
    <mergeCell ref="A140:B140"/>
    <mergeCell ref="A141:B141"/>
    <mergeCell ref="A136:B136"/>
    <mergeCell ref="A129:B129"/>
    <mergeCell ref="A130:B130"/>
    <mergeCell ref="A131:B131"/>
    <mergeCell ref="A132:B132"/>
    <mergeCell ref="A133:B133"/>
    <mergeCell ref="A134:B134"/>
    <mergeCell ref="A123:B123"/>
    <mergeCell ref="A124:B124"/>
    <mergeCell ref="A125:B125"/>
    <mergeCell ref="A126:B126"/>
    <mergeCell ref="A127:B127"/>
    <mergeCell ref="A128:B128"/>
    <mergeCell ref="A117:B117"/>
    <mergeCell ref="A118:B118"/>
    <mergeCell ref="A119:B119"/>
    <mergeCell ref="A120:B120"/>
    <mergeCell ref="A121:B121"/>
    <mergeCell ref="A122:B122"/>
    <mergeCell ref="IV1:IW1"/>
    <mergeCell ref="IV10:IW10"/>
    <mergeCell ref="ED1:EE1"/>
    <mergeCell ref="ED10:EE10"/>
    <mergeCell ref="ER1:ES1"/>
    <mergeCell ref="ER10:ES10"/>
    <mergeCell ref="ET1:EU1"/>
    <mergeCell ref="ET10:EU10"/>
    <mergeCell ref="EV1:EW1"/>
    <mergeCell ref="EV10:EW10"/>
    <mergeCell ref="EH10:EI10"/>
    <mergeCell ref="EJ10:EK10"/>
    <mergeCell ref="EL10:EM10"/>
    <mergeCell ref="EN10:EO10"/>
    <mergeCell ref="EP10:EQ10"/>
    <mergeCell ref="EX10:EY10"/>
    <mergeCell ref="EZ1:FA1"/>
    <mergeCell ref="EZ10:FA10"/>
    <mergeCell ref="EL1:EM1"/>
    <mergeCell ref="EN1:EO1"/>
    <mergeCell ref="EP1:EQ1"/>
    <mergeCell ref="EF1:EG1"/>
    <mergeCell ref="EF10:EG10"/>
    <mergeCell ref="EH1:EI1"/>
    <mergeCell ref="EJ1:EK1"/>
    <mergeCell ref="EX1:EY1"/>
    <mergeCell ref="A112:B112"/>
    <mergeCell ref="A114:B114"/>
    <mergeCell ref="A115:B115"/>
    <mergeCell ref="A105:B105"/>
    <mergeCell ref="A106:B106"/>
    <mergeCell ref="A107:B107"/>
    <mergeCell ref="A109:B109"/>
    <mergeCell ref="A110:B110"/>
    <mergeCell ref="A111:B111"/>
    <mergeCell ref="A113:B113"/>
    <mergeCell ref="A10:G10"/>
    <mergeCell ref="B11:G11"/>
    <mergeCell ref="E17:G17"/>
    <mergeCell ref="E13:G13"/>
    <mergeCell ref="B9:G9"/>
    <mergeCell ref="E45:G45"/>
    <mergeCell ref="E35:G35"/>
    <mergeCell ref="E34:G34"/>
    <mergeCell ref="E20:G20"/>
    <mergeCell ref="E23:G23"/>
    <mergeCell ref="E47:G47"/>
    <mergeCell ref="A75:B75"/>
    <mergeCell ref="A74:B74"/>
    <mergeCell ref="E38:G38"/>
    <mergeCell ref="E37:G37"/>
    <mergeCell ref="E40:G40"/>
    <mergeCell ref="E24:G24"/>
    <mergeCell ref="E58:G58"/>
    <mergeCell ref="E25:G25"/>
    <mergeCell ref="E26:G26"/>
    <mergeCell ref="E27:G27"/>
    <mergeCell ref="E30:G30"/>
    <mergeCell ref="E32:G32"/>
    <mergeCell ref="E39:G39"/>
    <mergeCell ref="E28:G28"/>
    <mergeCell ref="E29:G29"/>
    <mergeCell ref="E50:G50"/>
    <mergeCell ref="E59:G59"/>
    <mergeCell ref="E48:G48"/>
    <mergeCell ref="E49:G49"/>
    <mergeCell ref="E61:G61"/>
    <mergeCell ref="E57:G57"/>
    <mergeCell ref="A73:B73"/>
    <mergeCell ref="E63:G63"/>
    <mergeCell ref="E70:G70"/>
    <mergeCell ref="E64:G64"/>
    <mergeCell ref="E14:G14"/>
    <mergeCell ref="E15:G15"/>
    <mergeCell ref="E16:G16"/>
    <mergeCell ref="E18:G18"/>
    <mergeCell ref="E19:G19"/>
    <mergeCell ref="E46:G46"/>
    <mergeCell ref="E43:G43"/>
    <mergeCell ref="E62:G62"/>
    <mergeCell ref="E52:G52"/>
    <mergeCell ref="E53:G53"/>
    <mergeCell ref="E54:G54"/>
    <mergeCell ref="E56:G56"/>
    <mergeCell ref="E55:G55"/>
    <mergeCell ref="E42:G42"/>
    <mergeCell ref="E60:G60"/>
    <mergeCell ref="E66:G66"/>
    <mergeCell ref="E67:G67"/>
    <mergeCell ref="E68:G68"/>
    <mergeCell ref="E69:G69"/>
    <mergeCell ref="A116:B116"/>
    <mergeCell ref="A92:B92"/>
    <mergeCell ref="A91:B91"/>
    <mergeCell ref="A90:B90"/>
    <mergeCell ref="A89:B89"/>
    <mergeCell ref="A88:B88"/>
    <mergeCell ref="A93:B93"/>
    <mergeCell ref="A94:B94"/>
    <mergeCell ref="A95:B95"/>
    <mergeCell ref="A108:B108"/>
    <mergeCell ref="A102:B102"/>
    <mergeCell ref="A103:B103"/>
    <mergeCell ref="A104:B104"/>
    <mergeCell ref="A96:B96"/>
    <mergeCell ref="A97:B97"/>
    <mergeCell ref="A98:B98"/>
    <mergeCell ref="A99:B99"/>
    <mergeCell ref="A100:B100"/>
    <mergeCell ref="A101:B101"/>
    <mergeCell ref="A76:B76"/>
    <mergeCell ref="A78:B78"/>
    <mergeCell ref="A77:B77"/>
    <mergeCell ref="A87:B87"/>
    <mergeCell ref="A84:B84"/>
    <mergeCell ref="A83:B83"/>
    <mergeCell ref="A82:B82"/>
    <mergeCell ref="A81:B81"/>
    <mergeCell ref="A86:B86"/>
    <mergeCell ref="A80:B80"/>
    <mergeCell ref="A79:B79"/>
    <mergeCell ref="A85:B85"/>
    <mergeCell ref="A174:B174"/>
    <mergeCell ref="A175:B175"/>
    <mergeCell ref="A176:B176"/>
    <mergeCell ref="A177:B177"/>
    <mergeCell ref="A197:B197"/>
    <mergeCell ref="A198:B198"/>
    <mergeCell ref="A201:B201"/>
    <mergeCell ref="A165:B165"/>
    <mergeCell ref="A166:B166"/>
    <mergeCell ref="A167:B167"/>
    <mergeCell ref="A168:B168"/>
    <mergeCell ref="A169:B169"/>
    <mergeCell ref="A170:B170"/>
    <mergeCell ref="A171:B171"/>
    <mergeCell ref="A172:B172"/>
    <mergeCell ref="A173:B173"/>
    <mergeCell ref="A178:B178"/>
    <mergeCell ref="A179:B179"/>
    <mergeCell ref="A180:B180"/>
    <mergeCell ref="A181:B181"/>
    <mergeCell ref="A182:B182"/>
    <mergeCell ref="A183:B183"/>
    <mergeCell ref="A184:B184"/>
    <mergeCell ref="A185:B185"/>
    <mergeCell ref="IP1:IQ1"/>
    <mergeCell ref="IR1:IS1"/>
    <mergeCell ref="HV10:HW10"/>
    <mergeCell ref="HX10:HY10"/>
    <mergeCell ref="HZ10:IA10"/>
    <mergeCell ref="IB10:IC10"/>
    <mergeCell ref="ID10:IE10"/>
    <mergeCell ref="IF10:IG10"/>
    <mergeCell ref="IH10:II10"/>
    <mergeCell ref="IJ10:IK10"/>
    <mergeCell ref="IL10:IM10"/>
    <mergeCell ref="IP10:IQ10"/>
    <mergeCell ref="IR10:IS10"/>
    <mergeCell ref="IN1:IO1"/>
    <mergeCell ref="IN10:IO10"/>
    <mergeCell ref="HV1:HW1"/>
    <mergeCell ref="HX1:HY1"/>
    <mergeCell ref="HZ1:IA1"/>
    <mergeCell ref="IB1:IC1"/>
    <mergeCell ref="ID1:IE1"/>
    <mergeCell ref="IF1:IG1"/>
    <mergeCell ref="IH1:II1"/>
    <mergeCell ref="IJ1:IK1"/>
    <mergeCell ref="IL1:IM1"/>
    <mergeCell ref="A195:B195"/>
    <mergeCell ref="A196:B196"/>
    <mergeCell ref="A199:B199"/>
    <mergeCell ref="A200:B200"/>
    <mergeCell ref="A186:B186"/>
    <mergeCell ref="A187:B187"/>
    <mergeCell ref="A188:B188"/>
    <mergeCell ref="A189:B189"/>
    <mergeCell ref="A190:B190"/>
    <mergeCell ref="A191:B191"/>
    <mergeCell ref="A192:B192"/>
    <mergeCell ref="A193:B193"/>
    <mergeCell ref="A194:B194"/>
  </mergeCells>
  <printOptions horizontalCentered="1"/>
  <pageMargins left="0" right="0" top="0.94" bottom="0.38" header="0.25" footer="0.17"/>
  <pageSetup scale="74" orientation="portrait" r:id="rId1"/>
  <headerFooter>
    <oddHeader>&amp;L&amp;6                &amp;G&amp;C&amp;"-,Bold"&amp;18OSC INTEGRATED HR-PAYROLL SYSTEM
REPORTING METRICS</oddHeader>
    <oddFooter>&amp;L&amp;8&amp;F (&amp;A)&amp;C&amp;8&amp;P of &amp;N&amp;R&amp;8&amp;D, &amp;T</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27"/>
  <sheetViews>
    <sheetView zoomScale="87" zoomScaleNormal="87" workbookViewId="0">
      <selection activeCell="C65" sqref="C65"/>
    </sheetView>
  </sheetViews>
  <sheetFormatPr defaultRowHeight="15" outlineLevelRow="1" x14ac:dyDescent="0.25"/>
  <cols>
    <col min="1" max="1" width="5.28515625" style="194" customWidth="1"/>
    <col min="2" max="2" width="7.7109375" style="194" customWidth="1"/>
    <col min="3" max="3" width="112.42578125" customWidth="1"/>
  </cols>
  <sheetData>
    <row r="1" spans="1:3" s="195" customFormat="1" x14ac:dyDescent="0.25">
      <c r="A1" s="235" t="s">
        <v>78</v>
      </c>
      <c r="B1" s="236" t="s">
        <v>76</v>
      </c>
      <c r="C1" s="237" t="s">
        <v>79</v>
      </c>
    </row>
    <row r="2" spans="1:3" s="32" customFormat="1" hidden="1" outlineLevel="1" x14ac:dyDescent="0.25">
      <c r="A2" s="231">
        <v>1</v>
      </c>
      <c r="B2" s="232" t="s">
        <v>77</v>
      </c>
      <c r="C2" s="233" t="s">
        <v>149</v>
      </c>
    </row>
    <row r="3" spans="1:3" s="32" customFormat="1" hidden="1" outlineLevel="1" x14ac:dyDescent="0.25">
      <c r="A3" s="231">
        <v>2</v>
      </c>
      <c r="B3" s="232" t="s">
        <v>95</v>
      </c>
      <c r="C3" s="233" t="s">
        <v>98</v>
      </c>
    </row>
    <row r="4" spans="1:3" hidden="1" outlineLevel="1" x14ac:dyDescent="0.25">
      <c r="A4" s="228">
        <v>3</v>
      </c>
      <c r="B4" s="229" t="s">
        <v>97</v>
      </c>
      <c r="C4" s="230" t="s">
        <v>103</v>
      </c>
    </row>
    <row r="5" spans="1:3" s="32" customFormat="1" hidden="1" outlineLevel="1" x14ac:dyDescent="0.25">
      <c r="A5" s="231"/>
      <c r="B5" s="234"/>
      <c r="C5" s="233" t="s">
        <v>100</v>
      </c>
    </row>
    <row r="6" spans="1:3" s="29" customFormat="1" hidden="1" outlineLevel="1" x14ac:dyDescent="0.25">
      <c r="A6" s="238">
        <v>4</v>
      </c>
      <c r="B6" s="239" t="s">
        <v>101</v>
      </c>
      <c r="C6" s="240" t="s">
        <v>102</v>
      </c>
    </row>
    <row r="7" spans="1:3" hidden="1" outlineLevel="1" x14ac:dyDescent="0.25">
      <c r="A7" s="228">
        <v>5</v>
      </c>
      <c r="B7" s="229" t="s">
        <v>125</v>
      </c>
      <c r="C7" s="230" t="s">
        <v>126</v>
      </c>
    </row>
    <row r="8" spans="1:3" hidden="1" outlineLevel="1" x14ac:dyDescent="0.25">
      <c r="A8" s="470" t="s">
        <v>145</v>
      </c>
      <c r="B8" s="469" t="s">
        <v>144</v>
      </c>
      <c r="C8" s="230" t="s">
        <v>147</v>
      </c>
    </row>
    <row r="9" spans="1:3" hidden="1" outlineLevel="1" x14ac:dyDescent="0.25">
      <c r="A9" s="470" t="s">
        <v>150</v>
      </c>
      <c r="B9" s="469" t="s">
        <v>144</v>
      </c>
      <c r="C9" s="230" t="s">
        <v>148</v>
      </c>
    </row>
    <row r="10" spans="1:3" hidden="1" outlineLevel="1" collapsed="1" x14ac:dyDescent="0.25">
      <c r="A10" s="707" t="s">
        <v>181</v>
      </c>
      <c r="B10" s="708" t="s">
        <v>182</v>
      </c>
      <c r="C10" s="709" t="s">
        <v>184</v>
      </c>
    </row>
    <row r="11" spans="1:3" ht="30" hidden="1" outlineLevel="1" collapsed="1" x14ac:dyDescent="0.25">
      <c r="A11" s="707" t="s">
        <v>194</v>
      </c>
      <c r="B11" s="708" t="s">
        <v>195</v>
      </c>
      <c r="C11" s="773" t="s">
        <v>197</v>
      </c>
    </row>
    <row r="12" spans="1:3" ht="30" hidden="1" outlineLevel="1" collapsed="1" x14ac:dyDescent="0.25">
      <c r="A12" s="707" t="s">
        <v>203</v>
      </c>
      <c r="B12" s="708" t="s">
        <v>204</v>
      </c>
      <c r="C12" s="773" t="s">
        <v>205</v>
      </c>
    </row>
    <row r="13" spans="1:3" ht="30" hidden="1" outlineLevel="1" x14ac:dyDescent="0.25">
      <c r="A13" s="707" t="s">
        <v>207</v>
      </c>
      <c r="B13" s="708" t="s">
        <v>209</v>
      </c>
      <c r="C13" s="773" t="s">
        <v>208</v>
      </c>
    </row>
    <row r="14" spans="1:3" ht="30" hidden="1" outlineLevel="1" x14ac:dyDescent="0.25">
      <c r="A14" s="707" t="s">
        <v>210</v>
      </c>
      <c r="B14" s="708" t="s">
        <v>211</v>
      </c>
      <c r="C14" s="773" t="s">
        <v>229</v>
      </c>
    </row>
    <row r="15" spans="1:3" ht="30" hidden="1" outlineLevel="1" x14ac:dyDescent="0.25">
      <c r="A15" s="707" t="s">
        <v>220</v>
      </c>
      <c r="B15" s="708" t="s">
        <v>219</v>
      </c>
      <c r="C15" s="773" t="s">
        <v>236</v>
      </c>
    </row>
    <row r="16" spans="1:3" ht="30" hidden="1" outlineLevel="1" x14ac:dyDescent="0.25">
      <c r="A16" s="707" t="s">
        <v>222</v>
      </c>
      <c r="B16" s="708" t="s">
        <v>219</v>
      </c>
      <c r="C16" s="773" t="s">
        <v>231</v>
      </c>
    </row>
    <row r="17" spans="1:3" ht="30" hidden="1" outlineLevel="1" x14ac:dyDescent="0.25">
      <c r="A17" s="707" t="s">
        <v>228</v>
      </c>
      <c r="B17" s="708" t="s">
        <v>219</v>
      </c>
      <c r="C17" s="773" t="s">
        <v>238</v>
      </c>
    </row>
    <row r="18" spans="1:3" hidden="1" outlineLevel="1" x14ac:dyDescent="0.25">
      <c r="A18" s="707" t="s">
        <v>234</v>
      </c>
      <c r="B18" s="708" t="s">
        <v>219</v>
      </c>
      <c r="C18" s="773" t="s">
        <v>230</v>
      </c>
    </row>
    <row r="19" spans="1:3" hidden="1" outlineLevel="1" collapsed="1" x14ac:dyDescent="0.25">
      <c r="A19" s="707" t="s">
        <v>246</v>
      </c>
      <c r="B19" s="708" t="s">
        <v>245</v>
      </c>
      <c r="C19" s="773" t="s">
        <v>247</v>
      </c>
    </row>
    <row r="20" spans="1:3" hidden="1" outlineLevel="1" x14ac:dyDescent="0.25">
      <c r="A20" s="707" t="s">
        <v>256</v>
      </c>
      <c r="B20" s="708" t="s">
        <v>257</v>
      </c>
      <c r="C20" s="773" t="s">
        <v>258</v>
      </c>
    </row>
    <row r="21" spans="1:3" hidden="1" outlineLevel="1" collapsed="1" x14ac:dyDescent="0.25">
      <c r="A21" s="707" t="s">
        <v>259</v>
      </c>
      <c r="B21" s="708" t="s">
        <v>260</v>
      </c>
      <c r="C21" s="773" t="s">
        <v>262</v>
      </c>
    </row>
    <row r="22" spans="1:3" hidden="1" outlineLevel="1" x14ac:dyDescent="0.25">
      <c r="A22" s="707" t="s">
        <v>263</v>
      </c>
      <c r="B22" s="955" t="s">
        <v>264</v>
      </c>
      <c r="C22" s="709" t="s">
        <v>266</v>
      </c>
    </row>
    <row r="23" spans="1:3" hidden="1" outlineLevel="1" collapsed="1" x14ac:dyDescent="0.25">
      <c r="A23" s="707" t="s">
        <v>274</v>
      </c>
      <c r="B23" s="708" t="s">
        <v>275</v>
      </c>
      <c r="C23" s="773" t="s">
        <v>277</v>
      </c>
    </row>
    <row r="24" spans="1:3" collapsed="1" x14ac:dyDescent="0.25">
      <c r="A24" s="707" t="s">
        <v>297</v>
      </c>
      <c r="B24" s="708" t="s">
        <v>298</v>
      </c>
      <c r="C24" s="773" t="s">
        <v>300</v>
      </c>
    </row>
    <row r="25" spans="1:3" x14ac:dyDescent="0.25">
      <c r="A25" s="710"/>
      <c r="B25" s="711"/>
      <c r="C25" s="709"/>
    </row>
    <row r="26" spans="1:3" x14ac:dyDescent="0.25">
      <c r="A26" s="710"/>
      <c r="B26" s="711"/>
      <c r="C26" s="709"/>
    </row>
    <row r="27" spans="1:3" x14ac:dyDescent="0.25">
      <c r="A27" s="712"/>
      <c r="B27" s="713"/>
      <c r="C27" s="714"/>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1"/>
  <sheetViews>
    <sheetView zoomScale="89" zoomScaleNormal="89" workbookViewId="0">
      <selection activeCell="Y1" sqref="Y1"/>
    </sheetView>
  </sheetViews>
  <sheetFormatPr defaultRowHeight="20.25" customHeight="1" outlineLevelRow="1" outlineLevelCol="1" x14ac:dyDescent="0.3"/>
  <cols>
    <col min="1" max="1" width="31.85546875" style="2" customWidth="1"/>
    <col min="2" max="2" width="11.140625" style="416" customWidth="1" collapsed="1"/>
    <col min="3" max="3" width="11.140625" style="416" customWidth="1"/>
    <col min="4" max="4" width="12.42578125" style="438" hidden="1" customWidth="1" outlineLevel="1"/>
    <col min="5" max="5" width="9.7109375" style="415" hidden="1" customWidth="1" outlineLevel="1"/>
    <col min="6" max="6" width="11.140625" style="416" customWidth="1" collapsed="1"/>
    <col min="7" max="7" width="11.28515625" style="2" hidden="1" customWidth="1" outlineLevel="1"/>
    <col min="8" max="8" width="9.85546875" style="2" hidden="1" customWidth="1" outlineLevel="1"/>
    <col min="9" max="9" width="11.140625" style="416" customWidth="1" collapsed="1"/>
    <col min="10" max="10" width="13" style="2" hidden="1" customWidth="1" outlineLevel="1"/>
    <col min="11" max="11" width="9.85546875" style="2" hidden="1" customWidth="1" outlineLevel="1"/>
    <col min="12" max="12" width="11.140625" style="416" customWidth="1" collapsed="1"/>
    <col min="13" max="13" width="13" style="2" hidden="1" customWidth="1" outlineLevel="1"/>
    <col min="14" max="14" width="9.85546875" style="2" hidden="1" customWidth="1" outlineLevel="1"/>
    <col min="15" max="15" width="11.140625" style="416" customWidth="1" collapsed="1"/>
    <col min="16" max="16" width="13" style="2" hidden="1" customWidth="1" outlineLevel="1"/>
    <col min="17" max="17" width="9.85546875" style="2" hidden="1" customWidth="1" outlineLevel="1"/>
    <col min="18" max="18" width="3.85546875" style="655" hidden="1" customWidth="1" outlineLevel="1"/>
    <col min="19" max="19" width="11.140625" style="416" customWidth="1" collapsed="1"/>
    <col min="20" max="20" width="12.42578125" style="2" hidden="1" customWidth="1" outlineLevel="1"/>
    <col min="21" max="21" width="9.85546875" style="2" hidden="1" customWidth="1" outlineLevel="1"/>
    <col min="22" max="22" width="11.140625" style="416" customWidth="1" collapsed="1"/>
    <col min="23" max="23" width="11.140625" style="2" customWidth="1"/>
    <col min="24" max="24" width="9.85546875" style="2" customWidth="1"/>
    <col min="25" max="25" width="4.7109375" style="655" customWidth="1"/>
    <col min="26" max="26" width="10.85546875" style="416" hidden="1" customWidth="1" outlineLevel="1" collapsed="1"/>
    <col min="27" max="27" width="10.85546875" style="2" hidden="1" customWidth="1" outlineLevel="1"/>
    <col min="28" max="28" width="9.85546875" style="2" hidden="1" customWidth="1" outlineLevel="1"/>
    <col min="29" max="29" width="4.7109375" style="655" hidden="1" customWidth="1" outlineLevel="1"/>
    <col min="30" max="30" width="10.85546875" style="416" hidden="1" customWidth="1" outlineLevel="1" collapsed="1"/>
    <col min="31" max="31" width="10.85546875" style="2" hidden="1" customWidth="1" outlineLevel="1"/>
    <col min="32" max="32" width="9.85546875" style="2" hidden="1" customWidth="1" outlineLevel="1"/>
    <col min="33" max="33" width="6" style="655" hidden="1" customWidth="1" outlineLevel="1"/>
    <col min="34" max="34" width="9.140625" style="2" collapsed="1"/>
    <col min="35" max="16384" width="9.140625" style="2"/>
  </cols>
  <sheetData>
    <row r="1" spans="1:33" ht="12.75" customHeight="1" thickBot="1" x14ac:dyDescent="0.35">
      <c r="B1" s="414"/>
      <c r="C1" s="414"/>
      <c r="F1" s="414"/>
      <c r="I1" s="414"/>
      <c r="L1" s="414"/>
      <c r="O1" s="414"/>
      <c r="S1" s="414"/>
      <c r="V1" s="414"/>
      <c r="Z1" s="414"/>
      <c r="AD1" s="414"/>
    </row>
    <row r="2" spans="1:33" ht="20.25" customHeight="1" x14ac:dyDescent="0.3">
      <c r="A2" s="737"/>
      <c r="B2" s="738"/>
      <c r="C2" s="738"/>
      <c r="D2" s="739"/>
      <c r="E2" s="740"/>
      <c r="F2" s="741"/>
      <c r="G2" s="1256" t="s">
        <v>159</v>
      </c>
      <c r="H2" s="1254"/>
      <c r="I2" s="738"/>
      <c r="J2" s="1256" t="s">
        <v>172</v>
      </c>
      <c r="K2" s="1255"/>
      <c r="L2" s="741"/>
      <c r="M2" s="1257" t="s">
        <v>199</v>
      </c>
      <c r="N2" s="1254"/>
      <c r="O2" s="738"/>
      <c r="P2" s="1254" t="s">
        <v>240</v>
      </c>
      <c r="Q2" s="1255"/>
      <c r="S2" s="738"/>
      <c r="T2" s="1254" t="s">
        <v>254</v>
      </c>
      <c r="U2" s="1255"/>
      <c r="V2" s="738"/>
      <c r="W2" s="1254" t="s">
        <v>286</v>
      </c>
      <c r="X2" s="1255"/>
      <c r="Z2" s="738"/>
      <c r="AA2" s="1254" t="s">
        <v>288</v>
      </c>
      <c r="AB2" s="1255"/>
      <c r="AD2" s="738"/>
      <c r="AE2" s="1254" t="s">
        <v>296</v>
      </c>
      <c r="AF2" s="1255"/>
    </row>
    <row r="3" spans="1:33" ht="20.25" customHeight="1" thickBot="1" x14ac:dyDescent="0.35">
      <c r="A3" s="742" t="s">
        <v>160</v>
      </c>
      <c r="B3" s="743" t="s">
        <v>129</v>
      </c>
      <c r="C3" s="743" t="s">
        <v>128</v>
      </c>
      <c r="D3" s="744" t="s">
        <v>131</v>
      </c>
      <c r="E3" s="745" t="s">
        <v>132</v>
      </c>
      <c r="F3" s="746" t="s">
        <v>158</v>
      </c>
      <c r="G3" s="747" t="s">
        <v>131</v>
      </c>
      <c r="H3" s="745" t="s">
        <v>132</v>
      </c>
      <c r="I3" s="743" t="s">
        <v>171</v>
      </c>
      <c r="J3" s="747" t="s">
        <v>131</v>
      </c>
      <c r="K3" s="748" t="s">
        <v>132</v>
      </c>
      <c r="L3" s="746" t="s">
        <v>198</v>
      </c>
      <c r="M3" s="835" t="s">
        <v>131</v>
      </c>
      <c r="N3" s="999" t="s">
        <v>132</v>
      </c>
      <c r="O3" s="743" t="s">
        <v>239</v>
      </c>
      <c r="P3" s="746" t="s">
        <v>131</v>
      </c>
      <c r="Q3" s="832" t="s">
        <v>132</v>
      </c>
      <c r="S3" s="743" t="s">
        <v>253</v>
      </c>
      <c r="T3" s="746" t="s">
        <v>131</v>
      </c>
      <c r="U3" s="832" t="s">
        <v>132</v>
      </c>
      <c r="V3" s="743" t="s">
        <v>273</v>
      </c>
      <c r="W3" s="746" t="s">
        <v>131</v>
      </c>
      <c r="X3" s="832" t="s">
        <v>132</v>
      </c>
      <c r="Z3" s="743" t="s">
        <v>287</v>
      </c>
      <c r="AA3" s="746" t="s">
        <v>131</v>
      </c>
      <c r="AB3" s="832" t="s">
        <v>132</v>
      </c>
      <c r="AD3" s="743" t="s">
        <v>295</v>
      </c>
      <c r="AE3" s="746" t="s">
        <v>131</v>
      </c>
      <c r="AF3" s="832" t="s">
        <v>132</v>
      </c>
    </row>
    <row r="4" spans="1:33" ht="23.1" customHeight="1" x14ac:dyDescent="0.3">
      <c r="A4" s="485" t="str">
        <f>'Summary Data'!B5</f>
        <v>Number Off Cycle PR Processed</v>
      </c>
      <c r="B4" s="498">
        <v>576</v>
      </c>
      <c r="C4" s="498">
        <v>685</v>
      </c>
      <c r="D4" s="425">
        <f>C4-B4</f>
        <v>109</v>
      </c>
      <c r="E4" s="425">
        <f>D4/B4</f>
        <v>0.1892361111111111</v>
      </c>
      <c r="F4" s="425">
        <v>776</v>
      </c>
      <c r="G4" s="512">
        <f t="shared" ref="G4:G62" si="0">F4-C4</f>
        <v>91</v>
      </c>
      <c r="H4" s="415">
        <f t="shared" ref="H4:H35" si="1">G4/C4</f>
        <v>0.13284671532846715</v>
      </c>
      <c r="I4" s="498">
        <v>248</v>
      </c>
      <c r="J4" s="512">
        <f t="shared" ref="J4:J68" si="2">I4-F4</f>
        <v>-528</v>
      </c>
      <c r="K4" s="486">
        <f t="shared" ref="K4:K68" si="3">J4/F4</f>
        <v>-0.68041237113402064</v>
      </c>
      <c r="L4" s="425">
        <v>431</v>
      </c>
      <c r="M4" s="836">
        <v>183</v>
      </c>
      <c r="N4" s="1000">
        <v>0.73790322580645162</v>
      </c>
      <c r="O4" s="498">
        <v>609</v>
      </c>
      <c r="P4" s="1002">
        <f t="shared" ref="P4:P68" si="4">O4-L4</f>
        <v>178</v>
      </c>
      <c r="Q4" s="833">
        <f t="shared" ref="Q4:Q68" si="5">P4/L4</f>
        <v>0.41299303944315546</v>
      </c>
      <c r="R4" s="655" t="str">
        <f>IF(P4&gt;0,"-","+")</f>
        <v>-</v>
      </c>
      <c r="S4" s="498">
        <f>'Summary Data'!CL5</f>
        <v>541</v>
      </c>
      <c r="T4" s="1002">
        <f t="shared" ref="T4:T35" si="6">S4-O4</f>
        <v>-68</v>
      </c>
      <c r="U4" s="833">
        <f t="shared" ref="U4:U35" si="7">T4/O4</f>
        <v>-0.1116584564860427</v>
      </c>
      <c r="V4" s="498">
        <f>'Summary Data'!CZ5</f>
        <v>521</v>
      </c>
      <c r="W4" s="1002">
        <f t="shared" ref="W4:W35" si="8">V4-S4</f>
        <v>-20</v>
      </c>
      <c r="X4" s="833">
        <f t="shared" ref="X4:X35" si="9">W4/S4</f>
        <v>-3.6968576709796676E-2</v>
      </c>
      <c r="Y4" s="655" t="str">
        <f>IF(W4&gt;0,"-","+")</f>
        <v>+</v>
      </c>
      <c r="Z4" s="498">
        <f>'Summary Data'!DN5</f>
        <v>398</v>
      </c>
      <c r="AA4" s="1002">
        <f t="shared" ref="AA4:AA35" si="10">Z4-V4</f>
        <v>-123</v>
      </c>
      <c r="AB4" s="833">
        <f t="shared" ref="AB4:AB35" si="11">AA4/V4</f>
        <v>-0.23608445297504799</v>
      </c>
      <c r="AC4" s="655" t="str">
        <f>IF(AA4&gt;0,"-","+")</f>
        <v>+</v>
      </c>
      <c r="AD4" s="498">
        <f>'Summary Data'!RB5</f>
        <v>0</v>
      </c>
      <c r="AE4" s="1002">
        <f t="shared" ref="AE4:AE67" si="12">AD4-Z4</f>
        <v>-398</v>
      </c>
      <c r="AF4" s="833">
        <f t="shared" ref="AF4:AF67" si="13">AE4/Z4</f>
        <v>-1</v>
      </c>
      <c r="AG4" s="655" t="str">
        <f>IF(AE4&gt;0,"-","+")</f>
        <v>+</v>
      </c>
    </row>
    <row r="5" spans="1:33" ht="23.1" customHeight="1" x14ac:dyDescent="0.3">
      <c r="A5" s="485" t="str">
        <f>'Summary Data'!B6</f>
        <v>Number Calls Resolved on First Call</v>
      </c>
      <c r="B5" s="498">
        <v>37465</v>
      </c>
      <c r="C5" s="498">
        <v>32612</v>
      </c>
      <c r="D5" s="425">
        <f t="shared" ref="D5:D68" si="14">C5-B5</f>
        <v>-4853</v>
      </c>
      <c r="E5" s="425">
        <f>D5/B5</f>
        <v>-0.12953423194981983</v>
      </c>
      <c r="F5" s="425">
        <v>30193</v>
      </c>
      <c r="G5" s="510">
        <f t="shared" si="0"/>
        <v>-2419</v>
      </c>
      <c r="H5" s="415">
        <f t="shared" si="1"/>
        <v>-7.4175150251441183E-2</v>
      </c>
      <c r="I5" s="498">
        <v>34348</v>
      </c>
      <c r="J5" s="510">
        <f t="shared" si="2"/>
        <v>4155</v>
      </c>
      <c r="K5" s="486">
        <f t="shared" si="3"/>
        <v>0.13761467889908258</v>
      </c>
      <c r="L5" s="425">
        <v>42357</v>
      </c>
      <c r="M5" s="837">
        <v>8009</v>
      </c>
      <c r="N5" s="1000">
        <v>0.23317223710259694</v>
      </c>
      <c r="O5" s="498">
        <v>41441</v>
      </c>
      <c r="P5" s="1003">
        <f t="shared" si="4"/>
        <v>-916</v>
      </c>
      <c r="Q5" s="833">
        <f t="shared" si="5"/>
        <v>-2.1625705314351817E-2</v>
      </c>
      <c r="R5" s="655" t="str">
        <f>IF(P5&gt;0,"+","-")</f>
        <v>-</v>
      </c>
      <c r="S5" s="498">
        <f>'Summary Data'!CL6</f>
        <v>30052</v>
      </c>
      <c r="T5" s="1003">
        <f t="shared" si="6"/>
        <v>-11389</v>
      </c>
      <c r="U5" s="833">
        <f t="shared" si="7"/>
        <v>-0.27482444921695903</v>
      </c>
      <c r="V5" s="498">
        <f>'Summary Data'!CZ6</f>
        <v>27679</v>
      </c>
      <c r="W5" s="1003">
        <f t="shared" si="8"/>
        <v>-2373</v>
      </c>
      <c r="X5" s="833">
        <f t="shared" si="9"/>
        <v>-7.8963130573672297E-2</v>
      </c>
      <c r="Y5" s="656"/>
      <c r="Z5" s="498">
        <f>'Summary Data'!DN6</f>
        <v>18128</v>
      </c>
      <c r="AA5" s="1003">
        <f t="shared" si="10"/>
        <v>-9551</v>
      </c>
      <c r="AB5" s="833">
        <f t="shared" si="11"/>
        <v>-0.34506304418512229</v>
      </c>
      <c r="AC5" s="655" t="str">
        <f>IF(AA5&gt;0,"+","-")</f>
        <v>-</v>
      </c>
      <c r="AD5" s="498">
        <f>'Summary Data'!RB6</f>
        <v>0</v>
      </c>
      <c r="AE5" s="1003">
        <f t="shared" si="12"/>
        <v>-18128</v>
      </c>
      <c r="AF5" s="833">
        <f t="shared" si="13"/>
        <v>-1</v>
      </c>
      <c r="AG5" s="655" t="str">
        <f>IF(AE5&gt;0,"+","-")</f>
        <v>-</v>
      </c>
    </row>
    <row r="6" spans="1:33" ht="23.1" customHeight="1" x14ac:dyDescent="0.3">
      <c r="A6" s="485" t="str">
        <f>'Summary Data'!B7</f>
        <v>Number Call Abandoned</v>
      </c>
      <c r="B6" s="498">
        <v>1096</v>
      </c>
      <c r="C6" s="498">
        <v>834</v>
      </c>
      <c r="D6" s="425">
        <f t="shared" si="14"/>
        <v>-262</v>
      </c>
      <c r="E6" s="425">
        <f>D6/B6</f>
        <v>-0.23905109489051096</v>
      </c>
      <c r="F6" s="425">
        <v>601</v>
      </c>
      <c r="G6" s="510">
        <f t="shared" si="0"/>
        <v>-233</v>
      </c>
      <c r="H6" s="415">
        <f t="shared" si="1"/>
        <v>-0.27937649880095922</v>
      </c>
      <c r="I6" s="498">
        <v>1432</v>
      </c>
      <c r="J6" s="510">
        <f t="shared" si="2"/>
        <v>831</v>
      </c>
      <c r="K6" s="486">
        <f t="shared" si="3"/>
        <v>1.3826955074875209</v>
      </c>
      <c r="L6" s="425">
        <v>6739</v>
      </c>
      <c r="M6" s="837">
        <v>5307</v>
      </c>
      <c r="N6" s="1000">
        <v>3.7060055865921786</v>
      </c>
      <c r="O6" s="498">
        <v>5834</v>
      </c>
      <c r="P6" s="1003">
        <f t="shared" si="4"/>
        <v>-905</v>
      </c>
      <c r="Q6" s="833">
        <f t="shared" si="5"/>
        <v>-0.13429292179848643</v>
      </c>
      <c r="R6" s="655" t="str">
        <f>IF(P6&gt;0,"-","+")</f>
        <v>+</v>
      </c>
      <c r="S6" s="498">
        <f>'Summary Data'!CL7</f>
        <v>1937</v>
      </c>
      <c r="T6" s="1003">
        <f t="shared" si="6"/>
        <v>-3897</v>
      </c>
      <c r="U6" s="833">
        <f t="shared" si="7"/>
        <v>-0.66798080219403499</v>
      </c>
      <c r="V6" s="498">
        <f>'Summary Data'!CZ7</f>
        <v>984</v>
      </c>
      <c r="W6" s="1003">
        <f t="shared" si="8"/>
        <v>-953</v>
      </c>
      <c r="X6" s="833">
        <f t="shared" si="9"/>
        <v>-0.49199793495095506</v>
      </c>
      <c r="Y6" s="655" t="str">
        <f>IF(W6&gt;0,"-","+")</f>
        <v>+</v>
      </c>
      <c r="Z6" s="498">
        <f>'Summary Data'!DN7</f>
        <v>413</v>
      </c>
      <c r="AA6" s="1003">
        <f t="shared" si="10"/>
        <v>-571</v>
      </c>
      <c r="AB6" s="833">
        <f t="shared" si="11"/>
        <v>-0.58028455284552849</v>
      </c>
      <c r="AC6" s="655" t="str">
        <f>IF(AA6&gt;0,"-","+")</f>
        <v>+</v>
      </c>
      <c r="AD6" s="498">
        <f>'Summary Data'!RB7</f>
        <v>0</v>
      </c>
      <c r="AE6" s="1003">
        <f t="shared" si="12"/>
        <v>-413</v>
      </c>
      <c r="AF6" s="833">
        <f t="shared" si="13"/>
        <v>-1</v>
      </c>
      <c r="AG6" s="655" t="str">
        <f>IF(AE6&gt;0,"-","+")</f>
        <v>+</v>
      </c>
    </row>
    <row r="7" spans="1:33" ht="21.75" hidden="1" customHeight="1" outlineLevel="1" x14ac:dyDescent="0.3">
      <c r="A7" s="485" t="s">
        <v>14</v>
      </c>
      <c r="B7" s="493">
        <v>94733314</v>
      </c>
      <c r="C7" s="493">
        <v>94733314</v>
      </c>
      <c r="D7" s="439">
        <f t="shared" si="14"/>
        <v>0</v>
      </c>
      <c r="E7" s="418">
        <f>D7/B7</f>
        <v>0</v>
      </c>
      <c r="F7" s="417">
        <v>94733314</v>
      </c>
      <c r="G7" s="510">
        <f t="shared" si="0"/>
        <v>0</v>
      </c>
      <c r="H7" s="415">
        <f t="shared" si="1"/>
        <v>0</v>
      </c>
      <c r="I7" s="493">
        <v>94733314</v>
      </c>
      <c r="J7" s="510">
        <f t="shared" si="2"/>
        <v>0</v>
      </c>
      <c r="K7" s="486">
        <f t="shared" si="3"/>
        <v>0</v>
      </c>
      <c r="L7" s="417">
        <v>94733314</v>
      </c>
      <c r="M7" s="837">
        <v>0</v>
      </c>
      <c r="N7" s="1000">
        <v>0</v>
      </c>
      <c r="O7" s="493">
        <v>94733314</v>
      </c>
      <c r="P7" s="1003">
        <f t="shared" si="4"/>
        <v>0</v>
      </c>
      <c r="Q7" s="833">
        <f t="shared" si="5"/>
        <v>0</v>
      </c>
      <c r="R7" s="655" t="str">
        <f>IF(P7&gt;0,"-","+")</f>
        <v>+</v>
      </c>
      <c r="S7" s="493">
        <f>'Summary Data'!CL8</f>
        <v>94733314</v>
      </c>
      <c r="T7" s="1003">
        <f t="shared" si="6"/>
        <v>0</v>
      </c>
      <c r="U7" s="833">
        <f t="shared" si="7"/>
        <v>0</v>
      </c>
      <c r="V7" s="493">
        <f>'Summary Data'!CZ8</f>
        <v>94733314</v>
      </c>
      <c r="W7" s="1003">
        <f t="shared" si="8"/>
        <v>0</v>
      </c>
      <c r="X7" s="833">
        <f t="shared" si="9"/>
        <v>0</v>
      </c>
      <c r="Y7" s="655" t="str">
        <f>IF(W7&gt;0,"-","+")</f>
        <v>+</v>
      </c>
      <c r="Z7" s="493">
        <f>'Summary Data'!DN8</f>
        <v>94733314</v>
      </c>
      <c r="AA7" s="1003">
        <f t="shared" si="10"/>
        <v>0</v>
      </c>
      <c r="AB7" s="833">
        <f t="shared" si="11"/>
        <v>0</v>
      </c>
      <c r="AC7" s="655" t="str">
        <f>IF(AA7&gt;0,"-","+")</f>
        <v>+</v>
      </c>
      <c r="AD7" s="493">
        <f>'Summary Data'!RB8</f>
        <v>0</v>
      </c>
      <c r="AE7" s="1003">
        <f t="shared" si="12"/>
        <v>-94733314</v>
      </c>
      <c r="AF7" s="833">
        <f t="shared" si="13"/>
        <v>-1</v>
      </c>
      <c r="AG7" s="655" t="str">
        <f>IF(AE7&gt;0,"-","+")</f>
        <v>+</v>
      </c>
    </row>
    <row r="8" spans="1:33" ht="21.75" hidden="1" customHeight="1" outlineLevel="1" x14ac:dyDescent="0.3">
      <c r="A8" s="485" t="s">
        <v>67</v>
      </c>
      <c r="B8" s="494">
        <v>0</v>
      </c>
      <c r="C8" s="494">
        <v>0</v>
      </c>
      <c r="D8" s="440">
        <f t="shared" si="14"/>
        <v>0</v>
      </c>
      <c r="E8" s="420"/>
      <c r="F8" s="419">
        <v>0</v>
      </c>
      <c r="G8" s="510">
        <f t="shared" si="0"/>
        <v>0</v>
      </c>
      <c r="H8" s="415" t="e">
        <f t="shared" si="1"/>
        <v>#DIV/0!</v>
      </c>
      <c r="I8" s="494">
        <v>0</v>
      </c>
      <c r="J8" s="510">
        <f t="shared" si="2"/>
        <v>0</v>
      </c>
      <c r="K8" s="486" t="e">
        <f t="shared" si="3"/>
        <v>#DIV/0!</v>
      </c>
      <c r="L8" s="419">
        <v>0</v>
      </c>
      <c r="M8" s="837">
        <v>0</v>
      </c>
      <c r="N8" s="1000" t="e">
        <v>#DIV/0!</v>
      </c>
      <c r="O8" s="494">
        <v>0</v>
      </c>
      <c r="P8" s="1003">
        <f t="shared" si="4"/>
        <v>0</v>
      </c>
      <c r="Q8" s="833" t="e">
        <f t="shared" si="5"/>
        <v>#DIV/0!</v>
      </c>
      <c r="R8" s="655" t="str">
        <f>IF(P8&gt;0,"-","+")</f>
        <v>+</v>
      </c>
      <c r="S8" s="494">
        <f>'Summary Data'!CL9</f>
        <v>0</v>
      </c>
      <c r="T8" s="1003">
        <f t="shared" si="6"/>
        <v>0</v>
      </c>
      <c r="U8" s="833" t="e">
        <f t="shared" si="7"/>
        <v>#DIV/0!</v>
      </c>
      <c r="V8" s="494">
        <f>'Summary Data'!CZ9</f>
        <v>0</v>
      </c>
      <c r="W8" s="1003">
        <f t="shared" si="8"/>
        <v>0</v>
      </c>
      <c r="X8" s="833" t="e">
        <f t="shared" si="9"/>
        <v>#DIV/0!</v>
      </c>
      <c r="Y8" s="655" t="str">
        <f>IF(W8&gt;0,"-","+")</f>
        <v>+</v>
      </c>
      <c r="Z8" s="494">
        <f>'Summary Data'!DN9</f>
        <v>0</v>
      </c>
      <c r="AA8" s="1003">
        <f t="shared" si="10"/>
        <v>0</v>
      </c>
      <c r="AB8" s="833" t="e">
        <f t="shared" si="11"/>
        <v>#DIV/0!</v>
      </c>
      <c r="AC8" s="655" t="str">
        <f>IF(AA8&gt;0,"-","+")</f>
        <v>+</v>
      </c>
      <c r="AD8" s="494">
        <f>'Summary Data'!RB9</f>
        <v>0</v>
      </c>
      <c r="AE8" s="1003">
        <f t="shared" si="12"/>
        <v>0</v>
      </c>
      <c r="AF8" s="833" t="e">
        <f t="shared" si="13"/>
        <v>#DIV/0!</v>
      </c>
      <c r="AG8" s="655" t="str">
        <f>IF(AE8&gt;0,"-","+")</f>
        <v>+</v>
      </c>
    </row>
    <row r="9" spans="1:33" ht="21.75" hidden="1" customHeight="1" outlineLevel="1" x14ac:dyDescent="0.3">
      <c r="A9" s="485" t="s">
        <v>130</v>
      </c>
      <c r="B9" s="495" t="s">
        <v>17</v>
      </c>
      <c r="C9" s="495" t="s">
        <v>151</v>
      </c>
      <c r="D9" s="441" t="e">
        <f t="shared" si="14"/>
        <v>#VALUE!</v>
      </c>
      <c r="E9" s="422" t="e">
        <f t="shared" ref="E9:E68" si="15">D9/B9</f>
        <v>#VALUE!</v>
      </c>
      <c r="F9" s="421" t="s">
        <v>173</v>
      </c>
      <c r="G9" s="510" t="e">
        <f t="shared" si="0"/>
        <v>#VALUE!</v>
      </c>
      <c r="H9" s="415" t="e">
        <f t="shared" si="1"/>
        <v>#VALUE!</v>
      </c>
      <c r="I9" s="495" t="s">
        <v>154</v>
      </c>
      <c r="J9" s="510" t="e">
        <f t="shared" si="2"/>
        <v>#VALUE!</v>
      </c>
      <c r="K9" s="486" t="e">
        <f t="shared" si="3"/>
        <v>#VALUE!</v>
      </c>
      <c r="L9" s="421" t="s">
        <v>189</v>
      </c>
      <c r="M9" s="837" t="e">
        <v>#VALUE!</v>
      </c>
      <c r="N9" s="1000" t="e">
        <v>#VALUE!</v>
      </c>
      <c r="O9" s="495" t="s">
        <v>213</v>
      </c>
      <c r="P9" s="1003" t="e">
        <f t="shared" si="4"/>
        <v>#VALUE!</v>
      </c>
      <c r="Q9" s="833" t="e">
        <f t="shared" si="5"/>
        <v>#VALUE!</v>
      </c>
      <c r="R9" s="655" t="e">
        <f>IF(P9&gt;0,"-","+")</f>
        <v>#VALUE!</v>
      </c>
      <c r="S9" s="495" t="str">
        <f>'Summary Data'!CL10</f>
        <v>1516 YTD Total</v>
      </c>
      <c r="T9" s="1003" t="e">
        <f t="shared" si="6"/>
        <v>#VALUE!</v>
      </c>
      <c r="U9" s="833" t="e">
        <f t="shared" si="7"/>
        <v>#VALUE!</v>
      </c>
      <c r="V9" s="495" t="str">
        <f>'Summary Data'!CZ10</f>
        <v>1617 YTD Total</v>
      </c>
      <c r="W9" s="1003" t="e">
        <f t="shared" si="8"/>
        <v>#VALUE!</v>
      </c>
      <c r="X9" s="833" t="e">
        <f t="shared" si="9"/>
        <v>#VALUE!</v>
      </c>
      <c r="Y9" s="655" t="e">
        <f>IF(W9&gt;0,"-","+")</f>
        <v>#VALUE!</v>
      </c>
      <c r="Z9" s="495" t="str">
        <f>'Summary Data'!DN10</f>
        <v>1718 YTD Total</v>
      </c>
      <c r="AA9" s="1003" t="e">
        <f t="shared" si="10"/>
        <v>#VALUE!</v>
      </c>
      <c r="AB9" s="833" t="e">
        <f t="shared" si="11"/>
        <v>#VALUE!</v>
      </c>
      <c r="AC9" s="655" t="e">
        <f>IF(AA9&gt;0,"-","+")</f>
        <v>#VALUE!</v>
      </c>
      <c r="AD9" s="495">
        <f>'Summary Data'!RB10</f>
        <v>0</v>
      </c>
      <c r="AE9" s="1003" t="e">
        <f t="shared" si="12"/>
        <v>#VALUE!</v>
      </c>
      <c r="AF9" s="833" t="e">
        <f t="shared" si="13"/>
        <v>#VALUE!</v>
      </c>
      <c r="AG9" s="655" t="e">
        <f>IF(AE9&gt;0,"-","+")</f>
        <v>#VALUE!</v>
      </c>
    </row>
    <row r="10" spans="1:33" ht="23.1" customHeight="1" collapsed="1" x14ac:dyDescent="0.3">
      <c r="A10" s="485" t="str">
        <f>'Summary Data'!B11</f>
        <v>Number of Employee Payrolls</v>
      </c>
      <c r="B10" s="496">
        <v>1463697.3333333333</v>
      </c>
      <c r="C10" s="496">
        <v>1547316</v>
      </c>
      <c r="D10" s="427">
        <f t="shared" si="14"/>
        <v>83618.666666666744</v>
      </c>
      <c r="E10" s="415">
        <f t="shared" si="15"/>
        <v>5.7128386287511226E-2</v>
      </c>
      <c r="F10" s="423">
        <v>1536331</v>
      </c>
      <c r="G10" s="510">
        <f t="shared" si="0"/>
        <v>-10985</v>
      </c>
      <c r="H10" s="415">
        <f t="shared" si="1"/>
        <v>-7.099390169816637E-3</v>
      </c>
      <c r="I10" s="496">
        <v>1381525</v>
      </c>
      <c r="J10" s="510">
        <f t="shared" si="2"/>
        <v>-154806</v>
      </c>
      <c r="K10" s="486">
        <f t="shared" si="3"/>
        <v>-0.10076344225300407</v>
      </c>
      <c r="L10" s="423">
        <v>1388066</v>
      </c>
      <c r="M10" s="837">
        <v>6541</v>
      </c>
      <c r="N10" s="1000">
        <v>4.7346229709922007E-3</v>
      </c>
      <c r="O10" s="496">
        <v>1433529</v>
      </c>
      <c r="P10" s="1003">
        <f t="shared" si="4"/>
        <v>45463</v>
      </c>
      <c r="Q10" s="833">
        <f t="shared" si="5"/>
        <v>3.2752765358419554E-2</v>
      </c>
      <c r="R10" s="656"/>
      <c r="S10" s="496">
        <f>'Summary Data'!CL11</f>
        <v>1494596</v>
      </c>
      <c r="T10" s="1003">
        <f t="shared" si="6"/>
        <v>61067</v>
      </c>
      <c r="U10" s="833">
        <f t="shared" si="7"/>
        <v>4.2599068452748426E-2</v>
      </c>
      <c r="V10" s="496">
        <f>'Summary Data'!CZ11</f>
        <v>1496955</v>
      </c>
      <c r="W10" s="1003">
        <f t="shared" si="8"/>
        <v>2359</v>
      </c>
      <c r="X10" s="833">
        <f t="shared" si="9"/>
        <v>1.5783529462142277E-3</v>
      </c>
      <c r="Y10" s="656"/>
      <c r="Z10" s="496">
        <f>'Summary Data'!DN11</f>
        <v>1249522</v>
      </c>
      <c r="AA10" s="1003">
        <f t="shared" si="10"/>
        <v>-247433</v>
      </c>
      <c r="AB10" s="833">
        <f t="shared" si="11"/>
        <v>-0.16529087380716187</v>
      </c>
      <c r="AC10" s="656"/>
      <c r="AD10" s="496">
        <f>'Summary Data'!RB11</f>
        <v>0</v>
      </c>
      <c r="AE10" s="1003">
        <f t="shared" si="12"/>
        <v>-1249522</v>
      </c>
      <c r="AF10" s="833">
        <f t="shared" si="13"/>
        <v>-1</v>
      </c>
      <c r="AG10" s="656"/>
    </row>
    <row r="11" spans="1:33" ht="21.75" hidden="1" customHeight="1" outlineLevel="1" x14ac:dyDescent="0.3">
      <c r="A11" s="485" t="s">
        <v>90</v>
      </c>
      <c r="B11" s="497">
        <v>0</v>
      </c>
      <c r="C11" s="497">
        <v>0</v>
      </c>
      <c r="D11" s="438">
        <f t="shared" si="14"/>
        <v>0</v>
      </c>
      <c r="E11" s="415" t="e">
        <f t="shared" si="15"/>
        <v>#DIV/0!</v>
      </c>
      <c r="F11" s="424">
        <v>0</v>
      </c>
      <c r="G11" s="510">
        <f t="shared" si="0"/>
        <v>0</v>
      </c>
      <c r="H11" s="415" t="e">
        <f t="shared" si="1"/>
        <v>#DIV/0!</v>
      </c>
      <c r="I11" s="497">
        <v>0</v>
      </c>
      <c r="J11" s="510">
        <f t="shared" si="2"/>
        <v>0</v>
      </c>
      <c r="K11" s="486" t="e">
        <f t="shared" si="3"/>
        <v>#DIV/0!</v>
      </c>
      <c r="L11" s="424">
        <v>0</v>
      </c>
      <c r="M11" s="837">
        <v>0</v>
      </c>
      <c r="N11" s="1000" t="e">
        <v>#DIV/0!</v>
      </c>
      <c r="O11" s="497">
        <v>0</v>
      </c>
      <c r="P11" s="1003">
        <f t="shared" si="4"/>
        <v>0</v>
      </c>
      <c r="Q11" s="833" t="e">
        <f t="shared" si="5"/>
        <v>#DIV/0!</v>
      </c>
      <c r="R11" s="656" t="str">
        <f>IF(P11&gt;0,"-","+")</f>
        <v>+</v>
      </c>
      <c r="S11" s="497">
        <f>'Summary Data'!CL12</f>
        <v>0</v>
      </c>
      <c r="T11" s="1003">
        <f t="shared" si="6"/>
        <v>0</v>
      </c>
      <c r="U11" s="833" t="e">
        <f t="shared" si="7"/>
        <v>#DIV/0!</v>
      </c>
      <c r="V11" s="497">
        <f>'Summary Data'!CZ12</f>
        <v>0</v>
      </c>
      <c r="W11" s="1003">
        <f t="shared" si="8"/>
        <v>0</v>
      </c>
      <c r="X11" s="833" t="e">
        <f t="shared" si="9"/>
        <v>#DIV/0!</v>
      </c>
      <c r="Y11" s="656" t="str">
        <f>IF(W11&gt;0,"-","+")</f>
        <v>+</v>
      </c>
      <c r="Z11" s="497">
        <f>'Summary Data'!DN12</f>
        <v>0</v>
      </c>
      <c r="AA11" s="1003">
        <f t="shared" si="10"/>
        <v>0</v>
      </c>
      <c r="AB11" s="833" t="e">
        <f t="shared" si="11"/>
        <v>#DIV/0!</v>
      </c>
      <c r="AC11" s="656" t="str">
        <f>IF(AA11&gt;0,"-","+")</f>
        <v>+</v>
      </c>
      <c r="AD11" s="497">
        <f>'Summary Data'!RB12</f>
        <v>0</v>
      </c>
      <c r="AE11" s="1003">
        <f t="shared" si="12"/>
        <v>0</v>
      </c>
      <c r="AF11" s="833" t="e">
        <f t="shared" si="13"/>
        <v>#DIV/0!</v>
      </c>
      <c r="AG11" s="656" t="str">
        <f>IF(AE11&gt;0,"-","+")</f>
        <v>+</v>
      </c>
    </row>
    <row r="12" spans="1:33" ht="23.1" customHeight="1" collapsed="1" x14ac:dyDescent="0.3">
      <c r="A12" s="485" t="str">
        <f>'Summary Data'!E13</f>
        <v>Number of Calls</v>
      </c>
      <c r="B12" s="498">
        <v>61608</v>
      </c>
      <c r="C12" s="498">
        <v>53225</v>
      </c>
      <c r="D12" s="427">
        <f t="shared" si="14"/>
        <v>-8383</v>
      </c>
      <c r="E12" s="415">
        <f t="shared" si="15"/>
        <v>-0.13606999091027139</v>
      </c>
      <c r="F12" s="425">
        <v>45878</v>
      </c>
      <c r="G12" s="510">
        <f t="shared" si="0"/>
        <v>-7347</v>
      </c>
      <c r="H12" s="415">
        <f t="shared" si="1"/>
        <v>-0.13803663691874118</v>
      </c>
      <c r="I12" s="498">
        <v>49656</v>
      </c>
      <c r="J12" s="510">
        <f t="shared" si="2"/>
        <v>3778</v>
      </c>
      <c r="K12" s="486">
        <f t="shared" si="3"/>
        <v>8.234883822311348E-2</v>
      </c>
      <c r="L12" s="425">
        <v>65970</v>
      </c>
      <c r="M12" s="837">
        <v>16314</v>
      </c>
      <c r="N12" s="1000">
        <v>0.32854035766070566</v>
      </c>
      <c r="O12" s="498">
        <v>56364</v>
      </c>
      <c r="P12" s="1003">
        <f t="shared" si="4"/>
        <v>-9606</v>
      </c>
      <c r="Q12" s="833">
        <f t="shared" si="5"/>
        <v>-0.14561164165529786</v>
      </c>
      <c r="R12" s="656"/>
      <c r="S12" s="498">
        <f>'Summary Data'!CL13</f>
        <v>41865</v>
      </c>
      <c r="T12" s="1003">
        <f t="shared" si="6"/>
        <v>-14499</v>
      </c>
      <c r="U12" s="833">
        <f t="shared" si="7"/>
        <v>-0.25723866297636788</v>
      </c>
      <c r="V12" s="498">
        <f>'Summary Data'!CZ13</f>
        <v>36685</v>
      </c>
      <c r="W12" s="1003">
        <f t="shared" si="8"/>
        <v>-5180</v>
      </c>
      <c r="X12" s="833">
        <f t="shared" si="9"/>
        <v>-0.12373104024841754</v>
      </c>
      <c r="Y12" s="656"/>
      <c r="Z12" s="498">
        <f>'Summary Data'!DN13</f>
        <v>24144</v>
      </c>
      <c r="AA12" s="1003">
        <f t="shared" si="10"/>
        <v>-12541</v>
      </c>
      <c r="AB12" s="833">
        <f t="shared" si="11"/>
        <v>-0.34185634455499525</v>
      </c>
      <c r="AC12" s="656"/>
      <c r="AD12" s="498">
        <f>'Summary Data'!RB13</f>
        <v>0</v>
      </c>
      <c r="AE12" s="1003">
        <f t="shared" si="12"/>
        <v>-24144</v>
      </c>
      <c r="AF12" s="833">
        <f t="shared" si="13"/>
        <v>-1</v>
      </c>
      <c r="AG12" s="656"/>
    </row>
    <row r="13" spans="1:33" ht="21.75" hidden="1" customHeight="1" outlineLevel="1" x14ac:dyDescent="0.3">
      <c r="A13" s="485" t="s">
        <v>32</v>
      </c>
      <c r="B13" s="498" t="s">
        <v>29</v>
      </c>
      <c r="C13" s="498" t="s">
        <v>29</v>
      </c>
      <c r="D13" s="427" t="e">
        <f t="shared" si="14"/>
        <v>#VALUE!</v>
      </c>
      <c r="E13" s="415" t="e">
        <f t="shared" si="15"/>
        <v>#VALUE!</v>
      </c>
      <c r="F13" s="425" t="s">
        <v>29</v>
      </c>
      <c r="G13" s="508" t="e">
        <f t="shared" si="0"/>
        <v>#VALUE!</v>
      </c>
      <c r="H13" s="415" t="e">
        <f t="shared" si="1"/>
        <v>#VALUE!</v>
      </c>
      <c r="I13" s="498" t="s">
        <v>29</v>
      </c>
      <c r="J13" s="508" t="e">
        <f t="shared" si="2"/>
        <v>#VALUE!</v>
      </c>
      <c r="K13" s="486" t="e">
        <f t="shared" si="3"/>
        <v>#VALUE!</v>
      </c>
      <c r="L13" s="425" t="s">
        <v>29</v>
      </c>
      <c r="M13" s="838" t="e">
        <v>#VALUE!</v>
      </c>
      <c r="N13" s="1000" t="e">
        <v>#VALUE!</v>
      </c>
      <c r="O13" s="498" t="s">
        <v>29</v>
      </c>
      <c r="P13" s="438" t="e">
        <f t="shared" si="4"/>
        <v>#VALUE!</v>
      </c>
      <c r="Q13" s="833" t="e">
        <f t="shared" si="5"/>
        <v>#VALUE!</v>
      </c>
      <c r="R13" s="655" t="e">
        <f>IF(P13&gt;0,"-","+")</f>
        <v>#VALUE!</v>
      </c>
      <c r="S13" s="498" t="str">
        <f>'Summary Data'!CL14</f>
        <v>-</v>
      </c>
      <c r="T13" s="438" t="e">
        <f t="shared" si="6"/>
        <v>#VALUE!</v>
      </c>
      <c r="U13" s="833" t="e">
        <f t="shared" si="7"/>
        <v>#VALUE!</v>
      </c>
      <c r="V13" s="498" t="str">
        <f>'Summary Data'!CZ14</f>
        <v>-</v>
      </c>
      <c r="W13" s="438" t="e">
        <f t="shared" si="8"/>
        <v>#VALUE!</v>
      </c>
      <c r="X13" s="833" t="e">
        <f t="shared" si="9"/>
        <v>#VALUE!</v>
      </c>
      <c r="Y13" s="655" t="e">
        <f>IF(W13&gt;0,"-","+")</f>
        <v>#VALUE!</v>
      </c>
      <c r="Z13" s="498" t="str">
        <f>'Summary Data'!DN14</f>
        <v>-</v>
      </c>
      <c r="AA13" s="438" t="e">
        <f t="shared" si="10"/>
        <v>#VALUE!</v>
      </c>
      <c r="AB13" s="833" t="e">
        <f t="shared" si="11"/>
        <v>#VALUE!</v>
      </c>
      <c r="AC13" s="655" t="e">
        <f>IF(AA13&gt;0,"-","+")</f>
        <v>#VALUE!</v>
      </c>
      <c r="AD13" s="498">
        <f>'Summary Data'!RB14</f>
        <v>0</v>
      </c>
      <c r="AE13" s="438" t="e">
        <f t="shared" si="12"/>
        <v>#VALUE!</v>
      </c>
      <c r="AF13" s="833" t="e">
        <f t="shared" si="13"/>
        <v>#VALUE!</v>
      </c>
      <c r="AG13" s="655" t="e">
        <f>IF(AE13&gt;0,"-","+")</f>
        <v>#VALUE!</v>
      </c>
    </row>
    <row r="14" spans="1:33" ht="21.75" hidden="1" customHeight="1" outlineLevel="1" x14ac:dyDescent="0.3">
      <c r="A14" s="485" t="s">
        <v>30</v>
      </c>
      <c r="B14" s="496" t="s">
        <v>29</v>
      </c>
      <c r="C14" s="496" t="s">
        <v>29</v>
      </c>
      <c r="D14" s="427" t="e">
        <f t="shared" si="14"/>
        <v>#VALUE!</v>
      </c>
      <c r="E14" s="415" t="e">
        <f t="shared" si="15"/>
        <v>#VALUE!</v>
      </c>
      <c r="F14" s="423" t="s">
        <v>29</v>
      </c>
      <c r="G14" s="508" t="e">
        <f t="shared" si="0"/>
        <v>#VALUE!</v>
      </c>
      <c r="H14" s="415" t="e">
        <f t="shared" si="1"/>
        <v>#VALUE!</v>
      </c>
      <c r="I14" s="496" t="s">
        <v>29</v>
      </c>
      <c r="J14" s="508" t="e">
        <f t="shared" si="2"/>
        <v>#VALUE!</v>
      </c>
      <c r="K14" s="486" t="e">
        <f t="shared" si="3"/>
        <v>#VALUE!</v>
      </c>
      <c r="L14" s="423" t="s">
        <v>29</v>
      </c>
      <c r="M14" s="838" t="e">
        <v>#VALUE!</v>
      </c>
      <c r="N14" s="1000" t="e">
        <v>#VALUE!</v>
      </c>
      <c r="O14" s="496" t="s">
        <v>29</v>
      </c>
      <c r="P14" s="438" t="e">
        <f t="shared" si="4"/>
        <v>#VALUE!</v>
      </c>
      <c r="Q14" s="833" t="e">
        <f t="shared" si="5"/>
        <v>#VALUE!</v>
      </c>
      <c r="R14" s="655" t="e">
        <f>IF(P14&gt;0,"-","+")</f>
        <v>#VALUE!</v>
      </c>
      <c r="S14" s="496" t="str">
        <f>'Summary Data'!CL15</f>
        <v>-</v>
      </c>
      <c r="T14" s="438" t="e">
        <f t="shared" si="6"/>
        <v>#VALUE!</v>
      </c>
      <c r="U14" s="833" t="e">
        <f t="shared" si="7"/>
        <v>#VALUE!</v>
      </c>
      <c r="V14" s="496" t="str">
        <f>'Summary Data'!CZ15</f>
        <v>-</v>
      </c>
      <c r="W14" s="438" t="e">
        <f t="shared" si="8"/>
        <v>#VALUE!</v>
      </c>
      <c r="X14" s="833" t="e">
        <f t="shared" si="9"/>
        <v>#VALUE!</v>
      </c>
      <c r="Y14" s="655" t="e">
        <f>IF(W14&gt;0,"-","+")</f>
        <v>#VALUE!</v>
      </c>
      <c r="Z14" s="496" t="str">
        <f>'Summary Data'!DN15</f>
        <v>-</v>
      </c>
      <c r="AA14" s="438" t="e">
        <f t="shared" si="10"/>
        <v>#VALUE!</v>
      </c>
      <c r="AB14" s="833" t="e">
        <f t="shared" si="11"/>
        <v>#VALUE!</v>
      </c>
      <c r="AC14" s="655" t="e">
        <f>IF(AA14&gt;0,"-","+")</f>
        <v>#VALUE!</v>
      </c>
      <c r="AD14" s="496">
        <f>'Summary Data'!RB15</f>
        <v>0</v>
      </c>
      <c r="AE14" s="438" t="e">
        <f t="shared" si="12"/>
        <v>#VALUE!</v>
      </c>
      <c r="AF14" s="833" t="e">
        <f t="shared" si="13"/>
        <v>#VALUE!</v>
      </c>
      <c r="AG14" s="655" t="e">
        <f>IF(AE14&gt;0,"-","+")</f>
        <v>#VALUE!</v>
      </c>
    </row>
    <row r="15" spans="1:33" ht="21.75" hidden="1" customHeight="1" outlineLevel="1" x14ac:dyDescent="0.3">
      <c r="A15" s="485" t="s">
        <v>31</v>
      </c>
      <c r="B15" s="496" t="s">
        <v>29</v>
      </c>
      <c r="C15" s="496" t="s">
        <v>29</v>
      </c>
      <c r="D15" s="427" t="e">
        <f t="shared" si="14"/>
        <v>#VALUE!</v>
      </c>
      <c r="E15" s="415" t="e">
        <f t="shared" si="15"/>
        <v>#VALUE!</v>
      </c>
      <c r="F15" s="423" t="s">
        <v>29</v>
      </c>
      <c r="G15" s="508" t="e">
        <f t="shared" si="0"/>
        <v>#VALUE!</v>
      </c>
      <c r="H15" s="415" t="e">
        <f t="shared" si="1"/>
        <v>#VALUE!</v>
      </c>
      <c r="I15" s="496" t="s">
        <v>29</v>
      </c>
      <c r="J15" s="508" t="e">
        <f t="shared" si="2"/>
        <v>#VALUE!</v>
      </c>
      <c r="K15" s="486" t="e">
        <f t="shared" si="3"/>
        <v>#VALUE!</v>
      </c>
      <c r="L15" s="423" t="s">
        <v>29</v>
      </c>
      <c r="M15" s="838" t="e">
        <v>#VALUE!</v>
      </c>
      <c r="N15" s="1000" t="e">
        <v>#VALUE!</v>
      </c>
      <c r="O15" s="496" t="s">
        <v>29</v>
      </c>
      <c r="P15" s="438" t="e">
        <f t="shared" si="4"/>
        <v>#VALUE!</v>
      </c>
      <c r="Q15" s="833" t="e">
        <f t="shared" si="5"/>
        <v>#VALUE!</v>
      </c>
      <c r="R15" s="655" t="e">
        <f>IF(P15&gt;0,"-","+")</f>
        <v>#VALUE!</v>
      </c>
      <c r="S15" s="496" t="str">
        <f>'Summary Data'!CL16</f>
        <v>-</v>
      </c>
      <c r="T15" s="438" t="e">
        <f t="shared" si="6"/>
        <v>#VALUE!</v>
      </c>
      <c r="U15" s="833" t="e">
        <f t="shared" si="7"/>
        <v>#VALUE!</v>
      </c>
      <c r="V15" s="496" t="str">
        <f>'Summary Data'!CZ16</f>
        <v>-</v>
      </c>
      <c r="W15" s="438" t="e">
        <f t="shared" si="8"/>
        <v>#VALUE!</v>
      </c>
      <c r="X15" s="833" t="e">
        <f t="shared" si="9"/>
        <v>#VALUE!</v>
      </c>
      <c r="Y15" s="655" t="e">
        <f>IF(W15&gt;0,"-","+")</f>
        <v>#VALUE!</v>
      </c>
      <c r="Z15" s="496" t="str">
        <f>'Summary Data'!DN16</f>
        <v>-</v>
      </c>
      <c r="AA15" s="438" t="e">
        <f t="shared" si="10"/>
        <v>#VALUE!</v>
      </c>
      <c r="AB15" s="833" t="e">
        <f t="shared" si="11"/>
        <v>#VALUE!</v>
      </c>
      <c r="AC15" s="655" t="e">
        <f>IF(AA15&gt;0,"-","+")</f>
        <v>#VALUE!</v>
      </c>
      <c r="AD15" s="496">
        <f>'Summary Data'!RB16</f>
        <v>0</v>
      </c>
      <c r="AE15" s="438" t="e">
        <f t="shared" si="12"/>
        <v>#VALUE!</v>
      </c>
      <c r="AF15" s="833" t="e">
        <f t="shared" si="13"/>
        <v>#VALUE!</v>
      </c>
      <c r="AG15" s="655" t="e">
        <f>IF(AE15&gt;0,"-","+")</f>
        <v>#VALUE!</v>
      </c>
    </row>
    <row r="16" spans="1:33" ht="21.75" hidden="1" customHeight="1" outlineLevel="1" x14ac:dyDescent="0.3">
      <c r="A16" s="485" t="s">
        <v>3</v>
      </c>
      <c r="B16" s="499" t="s">
        <v>29</v>
      </c>
      <c r="C16" s="499" t="s">
        <v>29</v>
      </c>
      <c r="D16" s="427" t="e">
        <f t="shared" si="14"/>
        <v>#VALUE!</v>
      </c>
      <c r="E16" s="415" t="e">
        <f t="shared" si="15"/>
        <v>#VALUE!</v>
      </c>
      <c r="F16" s="426" t="s">
        <v>29</v>
      </c>
      <c r="G16" s="508" t="e">
        <f t="shared" si="0"/>
        <v>#VALUE!</v>
      </c>
      <c r="H16" s="415" t="e">
        <f t="shared" si="1"/>
        <v>#VALUE!</v>
      </c>
      <c r="I16" s="499" t="s">
        <v>29</v>
      </c>
      <c r="J16" s="508" t="e">
        <f t="shared" si="2"/>
        <v>#VALUE!</v>
      </c>
      <c r="K16" s="486" t="e">
        <f t="shared" si="3"/>
        <v>#VALUE!</v>
      </c>
      <c r="L16" s="426" t="s">
        <v>29</v>
      </c>
      <c r="M16" s="838" t="e">
        <v>#VALUE!</v>
      </c>
      <c r="N16" s="1000" t="e">
        <v>#VALUE!</v>
      </c>
      <c r="O16" s="499" t="s">
        <v>29</v>
      </c>
      <c r="P16" s="438" t="e">
        <f t="shared" si="4"/>
        <v>#VALUE!</v>
      </c>
      <c r="Q16" s="833" t="e">
        <f t="shared" si="5"/>
        <v>#VALUE!</v>
      </c>
      <c r="R16" s="655" t="e">
        <f>IF(P16&gt;0,"-","+")</f>
        <v>#VALUE!</v>
      </c>
      <c r="S16" s="499" t="str">
        <f>'Summary Data'!CL17</f>
        <v>-</v>
      </c>
      <c r="T16" s="438" t="e">
        <f t="shared" si="6"/>
        <v>#VALUE!</v>
      </c>
      <c r="U16" s="833" t="e">
        <f t="shared" si="7"/>
        <v>#VALUE!</v>
      </c>
      <c r="V16" s="499" t="str">
        <f>'Summary Data'!CZ17</f>
        <v>-</v>
      </c>
      <c r="W16" s="438" t="e">
        <f t="shared" si="8"/>
        <v>#VALUE!</v>
      </c>
      <c r="X16" s="833" t="e">
        <f t="shared" si="9"/>
        <v>#VALUE!</v>
      </c>
      <c r="Y16" s="655" t="e">
        <f>IF(W16&gt;0,"-","+")</f>
        <v>#VALUE!</v>
      </c>
      <c r="Z16" s="499" t="str">
        <f>'Summary Data'!DN17</f>
        <v>-</v>
      </c>
      <c r="AA16" s="438" t="e">
        <f t="shared" si="10"/>
        <v>#VALUE!</v>
      </c>
      <c r="AB16" s="833" t="e">
        <f t="shared" si="11"/>
        <v>#VALUE!</v>
      </c>
      <c r="AC16" s="655" t="e">
        <f>IF(AA16&gt;0,"-","+")</f>
        <v>#VALUE!</v>
      </c>
      <c r="AD16" s="499">
        <f>'Summary Data'!RB17</f>
        <v>0</v>
      </c>
      <c r="AE16" s="438" t="e">
        <f t="shared" si="12"/>
        <v>#VALUE!</v>
      </c>
      <c r="AF16" s="833" t="e">
        <f t="shared" si="13"/>
        <v>#VALUE!</v>
      </c>
      <c r="AG16" s="655" t="e">
        <f>IF(AE16&gt;0,"-","+")</f>
        <v>#VALUE!</v>
      </c>
    </row>
    <row r="17" spans="1:33" ht="23.1" customHeight="1" collapsed="1" x14ac:dyDescent="0.3">
      <c r="A17" s="485" t="str">
        <f>'Summary Data'!E18</f>
        <v xml:space="preserve">First Call Resolution </v>
      </c>
      <c r="B17" s="500">
        <v>0.71085686095931999</v>
      </c>
      <c r="C17" s="500">
        <v>0.72160021241757755</v>
      </c>
      <c r="D17" s="442">
        <f>C17-B17</f>
        <v>1.0743351458257555E-2</v>
      </c>
      <c r="E17" s="415">
        <f>D17/B17</f>
        <v>1.5113241565621412E-2</v>
      </c>
      <c r="F17" s="430">
        <v>0.75797057789827782</v>
      </c>
      <c r="G17" s="509">
        <f t="shared" si="0"/>
        <v>3.6370365480700273E-2</v>
      </c>
      <c r="H17" s="415">
        <f t="shared" si="1"/>
        <v>5.0402376350262727E-2</v>
      </c>
      <c r="I17" s="500">
        <v>0.75769875584576019</v>
      </c>
      <c r="J17" s="509">
        <f t="shared" si="2"/>
        <v>-2.7182205251763403E-4</v>
      </c>
      <c r="K17" s="486">
        <f t="shared" si="3"/>
        <v>-3.5861821084315685E-4</v>
      </c>
      <c r="L17" s="430">
        <v>0.79294980998558506</v>
      </c>
      <c r="M17" s="839">
        <v>3.5251054139824878E-2</v>
      </c>
      <c r="N17" s="1000">
        <v>4.652383796047925E-2</v>
      </c>
      <c r="O17" s="500">
        <v>0.80871533672891904</v>
      </c>
      <c r="P17" s="430">
        <f t="shared" si="4"/>
        <v>1.576552674333398E-2</v>
      </c>
      <c r="Q17" s="833">
        <f t="shared" si="5"/>
        <v>1.9882124372563478E-2</v>
      </c>
      <c r="R17" s="655" t="str">
        <f>IF(P17&gt;0,"+","-")</f>
        <v>+</v>
      </c>
      <c r="S17" s="500">
        <f>S5/S22</f>
        <v>0.79732562150115416</v>
      </c>
      <c r="T17" s="430">
        <f t="shared" si="6"/>
        <v>-1.1389715227764885E-2</v>
      </c>
      <c r="U17" s="833">
        <f t="shared" si="7"/>
        <v>-1.4083713651127049E-2</v>
      </c>
      <c r="V17" s="500">
        <f>V5/V22</f>
        <v>0.81567159780750864</v>
      </c>
      <c r="W17" s="430">
        <f t="shared" si="8"/>
        <v>1.8345976306354483E-2</v>
      </c>
      <c r="X17" s="833">
        <f t="shared" si="9"/>
        <v>2.3009390155823466E-2</v>
      </c>
      <c r="Y17" s="655" t="str">
        <f>IF(W17&gt;0,"+","-")</f>
        <v>+</v>
      </c>
      <c r="Z17" s="500">
        <f>Z5/Z22</f>
        <v>0.8046875</v>
      </c>
      <c r="AA17" s="430">
        <f t="shared" si="10"/>
        <v>-1.0984097807508642E-2</v>
      </c>
      <c r="AB17" s="833">
        <f t="shared" si="11"/>
        <v>-1.3466323747245141E-2</v>
      </c>
      <c r="AC17" s="655" t="str">
        <f>IF(AA17&gt;0,"+","-")</f>
        <v>-</v>
      </c>
      <c r="AD17" s="500" t="e">
        <f>AD5/AD22</f>
        <v>#DIV/0!</v>
      </c>
      <c r="AE17" s="430" t="e">
        <f t="shared" si="12"/>
        <v>#DIV/0!</v>
      </c>
      <c r="AF17" s="833" t="e">
        <f t="shared" si="13"/>
        <v>#DIV/0!</v>
      </c>
      <c r="AG17" s="655" t="e">
        <f>IF(AE17&gt;0,"+","-")</f>
        <v>#DIV/0!</v>
      </c>
    </row>
    <row r="18" spans="1:33" ht="21.75" hidden="1" customHeight="1" outlineLevel="1" x14ac:dyDescent="0.3">
      <c r="A18" s="485" t="str">
        <f>'Summary Data'!E19</f>
        <v xml:space="preserve">Calls Abandoned </v>
      </c>
      <c r="B18" s="496" t="s">
        <v>29</v>
      </c>
      <c r="C18" s="496" t="s">
        <v>29</v>
      </c>
      <c r="D18" s="427" t="e">
        <f t="shared" si="14"/>
        <v>#VALUE!</v>
      </c>
      <c r="E18" s="415" t="e">
        <f t="shared" si="15"/>
        <v>#VALUE!</v>
      </c>
      <c r="F18" s="423" t="s">
        <v>29</v>
      </c>
      <c r="G18" s="508" t="e">
        <f t="shared" si="0"/>
        <v>#VALUE!</v>
      </c>
      <c r="H18" s="415" t="e">
        <f t="shared" si="1"/>
        <v>#VALUE!</v>
      </c>
      <c r="I18" s="496" t="s">
        <v>29</v>
      </c>
      <c r="J18" s="508" t="e">
        <f t="shared" si="2"/>
        <v>#VALUE!</v>
      </c>
      <c r="K18" s="486" t="e">
        <f t="shared" si="3"/>
        <v>#VALUE!</v>
      </c>
      <c r="L18" s="423" t="s">
        <v>29</v>
      </c>
      <c r="M18" s="838" t="e">
        <v>#VALUE!</v>
      </c>
      <c r="N18" s="1000" t="e">
        <v>#VALUE!</v>
      </c>
      <c r="O18" s="496" t="s">
        <v>29</v>
      </c>
      <c r="P18" s="438" t="e">
        <f t="shared" si="4"/>
        <v>#VALUE!</v>
      </c>
      <c r="Q18" s="833" t="e">
        <f t="shared" si="5"/>
        <v>#VALUE!</v>
      </c>
      <c r="R18" s="655" t="e">
        <f>IF(P18&gt;0,"+","-")</f>
        <v>#VALUE!</v>
      </c>
      <c r="S18" s="496" t="str">
        <f>'Summary Data'!CL19</f>
        <v>-</v>
      </c>
      <c r="T18" s="438" t="e">
        <f t="shared" si="6"/>
        <v>#VALUE!</v>
      </c>
      <c r="U18" s="833" t="e">
        <f t="shared" si="7"/>
        <v>#VALUE!</v>
      </c>
      <c r="V18" s="496" t="str">
        <f>'Summary Data'!CZ19</f>
        <v>-</v>
      </c>
      <c r="W18" s="438" t="e">
        <f t="shared" si="8"/>
        <v>#VALUE!</v>
      </c>
      <c r="X18" s="833" t="e">
        <f t="shared" si="9"/>
        <v>#VALUE!</v>
      </c>
      <c r="Y18" s="655" t="e">
        <f>IF(W18&gt;0,"+","-")</f>
        <v>#VALUE!</v>
      </c>
      <c r="Z18" s="496" t="str">
        <f>'Summary Data'!DN19</f>
        <v>-</v>
      </c>
      <c r="AA18" s="438" t="e">
        <f t="shared" si="10"/>
        <v>#VALUE!</v>
      </c>
      <c r="AB18" s="833" t="e">
        <f t="shared" si="11"/>
        <v>#VALUE!</v>
      </c>
      <c r="AC18" s="655" t="e">
        <f>IF(AA18&gt;0,"+","-")</f>
        <v>#VALUE!</v>
      </c>
      <c r="AD18" s="496">
        <f>'Summary Data'!RB19</f>
        <v>0</v>
      </c>
      <c r="AE18" s="438" t="e">
        <f t="shared" si="12"/>
        <v>#VALUE!</v>
      </c>
      <c r="AF18" s="833" t="e">
        <f t="shared" si="13"/>
        <v>#VALUE!</v>
      </c>
      <c r="AG18" s="655" t="e">
        <f>IF(AE18&gt;0,"+","-")</f>
        <v>#VALUE!</v>
      </c>
    </row>
    <row r="19" spans="1:33" ht="21.75" hidden="1" customHeight="1" outlineLevel="1" x14ac:dyDescent="0.3">
      <c r="A19" s="485" t="s">
        <v>168</v>
      </c>
      <c r="B19" s="501" t="s">
        <v>29</v>
      </c>
      <c r="C19" s="501" t="s">
        <v>29</v>
      </c>
      <c r="D19" s="427" t="e">
        <f t="shared" si="14"/>
        <v>#VALUE!</v>
      </c>
      <c r="E19" s="415" t="e">
        <f t="shared" si="15"/>
        <v>#VALUE!</v>
      </c>
      <c r="F19" s="427" t="s">
        <v>29</v>
      </c>
      <c r="G19" s="508" t="e">
        <f t="shared" si="0"/>
        <v>#VALUE!</v>
      </c>
      <c r="H19" s="415" t="e">
        <f t="shared" si="1"/>
        <v>#VALUE!</v>
      </c>
      <c r="I19" s="501" t="s">
        <v>29</v>
      </c>
      <c r="J19" s="508" t="e">
        <f t="shared" si="2"/>
        <v>#VALUE!</v>
      </c>
      <c r="K19" s="486" t="e">
        <f t="shared" si="3"/>
        <v>#VALUE!</v>
      </c>
      <c r="L19" s="427" t="s">
        <v>29</v>
      </c>
      <c r="M19" s="838" t="e">
        <v>#VALUE!</v>
      </c>
      <c r="N19" s="1000" t="e">
        <v>#VALUE!</v>
      </c>
      <c r="O19" s="501" t="s">
        <v>29</v>
      </c>
      <c r="P19" s="438" t="e">
        <f t="shared" si="4"/>
        <v>#VALUE!</v>
      </c>
      <c r="Q19" s="833" t="e">
        <f t="shared" si="5"/>
        <v>#VALUE!</v>
      </c>
      <c r="R19" s="655" t="e">
        <f>IF(P19&gt;0,"+","-")</f>
        <v>#VALUE!</v>
      </c>
      <c r="S19" s="501" t="str">
        <f>'Summary Data'!CL20</f>
        <v>-</v>
      </c>
      <c r="T19" s="438" t="e">
        <f t="shared" si="6"/>
        <v>#VALUE!</v>
      </c>
      <c r="U19" s="833" t="e">
        <f t="shared" si="7"/>
        <v>#VALUE!</v>
      </c>
      <c r="V19" s="501" t="str">
        <f>'Summary Data'!CZ20</f>
        <v>-</v>
      </c>
      <c r="W19" s="438" t="e">
        <f t="shared" si="8"/>
        <v>#VALUE!</v>
      </c>
      <c r="X19" s="833" t="e">
        <f t="shared" si="9"/>
        <v>#VALUE!</v>
      </c>
      <c r="Y19" s="655" t="e">
        <f>IF(W19&gt;0,"+","-")</f>
        <v>#VALUE!</v>
      </c>
      <c r="Z19" s="501" t="str">
        <f>'Summary Data'!DN20</f>
        <v>-</v>
      </c>
      <c r="AA19" s="438" t="e">
        <f t="shared" si="10"/>
        <v>#VALUE!</v>
      </c>
      <c r="AB19" s="833" t="e">
        <f t="shared" si="11"/>
        <v>#VALUE!</v>
      </c>
      <c r="AC19" s="655" t="e">
        <f>IF(AA19&gt;0,"+","-")</f>
        <v>#VALUE!</v>
      </c>
      <c r="AD19" s="501">
        <f>'Summary Data'!RB20</f>
        <v>0</v>
      </c>
      <c r="AE19" s="438" t="e">
        <f t="shared" si="12"/>
        <v>#VALUE!</v>
      </c>
      <c r="AF19" s="833" t="e">
        <f t="shared" si="13"/>
        <v>#VALUE!</v>
      </c>
      <c r="AG19" s="655" t="e">
        <f>IF(AE19&gt;0,"+","-")</f>
        <v>#VALUE!</v>
      </c>
    </row>
    <row r="20" spans="1:33" ht="21.75" hidden="1" customHeight="1" outlineLevel="1" x14ac:dyDescent="0.3">
      <c r="A20" s="485" t="s">
        <v>91</v>
      </c>
      <c r="B20" s="497">
        <v>0</v>
      </c>
      <c r="C20" s="497">
        <v>0</v>
      </c>
      <c r="D20" s="438">
        <f t="shared" si="14"/>
        <v>0</v>
      </c>
      <c r="E20" s="415" t="e">
        <f t="shared" si="15"/>
        <v>#DIV/0!</v>
      </c>
      <c r="F20" s="424">
        <v>0</v>
      </c>
      <c r="G20" s="508">
        <f t="shared" si="0"/>
        <v>0</v>
      </c>
      <c r="H20" s="415" t="e">
        <f t="shared" si="1"/>
        <v>#DIV/0!</v>
      </c>
      <c r="I20" s="497">
        <v>0</v>
      </c>
      <c r="J20" s="508">
        <f t="shared" si="2"/>
        <v>0</v>
      </c>
      <c r="K20" s="486" t="e">
        <f t="shared" si="3"/>
        <v>#DIV/0!</v>
      </c>
      <c r="L20" s="424">
        <v>0</v>
      </c>
      <c r="M20" s="838">
        <v>0</v>
      </c>
      <c r="N20" s="1000" t="e">
        <v>#DIV/0!</v>
      </c>
      <c r="O20" s="497">
        <v>0</v>
      </c>
      <c r="P20" s="438">
        <f t="shared" si="4"/>
        <v>0</v>
      </c>
      <c r="Q20" s="833" t="e">
        <f t="shared" si="5"/>
        <v>#DIV/0!</v>
      </c>
      <c r="R20" s="655" t="str">
        <f>IF(P20&gt;0,"+","-")</f>
        <v>-</v>
      </c>
      <c r="S20" s="497">
        <f>'Summary Data'!CL21</f>
        <v>0</v>
      </c>
      <c r="T20" s="438">
        <f t="shared" si="6"/>
        <v>0</v>
      </c>
      <c r="U20" s="833" t="e">
        <f t="shared" si="7"/>
        <v>#DIV/0!</v>
      </c>
      <c r="V20" s="497">
        <f>'Summary Data'!CZ21</f>
        <v>0</v>
      </c>
      <c r="W20" s="438">
        <f t="shared" si="8"/>
        <v>0</v>
      </c>
      <c r="X20" s="833" t="e">
        <f t="shared" si="9"/>
        <v>#DIV/0!</v>
      </c>
      <c r="Y20" s="655" t="str">
        <f>IF(W20&gt;0,"+","-")</f>
        <v>-</v>
      </c>
      <c r="Z20" s="497">
        <f>'Summary Data'!DN21</f>
        <v>0</v>
      </c>
      <c r="AA20" s="438">
        <f t="shared" si="10"/>
        <v>0</v>
      </c>
      <c r="AB20" s="833" t="e">
        <f t="shared" si="11"/>
        <v>#DIV/0!</v>
      </c>
      <c r="AC20" s="655" t="str">
        <f>IF(AA20&gt;0,"+","-")</f>
        <v>-</v>
      </c>
      <c r="AD20" s="497">
        <f>'Summary Data'!RB21</f>
        <v>0</v>
      </c>
      <c r="AE20" s="438">
        <f t="shared" si="12"/>
        <v>0</v>
      </c>
      <c r="AF20" s="833" t="e">
        <f t="shared" si="13"/>
        <v>#DIV/0!</v>
      </c>
      <c r="AG20" s="655" t="str">
        <f>IF(AE20&gt;0,"+","-")</f>
        <v>-</v>
      </c>
    </row>
    <row r="21" spans="1:33" ht="23.1" customHeight="1" collapsed="1" x14ac:dyDescent="0.3">
      <c r="A21" s="485" t="str">
        <f>'Summary Data'!E22</f>
        <v xml:space="preserve">Number of New Tickets </v>
      </c>
      <c r="B21" s="498">
        <v>130386</v>
      </c>
      <c r="C21" s="498">
        <v>90700</v>
      </c>
      <c r="D21" s="427">
        <f t="shared" si="14"/>
        <v>-39686</v>
      </c>
      <c r="E21" s="415">
        <f t="shared" si="15"/>
        <v>-0.30437316889850136</v>
      </c>
      <c r="F21" s="425">
        <v>77529</v>
      </c>
      <c r="G21" s="510">
        <f t="shared" si="0"/>
        <v>-13171</v>
      </c>
      <c r="H21" s="415">
        <f t="shared" si="1"/>
        <v>-0.14521499448732084</v>
      </c>
      <c r="I21" s="498">
        <v>81542</v>
      </c>
      <c r="J21" s="510">
        <f t="shared" si="2"/>
        <v>4013</v>
      </c>
      <c r="K21" s="486">
        <f t="shared" si="3"/>
        <v>5.1761276425595582E-2</v>
      </c>
      <c r="L21" s="425">
        <v>94090</v>
      </c>
      <c r="M21" s="837">
        <v>12548</v>
      </c>
      <c r="N21" s="1000">
        <v>0.15388388805768807</v>
      </c>
      <c r="O21" s="498">
        <v>96396</v>
      </c>
      <c r="P21" s="1003">
        <f t="shared" si="4"/>
        <v>2306</v>
      </c>
      <c r="Q21" s="833">
        <f t="shared" si="5"/>
        <v>2.450844935699862E-2</v>
      </c>
      <c r="R21" s="656"/>
      <c r="S21" s="498">
        <f>'Summary Data'!CL22</f>
        <v>83223</v>
      </c>
      <c r="T21" s="1003">
        <f t="shared" si="6"/>
        <v>-13173</v>
      </c>
      <c r="U21" s="833">
        <f t="shared" si="7"/>
        <v>-0.13665504792729988</v>
      </c>
      <c r="V21" s="498">
        <f>'Summary Data'!CZ22</f>
        <v>75535</v>
      </c>
      <c r="W21" s="1003">
        <f t="shared" si="8"/>
        <v>-7688</v>
      </c>
      <c r="X21" s="833">
        <f t="shared" si="9"/>
        <v>-9.2378308880958396E-2</v>
      </c>
      <c r="Y21" s="656"/>
      <c r="Z21" s="498">
        <f>'Summary Data'!DN22</f>
        <v>56436</v>
      </c>
      <c r="AA21" s="1003">
        <f t="shared" si="10"/>
        <v>-19099</v>
      </c>
      <c r="AB21" s="833">
        <f t="shared" si="11"/>
        <v>-0.25284967233732708</v>
      </c>
      <c r="AC21" s="656"/>
      <c r="AD21" s="498">
        <f>'Summary Data'!RB22</f>
        <v>0</v>
      </c>
      <c r="AE21" s="1003">
        <f t="shared" si="12"/>
        <v>-56436</v>
      </c>
      <c r="AF21" s="833">
        <f t="shared" si="13"/>
        <v>-1</v>
      </c>
      <c r="AG21" s="656"/>
    </row>
    <row r="22" spans="1:33" ht="23.1" customHeight="1" x14ac:dyDescent="0.3">
      <c r="A22" s="487" t="str">
        <f>'Summary Data'!E23</f>
        <v>Reported Source - Telephone</v>
      </c>
      <c r="B22" s="498">
        <v>52704</v>
      </c>
      <c r="C22" s="498">
        <v>45194</v>
      </c>
      <c r="D22" s="427">
        <f t="shared" si="14"/>
        <v>-7510</v>
      </c>
      <c r="E22" s="415">
        <f t="shared" si="15"/>
        <v>-0.1424939283545841</v>
      </c>
      <c r="F22" s="425">
        <v>39834</v>
      </c>
      <c r="G22" s="510">
        <f t="shared" si="0"/>
        <v>-5360</v>
      </c>
      <c r="H22" s="415">
        <f t="shared" si="1"/>
        <v>-0.11859981413461965</v>
      </c>
      <c r="I22" s="498">
        <v>45332</v>
      </c>
      <c r="J22" s="510">
        <f t="shared" si="2"/>
        <v>5498</v>
      </c>
      <c r="K22" s="486">
        <f t="shared" si="3"/>
        <v>0.13802279459757996</v>
      </c>
      <c r="L22" s="425">
        <v>53417</v>
      </c>
      <c r="M22" s="837">
        <v>8085</v>
      </c>
      <c r="N22" s="1000">
        <v>0.17835083384805436</v>
      </c>
      <c r="O22" s="498">
        <v>51243</v>
      </c>
      <c r="P22" s="1003">
        <f t="shared" si="4"/>
        <v>-2174</v>
      </c>
      <c r="Q22" s="833">
        <f t="shared" si="5"/>
        <v>-4.0698653986558586E-2</v>
      </c>
      <c r="R22" s="656"/>
      <c r="S22" s="498">
        <f>'Summary Data'!CL23</f>
        <v>37691</v>
      </c>
      <c r="T22" s="1003">
        <f t="shared" si="6"/>
        <v>-13552</v>
      </c>
      <c r="U22" s="833">
        <f t="shared" si="7"/>
        <v>-0.26446539039478562</v>
      </c>
      <c r="V22" s="498">
        <f>'Summary Data'!CZ23</f>
        <v>33934</v>
      </c>
      <c r="W22" s="1003">
        <f t="shared" si="8"/>
        <v>-3757</v>
      </c>
      <c r="X22" s="833">
        <f t="shared" si="9"/>
        <v>-9.9678968454007588E-2</v>
      </c>
      <c r="Y22" s="656"/>
      <c r="Z22" s="498">
        <f>'Summary Data'!DN23</f>
        <v>22528</v>
      </c>
      <c r="AA22" s="1003">
        <f t="shared" si="10"/>
        <v>-11406</v>
      </c>
      <c r="AB22" s="833">
        <f t="shared" si="11"/>
        <v>-0.33612306241527673</v>
      </c>
      <c r="AC22" s="656"/>
      <c r="AD22" s="498">
        <f>'Summary Data'!RB23</f>
        <v>0</v>
      </c>
      <c r="AE22" s="1003">
        <f t="shared" si="12"/>
        <v>-22528</v>
      </c>
      <c r="AF22" s="833">
        <f t="shared" si="13"/>
        <v>-1</v>
      </c>
      <c r="AG22" s="656"/>
    </row>
    <row r="23" spans="1:33" ht="23.1" customHeight="1" x14ac:dyDescent="0.3">
      <c r="A23" s="487" t="str">
        <f>'Summary Data'!E24</f>
        <v>Reported Source - Email</v>
      </c>
      <c r="B23" s="498">
        <v>20186</v>
      </c>
      <c r="C23" s="498">
        <v>19497</v>
      </c>
      <c r="D23" s="427">
        <f t="shared" si="14"/>
        <v>-689</v>
      </c>
      <c r="E23" s="415">
        <f t="shared" si="15"/>
        <v>-3.4132567125730706E-2</v>
      </c>
      <c r="F23" s="425">
        <v>20842</v>
      </c>
      <c r="G23" s="510">
        <f t="shared" si="0"/>
        <v>1345</v>
      </c>
      <c r="H23" s="415">
        <f t="shared" si="1"/>
        <v>6.8984972046981591E-2</v>
      </c>
      <c r="I23" s="498">
        <v>21669</v>
      </c>
      <c r="J23" s="510">
        <f t="shared" si="2"/>
        <v>827</v>
      </c>
      <c r="K23" s="486">
        <f t="shared" si="3"/>
        <v>3.9679493330774397E-2</v>
      </c>
      <c r="L23" s="425">
        <v>27865</v>
      </c>
      <c r="M23" s="837">
        <v>6196</v>
      </c>
      <c r="N23" s="1000">
        <v>0.28593843739904934</v>
      </c>
      <c r="O23" s="498">
        <v>35165</v>
      </c>
      <c r="P23" s="1003">
        <f t="shared" si="4"/>
        <v>7300</v>
      </c>
      <c r="Q23" s="833">
        <f t="shared" si="5"/>
        <v>0.26197739099228423</v>
      </c>
      <c r="R23" s="656"/>
      <c r="S23" s="498">
        <f>'Summary Data'!CL24</f>
        <v>35100</v>
      </c>
      <c r="T23" s="1003">
        <f t="shared" si="6"/>
        <v>-65</v>
      </c>
      <c r="U23" s="833">
        <f t="shared" si="7"/>
        <v>-1.8484288354898336E-3</v>
      </c>
      <c r="V23" s="498">
        <f>'Summary Data'!CZ24</f>
        <v>31703</v>
      </c>
      <c r="W23" s="1003">
        <f t="shared" si="8"/>
        <v>-3397</v>
      </c>
      <c r="X23" s="833">
        <f t="shared" si="9"/>
        <v>-9.678062678062678E-2</v>
      </c>
      <c r="Y23" s="656"/>
      <c r="Z23" s="498">
        <f>'Summary Data'!DN24</f>
        <v>25611</v>
      </c>
      <c r="AA23" s="1003">
        <f t="shared" si="10"/>
        <v>-6092</v>
      </c>
      <c r="AB23" s="833">
        <f t="shared" si="11"/>
        <v>-0.19215847080717913</v>
      </c>
      <c r="AC23" s="656"/>
      <c r="AD23" s="498">
        <f>'Summary Data'!RB24</f>
        <v>0</v>
      </c>
      <c r="AE23" s="1003">
        <f t="shared" si="12"/>
        <v>-25611</v>
      </c>
      <c r="AF23" s="833">
        <f t="shared" si="13"/>
        <v>-1</v>
      </c>
      <c r="AG23" s="656"/>
    </row>
    <row r="24" spans="1:33" ht="23.1" customHeight="1" x14ac:dyDescent="0.3">
      <c r="A24" s="487" t="str">
        <f>'Summary Data'!E25</f>
        <v>Reported Source - Fax</v>
      </c>
      <c r="B24" s="498">
        <v>33004</v>
      </c>
      <c r="C24" s="498">
        <v>14957</v>
      </c>
      <c r="D24" s="427">
        <f t="shared" si="14"/>
        <v>-18047</v>
      </c>
      <c r="E24" s="415">
        <f t="shared" si="15"/>
        <v>-0.54681250757483946</v>
      </c>
      <c r="F24" s="425">
        <v>6759</v>
      </c>
      <c r="G24" s="510">
        <f t="shared" si="0"/>
        <v>-8198</v>
      </c>
      <c r="H24" s="415">
        <f t="shared" si="1"/>
        <v>-0.54810456642374805</v>
      </c>
      <c r="I24" s="498">
        <v>7143</v>
      </c>
      <c r="J24" s="510">
        <f t="shared" si="2"/>
        <v>384</v>
      </c>
      <c r="K24" s="486">
        <f t="shared" si="3"/>
        <v>5.6813138038171326E-2</v>
      </c>
      <c r="L24" s="425">
        <v>5134</v>
      </c>
      <c r="M24" s="837">
        <v>-2009</v>
      </c>
      <c r="N24" s="1000">
        <v>-0.28125437491250177</v>
      </c>
      <c r="O24" s="498">
        <v>3931</v>
      </c>
      <c r="P24" s="1003">
        <f t="shared" si="4"/>
        <v>-1203</v>
      </c>
      <c r="Q24" s="833">
        <f t="shared" si="5"/>
        <v>-0.23432021815348655</v>
      </c>
      <c r="R24" s="656"/>
      <c r="S24" s="498">
        <f>'Summary Data'!CL25</f>
        <v>5282</v>
      </c>
      <c r="T24" s="1003">
        <f t="shared" si="6"/>
        <v>1351</v>
      </c>
      <c r="U24" s="833">
        <f t="shared" si="7"/>
        <v>0.34367845331976599</v>
      </c>
      <c r="V24" s="498">
        <f>'Summary Data'!CZ25</f>
        <v>4635</v>
      </c>
      <c r="W24" s="1003">
        <f t="shared" si="8"/>
        <v>-647</v>
      </c>
      <c r="X24" s="833">
        <f t="shared" si="9"/>
        <v>-0.12249148049981068</v>
      </c>
      <c r="Y24" s="656"/>
      <c r="Z24" s="498">
        <f>'Summary Data'!DN25</f>
        <v>3824</v>
      </c>
      <c r="AA24" s="1003">
        <f t="shared" si="10"/>
        <v>-811</v>
      </c>
      <c r="AB24" s="833">
        <f t="shared" si="11"/>
        <v>-0.17497303128371089</v>
      </c>
      <c r="AC24" s="656"/>
      <c r="AD24" s="498">
        <f>'Summary Data'!RB25</f>
        <v>0</v>
      </c>
      <c r="AE24" s="1003">
        <f t="shared" si="12"/>
        <v>-3824</v>
      </c>
      <c r="AF24" s="833">
        <f t="shared" si="13"/>
        <v>-1</v>
      </c>
      <c r="AG24" s="656"/>
    </row>
    <row r="25" spans="1:33" ht="23.1" customHeight="1" x14ac:dyDescent="0.3">
      <c r="A25" s="487" t="str">
        <f>'Summary Data'!E26</f>
        <v>Reported Source - US Mail</v>
      </c>
      <c r="B25" s="498">
        <v>23565</v>
      </c>
      <c r="C25" s="498">
        <v>10327</v>
      </c>
      <c r="D25" s="427">
        <f t="shared" si="14"/>
        <v>-13238</v>
      </c>
      <c r="E25" s="415">
        <f t="shared" si="15"/>
        <v>-0.56176532993846806</v>
      </c>
      <c r="F25" s="425">
        <v>9661</v>
      </c>
      <c r="G25" s="510">
        <f t="shared" si="0"/>
        <v>-666</v>
      </c>
      <c r="H25" s="415">
        <f t="shared" si="1"/>
        <v>-6.4491139730802755E-2</v>
      </c>
      <c r="I25" s="498">
        <v>7250</v>
      </c>
      <c r="J25" s="510">
        <f t="shared" si="2"/>
        <v>-2411</v>
      </c>
      <c r="K25" s="486">
        <f t="shared" si="3"/>
        <v>-0.24956008694752096</v>
      </c>
      <c r="L25" s="425">
        <v>7399</v>
      </c>
      <c r="M25" s="837">
        <v>149</v>
      </c>
      <c r="N25" s="1000">
        <v>2.0551724137931035E-2</v>
      </c>
      <c r="O25" s="498">
        <v>5868</v>
      </c>
      <c r="P25" s="1003">
        <f t="shared" si="4"/>
        <v>-1531</v>
      </c>
      <c r="Q25" s="833">
        <f t="shared" si="5"/>
        <v>-0.20691985403432897</v>
      </c>
      <c r="R25" s="656"/>
      <c r="S25" s="498">
        <f>'Summary Data'!CL26</f>
        <v>4804</v>
      </c>
      <c r="T25" s="1003">
        <f t="shared" si="6"/>
        <v>-1064</v>
      </c>
      <c r="U25" s="833">
        <f t="shared" si="7"/>
        <v>-0.18132242672119972</v>
      </c>
      <c r="V25" s="498">
        <f>'Summary Data'!CZ26</f>
        <v>4923</v>
      </c>
      <c r="W25" s="1003">
        <f t="shared" si="8"/>
        <v>119</v>
      </c>
      <c r="X25" s="833">
        <f t="shared" si="9"/>
        <v>2.4771024146544546E-2</v>
      </c>
      <c r="Y25" s="656"/>
      <c r="Z25" s="498">
        <f>'Summary Data'!DN26</f>
        <v>4245</v>
      </c>
      <c r="AA25" s="1003">
        <f t="shared" si="10"/>
        <v>-678</v>
      </c>
      <c r="AB25" s="833">
        <f t="shared" si="11"/>
        <v>-0.13772090188909203</v>
      </c>
      <c r="AC25" s="656"/>
      <c r="AD25" s="498">
        <f>'Summary Data'!RB26</f>
        <v>0</v>
      </c>
      <c r="AE25" s="1003">
        <f t="shared" si="12"/>
        <v>-4245</v>
      </c>
      <c r="AF25" s="833">
        <f t="shared" si="13"/>
        <v>-1</v>
      </c>
      <c r="AG25" s="656"/>
    </row>
    <row r="26" spans="1:33" ht="23.1" customHeight="1" x14ac:dyDescent="0.3">
      <c r="A26" s="487" t="str">
        <f>'Summary Data'!E27</f>
        <v>Reported Source - Other</v>
      </c>
      <c r="B26" s="498">
        <v>927</v>
      </c>
      <c r="C26" s="498">
        <v>725</v>
      </c>
      <c r="D26" s="427">
        <f t="shared" si="14"/>
        <v>-202</v>
      </c>
      <c r="E26" s="415">
        <f t="shared" si="15"/>
        <v>-0.21790722761596548</v>
      </c>
      <c r="F26" s="425">
        <v>433</v>
      </c>
      <c r="G26" s="510">
        <f t="shared" si="0"/>
        <v>-292</v>
      </c>
      <c r="H26" s="415">
        <f t="shared" si="1"/>
        <v>-0.40275862068965518</v>
      </c>
      <c r="I26" s="498">
        <v>148</v>
      </c>
      <c r="J26" s="510">
        <f t="shared" si="2"/>
        <v>-285</v>
      </c>
      <c r="K26" s="486">
        <f t="shared" si="3"/>
        <v>-0.65819861431870674</v>
      </c>
      <c r="L26" s="425">
        <v>275</v>
      </c>
      <c r="M26" s="837">
        <v>127</v>
      </c>
      <c r="N26" s="1000">
        <v>0.85810810810810811</v>
      </c>
      <c r="O26" s="498">
        <v>189</v>
      </c>
      <c r="P26" s="1003">
        <f t="shared" si="4"/>
        <v>-86</v>
      </c>
      <c r="Q26" s="833">
        <f t="shared" si="5"/>
        <v>-0.31272727272727274</v>
      </c>
      <c r="R26" s="656"/>
      <c r="S26" s="498">
        <f>'Summary Data'!CL27</f>
        <v>346</v>
      </c>
      <c r="T26" s="1003">
        <f t="shared" si="6"/>
        <v>157</v>
      </c>
      <c r="U26" s="833">
        <f t="shared" si="7"/>
        <v>0.8306878306878307</v>
      </c>
      <c r="V26" s="498">
        <f>'Summary Data'!CZ27</f>
        <v>340</v>
      </c>
      <c r="W26" s="1003">
        <f t="shared" si="8"/>
        <v>-6</v>
      </c>
      <c r="X26" s="833">
        <f t="shared" si="9"/>
        <v>-1.7341040462427744E-2</v>
      </c>
      <c r="Y26" s="656"/>
      <c r="Z26" s="498">
        <f>'Summary Data'!DN27</f>
        <v>228</v>
      </c>
      <c r="AA26" s="1003">
        <f t="shared" si="10"/>
        <v>-112</v>
      </c>
      <c r="AB26" s="833">
        <f t="shared" si="11"/>
        <v>-0.32941176470588235</v>
      </c>
      <c r="AC26" s="656"/>
      <c r="AD26" s="498">
        <f>'Summary Data'!RB27</f>
        <v>0</v>
      </c>
      <c r="AE26" s="1003">
        <f t="shared" si="12"/>
        <v>-228</v>
      </c>
      <c r="AF26" s="833">
        <f t="shared" si="13"/>
        <v>-1</v>
      </c>
      <c r="AG26" s="656"/>
    </row>
    <row r="27" spans="1:33" ht="23.1" customHeight="1" x14ac:dyDescent="0.3">
      <c r="A27" s="485" t="str">
        <f>'Summary Data'!E28</f>
        <v>Resolved Tickets</v>
      </c>
      <c r="B27" s="498">
        <v>142029</v>
      </c>
      <c r="C27" s="498">
        <v>91957</v>
      </c>
      <c r="D27" s="427">
        <f t="shared" si="14"/>
        <v>-50072</v>
      </c>
      <c r="E27" s="415">
        <f t="shared" si="15"/>
        <v>-0.35254771912778377</v>
      </c>
      <c r="F27" s="425">
        <v>76984</v>
      </c>
      <c r="G27" s="510">
        <f t="shared" si="0"/>
        <v>-14973</v>
      </c>
      <c r="H27" s="415">
        <f t="shared" si="1"/>
        <v>-0.16282610350489904</v>
      </c>
      <c r="I27" s="498">
        <v>82222</v>
      </c>
      <c r="J27" s="510">
        <f t="shared" si="2"/>
        <v>5238</v>
      </c>
      <c r="K27" s="486">
        <f t="shared" si="3"/>
        <v>6.8040112231112962E-2</v>
      </c>
      <c r="L27" s="425">
        <v>94891</v>
      </c>
      <c r="M27" s="837">
        <v>12669</v>
      </c>
      <c r="N27" s="1000">
        <v>0.15408284887256452</v>
      </c>
      <c r="O27" s="498">
        <v>97104</v>
      </c>
      <c r="P27" s="1003">
        <f t="shared" si="4"/>
        <v>2213</v>
      </c>
      <c r="Q27" s="833">
        <f t="shared" si="5"/>
        <v>2.3321495189217101E-2</v>
      </c>
      <c r="R27" s="656"/>
      <c r="S27" s="498">
        <f>'Summary Data'!CL28</f>
        <v>83950</v>
      </c>
      <c r="T27" s="1003">
        <f t="shared" si="6"/>
        <v>-13154</v>
      </c>
      <c r="U27" s="833">
        <f t="shared" si="7"/>
        <v>-0.13546300873290493</v>
      </c>
      <c r="V27" s="498">
        <f>'Summary Data'!CZ28</f>
        <v>76305</v>
      </c>
      <c r="W27" s="1003">
        <f t="shared" si="8"/>
        <v>-7645</v>
      </c>
      <c r="X27" s="833">
        <f t="shared" si="9"/>
        <v>-9.106611078022632E-2</v>
      </c>
      <c r="Y27" s="656"/>
      <c r="Z27" s="498">
        <f>'Summary Data'!DN28</f>
        <v>57255</v>
      </c>
      <c r="AA27" s="1003">
        <f t="shared" si="10"/>
        <v>-19050</v>
      </c>
      <c r="AB27" s="833">
        <f t="shared" si="11"/>
        <v>-0.24965598584627482</v>
      </c>
      <c r="AC27" s="656"/>
      <c r="AD27" s="498">
        <f>'Summary Data'!RB28</f>
        <v>0</v>
      </c>
      <c r="AE27" s="1003">
        <f t="shared" si="12"/>
        <v>-57255</v>
      </c>
      <c r="AF27" s="833">
        <f t="shared" si="13"/>
        <v>-1</v>
      </c>
      <c r="AG27" s="656"/>
    </row>
    <row r="28" spans="1:33" ht="20.25" hidden="1" customHeight="1" outlineLevel="1" x14ac:dyDescent="0.3">
      <c r="A28" s="485" t="s">
        <v>44</v>
      </c>
      <c r="B28" s="502">
        <v>0</v>
      </c>
      <c r="C28" s="502">
        <v>0</v>
      </c>
      <c r="D28" s="427">
        <f t="shared" si="14"/>
        <v>0</v>
      </c>
      <c r="E28" s="415" t="e">
        <f t="shared" si="15"/>
        <v>#DIV/0!</v>
      </c>
      <c r="F28" s="428">
        <v>0</v>
      </c>
      <c r="G28" s="510">
        <f t="shared" si="0"/>
        <v>0</v>
      </c>
      <c r="H28" s="415" t="e">
        <f t="shared" si="1"/>
        <v>#DIV/0!</v>
      </c>
      <c r="I28" s="502">
        <v>0</v>
      </c>
      <c r="J28" s="510">
        <f t="shared" si="2"/>
        <v>0</v>
      </c>
      <c r="K28" s="486" t="e">
        <f t="shared" si="3"/>
        <v>#DIV/0!</v>
      </c>
      <c r="L28" s="428">
        <v>0</v>
      </c>
      <c r="M28" s="837">
        <v>0</v>
      </c>
      <c r="N28" s="1000" t="e">
        <v>#DIV/0!</v>
      </c>
      <c r="O28" s="502">
        <v>0</v>
      </c>
      <c r="P28" s="1003">
        <f t="shared" si="4"/>
        <v>0</v>
      </c>
      <c r="Q28" s="833" t="e">
        <f t="shared" si="5"/>
        <v>#DIV/0!</v>
      </c>
      <c r="R28" s="656" t="str">
        <f t="shared" ref="R28:R34" si="16">IF(P28&gt;0,"-","+")</f>
        <v>+</v>
      </c>
      <c r="S28" s="502">
        <f>'Summary Data'!CL29</f>
        <v>0</v>
      </c>
      <c r="T28" s="1003">
        <f t="shared" si="6"/>
        <v>0</v>
      </c>
      <c r="U28" s="833" t="e">
        <f t="shared" si="7"/>
        <v>#DIV/0!</v>
      </c>
      <c r="V28" s="502">
        <f>'Summary Data'!CZ29</f>
        <v>0</v>
      </c>
      <c r="W28" s="1003">
        <f t="shared" si="8"/>
        <v>0</v>
      </c>
      <c r="X28" s="833" t="e">
        <f t="shared" si="9"/>
        <v>#DIV/0!</v>
      </c>
      <c r="Y28" s="656" t="str">
        <f t="shared" ref="Y28:Y34" si="17">IF(W28&gt;0,"-","+")</f>
        <v>+</v>
      </c>
      <c r="Z28" s="502">
        <f>'Summary Data'!DN29</f>
        <v>0</v>
      </c>
      <c r="AA28" s="1003">
        <f t="shared" si="10"/>
        <v>0</v>
      </c>
      <c r="AB28" s="833" t="e">
        <f t="shared" si="11"/>
        <v>#DIV/0!</v>
      </c>
      <c r="AC28" s="656" t="str">
        <f t="shared" ref="AC28:AC34" si="18">IF(AA28&gt;0,"-","+")</f>
        <v>+</v>
      </c>
      <c r="AD28" s="502">
        <f>'Summary Data'!RB29</f>
        <v>0</v>
      </c>
      <c r="AE28" s="1003">
        <f t="shared" si="12"/>
        <v>0</v>
      </c>
      <c r="AF28" s="833" t="e">
        <f t="shared" si="13"/>
        <v>#DIV/0!</v>
      </c>
      <c r="AG28" s="656" t="str">
        <f t="shared" ref="AG28:AG34" si="19">IF(AE28&gt;0,"-","+")</f>
        <v>+</v>
      </c>
    </row>
    <row r="29" spans="1:33" ht="20.25" hidden="1" customHeight="1" outlineLevel="1" x14ac:dyDescent="0.3">
      <c r="A29" s="485" t="s">
        <v>45</v>
      </c>
      <c r="B29" s="498">
        <v>0</v>
      </c>
      <c r="C29" s="498">
        <v>0</v>
      </c>
      <c r="D29" s="427">
        <f t="shared" si="14"/>
        <v>0</v>
      </c>
      <c r="E29" s="415" t="e">
        <f t="shared" si="15"/>
        <v>#DIV/0!</v>
      </c>
      <c r="F29" s="425">
        <v>0</v>
      </c>
      <c r="G29" s="510">
        <f t="shared" si="0"/>
        <v>0</v>
      </c>
      <c r="H29" s="415" t="e">
        <f t="shared" si="1"/>
        <v>#DIV/0!</v>
      </c>
      <c r="I29" s="498">
        <v>0</v>
      </c>
      <c r="J29" s="510">
        <f t="shared" si="2"/>
        <v>0</v>
      </c>
      <c r="K29" s="486" t="e">
        <f t="shared" si="3"/>
        <v>#DIV/0!</v>
      </c>
      <c r="L29" s="425">
        <v>0</v>
      </c>
      <c r="M29" s="837">
        <v>0</v>
      </c>
      <c r="N29" s="1000" t="e">
        <v>#DIV/0!</v>
      </c>
      <c r="O29" s="498">
        <v>0</v>
      </c>
      <c r="P29" s="1003">
        <f t="shared" si="4"/>
        <v>0</v>
      </c>
      <c r="Q29" s="833" t="e">
        <f t="shared" si="5"/>
        <v>#DIV/0!</v>
      </c>
      <c r="R29" s="656" t="str">
        <f t="shared" si="16"/>
        <v>+</v>
      </c>
      <c r="S29" s="498">
        <f>'Summary Data'!CL30</f>
        <v>0</v>
      </c>
      <c r="T29" s="1003">
        <f t="shared" si="6"/>
        <v>0</v>
      </c>
      <c r="U29" s="833" t="e">
        <f t="shared" si="7"/>
        <v>#DIV/0!</v>
      </c>
      <c r="V29" s="498">
        <f>'Summary Data'!CZ30</f>
        <v>0</v>
      </c>
      <c r="W29" s="1003">
        <f t="shared" si="8"/>
        <v>0</v>
      </c>
      <c r="X29" s="833" t="e">
        <f t="shared" si="9"/>
        <v>#DIV/0!</v>
      </c>
      <c r="Y29" s="656" t="str">
        <f t="shared" si="17"/>
        <v>+</v>
      </c>
      <c r="Z29" s="498">
        <f>'Summary Data'!DN30</f>
        <v>0</v>
      </c>
      <c r="AA29" s="1003">
        <f t="shared" si="10"/>
        <v>0</v>
      </c>
      <c r="AB29" s="833" t="e">
        <f t="shared" si="11"/>
        <v>#DIV/0!</v>
      </c>
      <c r="AC29" s="656" t="str">
        <f t="shared" si="18"/>
        <v>+</v>
      </c>
      <c r="AD29" s="498">
        <f>'Summary Data'!RB30</f>
        <v>0</v>
      </c>
      <c r="AE29" s="1003">
        <f t="shared" si="12"/>
        <v>0</v>
      </c>
      <c r="AF29" s="833" t="e">
        <f t="shared" si="13"/>
        <v>#DIV/0!</v>
      </c>
      <c r="AG29" s="656" t="str">
        <f t="shared" si="19"/>
        <v>+</v>
      </c>
    </row>
    <row r="30" spans="1:33" ht="20.25" hidden="1" customHeight="1" outlineLevel="1" x14ac:dyDescent="0.3">
      <c r="A30" s="485" t="s">
        <v>80</v>
      </c>
      <c r="B30" s="496">
        <v>0</v>
      </c>
      <c r="C30" s="496">
        <v>0</v>
      </c>
      <c r="D30" s="427">
        <f t="shared" si="14"/>
        <v>0</v>
      </c>
      <c r="E30" s="415" t="e">
        <f t="shared" si="15"/>
        <v>#DIV/0!</v>
      </c>
      <c r="F30" s="423">
        <v>0</v>
      </c>
      <c r="G30" s="510">
        <f t="shared" si="0"/>
        <v>0</v>
      </c>
      <c r="H30" s="415" t="e">
        <f t="shared" si="1"/>
        <v>#DIV/0!</v>
      </c>
      <c r="I30" s="496">
        <v>0</v>
      </c>
      <c r="J30" s="510">
        <f t="shared" si="2"/>
        <v>0</v>
      </c>
      <c r="K30" s="486" t="e">
        <f t="shared" si="3"/>
        <v>#DIV/0!</v>
      </c>
      <c r="L30" s="423">
        <v>0</v>
      </c>
      <c r="M30" s="837">
        <v>0</v>
      </c>
      <c r="N30" s="1000" t="e">
        <v>#DIV/0!</v>
      </c>
      <c r="O30" s="496">
        <v>0</v>
      </c>
      <c r="P30" s="1003">
        <f t="shared" si="4"/>
        <v>0</v>
      </c>
      <c r="Q30" s="833" t="e">
        <f t="shared" si="5"/>
        <v>#DIV/0!</v>
      </c>
      <c r="R30" s="656" t="str">
        <f t="shared" si="16"/>
        <v>+</v>
      </c>
      <c r="S30" s="496">
        <f>'Summary Data'!CL31</f>
        <v>0</v>
      </c>
      <c r="T30" s="1003">
        <f t="shared" si="6"/>
        <v>0</v>
      </c>
      <c r="U30" s="833" t="e">
        <f t="shared" si="7"/>
        <v>#DIV/0!</v>
      </c>
      <c r="V30" s="496">
        <f>'Summary Data'!CZ31</f>
        <v>0</v>
      </c>
      <c r="W30" s="1003">
        <f t="shared" si="8"/>
        <v>0</v>
      </c>
      <c r="X30" s="833" t="e">
        <f t="shared" si="9"/>
        <v>#DIV/0!</v>
      </c>
      <c r="Y30" s="656" t="str">
        <f t="shared" si="17"/>
        <v>+</v>
      </c>
      <c r="Z30" s="496">
        <f>'Summary Data'!DN31</f>
        <v>0</v>
      </c>
      <c r="AA30" s="1003">
        <f t="shared" si="10"/>
        <v>0</v>
      </c>
      <c r="AB30" s="833" t="e">
        <f t="shared" si="11"/>
        <v>#DIV/0!</v>
      </c>
      <c r="AC30" s="656" t="str">
        <f t="shared" si="18"/>
        <v>+</v>
      </c>
      <c r="AD30" s="496">
        <f>'Summary Data'!RB31</f>
        <v>0</v>
      </c>
      <c r="AE30" s="1003">
        <f t="shared" si="12"/>
        <v>0</v>
      </c>
      <c r="AF30" s="833" t="e">
        <f t="shared" si="13"/>
        <v>#DIV/0!</v>
      </c>
      <c r="AG30" s="656" t="str">
        <f t="shared" si="19"/>
        <v>+</v>
      </c>
    </row>
    <row r="31" spans="1:33" ht="20.25" hidden="1" customHeight="1" outlineLevel="1" x14ac:dyDescent="0.3">
      <c r="A31" s="485" t="s">
        <v>81</v>
      </c>
      <c r="B31" s="496" t="s">
        <v>29</v>
      </c>
      <c r="C31" s="496" t="s">
        <v>29</v>
      </c>
      <c r="D31" s="427" t="e">
        <f t="shared" si="14"/>
        <v>#VALUE!</v>
      </c>
      <c r="E31" s="415" t="e">
        <f t="shared" si="15"/>
        <v>#VALUE!</v>
      </c>
      <c r="F31" s="423" t="s">
        <v>29</v>
      </c>
      <c r="G31" s="510" t="e">
        <f t="shared" si="0"/>
        <v>#VALUE!</v>
      </c>
      <c r="H31" s="415" t="e">
        <f t="shared" si="1"/>
        <v>#VALUE!</v>
      </c>
      <c r="I31" s="496" t="s">
        <v>29</v>
      </c>
      <c r="J31" s="510" t="e">
        <f t="shared" si="2"/>
        <v>#VALUE!</v>
      </c>
      <c r="K31" s="486" t="e">
        <f t="shared" si="3"/>
        <v>#VALUE!</v>
      </c>
      <c r="L31" s="423" t="s">
        <v>29</v>
      </c>
      <c r="M31" s="837" t="e">
        <v>#VALUE!</v>
      </c>
      <c r="N31" s="1000" t="e">
        <v>#VALUE!</v>
      </c>
      <c r="O31" s="496" t="s">
        <v>29</v>
      </c>
      <c r="P31" s="1003" t="e">
        <f t="shared" si="4"/>
        <v>#VALUE!</v>
      </c>
      <c r="Q31" s="833" t="e">
        <f t="shared" si="5"/>
        <v>#VALUE!</v>
      </c>
      <c r="R31" s="656" t="e">
        <f t="shared" si="16"/>
        <v>#VALUE!</v>
      </c>
      <c r="S31" s="496" t="str">
        <f>'Summary Data'!CL32</f>
        <v>-</v>
      </c>
      <c r="T31" s="1003" t="e">
        <f t="shared" si="6"/>
        <v>#VALUE!</v>
      </c>
      <c r="U31" s="833" t="e">
        <f t="shared" si="7"/>
        <v>#VALUE!</v>
      </c>
      <c r="V31" s="496" t="str">
        <f>'Summary Data'!CZ32</f>
        <v>-</v>
      </c>
      <c r="W31" s="1003" t="e">
        <f t="shared" si="8"/>
        <v>#VALUE!</v>
      </c>
      <c r="X31" s="833" t="e">
        <f t="shared" si="9"/>
        <v>#VALUE!</v>
      </c>
      <c r="Y31" s="656" t="e">
        <f t="shared" si="17"/>
        <v>#VALUE!</v>
      </c>
      <c r="Z31" s="496" t="str">
        <f>'Summary Data'!DN32</f>
        <v>-</v>
      </c>
      <c r="AA31" s="1003" t="e">
        <f t="shared" si="10"/>
        <v>#VALUE!</v>
      </c>
      <c r="AB31" s="833" t="e">
        <f t="shared" si="11"/>
        <v>#VALUE!</v>
      </c>
      <c r="AC31" s="656" t="e">
        <f t="shared" si="18"/>
        <v>#VALUE!</v>
      </c>
      <c r="AD31" s="496">
        <f>'Summary Data'!RB32</f>
        <v>0</v>
      </c>
      <c r="AE31" s="1003" t="e">
        <f t="shared" si="12"/>
        <v>#VALUE!</v>
      </c>
      <c r="AF31" s="833" t="e">
        <f t="shared" si="13"/>
        <v>#VALUE!</v>
      </c>
      <c r="AG31" s="656" t="e">
        <f t="shared" si="19"/>
        <v>#VALUE!</v>
      </c>
    </row>
    <row r="32" spans="1:33" ht="20.25" hidden="1" customHeight="1" outlineLevel="1" x14ac:dyDescent="0.3">
      <c r="A32" s="485" t="s">
        <v>105</v>
      </c>
      <c r="B32" s="496" t="s">
        <v>29</v>
      </c>
      <c r="C32" s="496" t="s">
        <v>29</v>
      </c>
      <c r="D32" s="427" t="e">
        <f t="shared" si="14"/>
        <v>#VALUE!</v>
      </c>
      <c r="E32" s="415" t="e">
        <f t="shared" si="15"/>
        <v>#VALUE!</v>
      </c>
      <c r="F32" s="423" t="s">
        <v>29</v>
      </c>
      <c r="G32" s="510" t="e">
        <f t="shared" si="0"/>
        <v>#VALUE!</v>
      </c>
      <c r="H32" s="415" t="e">
        <f t="shared" si="1"/>
        <v>#VALUE!</v>
      </c>
      <c r="I32" s="496" t="s">
        <v>29</v>
      </c>
      <c r="J32" s="510" t="e">
        <f t="shared" si="2"/>
        <v>#VALUE!</v>
      </c>
      <c r="K32" s="486" t="e">
        <f t="shared" si="3"/>
        <v>#VALUE!</v>
      </c>
      <c r="L32" s="423" t="s">
        <v>29</v>
      </c>
      <c r="M32" s="837" t="e">
        <v>#VALUE!</v>
      </c>
      <c r="N32" s="1000" t="e">
        <v>#VALUE!</v>
      </c>
      <c r="O32" s="496" t="s">
        <v>29</v>
      </c>
      <c r="P32" s="1003" t="e">
        <f t="shared" si="4"/>
        <v>#VALUE!</v>
      </c>
      <c r="Q32" s="833" t="e">
        <f t="shared" si="5"/>
        <v>#VALUE!</v>
      </c>
      <c r="R32" s="656" t="e">
        <f t="shared" si="16"/>
        <v>#VALUE!</v>
      </c>
      <c r="S32" s="496" t="str">
        <f>'Summary Data'!CL34</f>
        <v>-</v>
      </c>
      <c r="T32" s="1003" t="e">
        <f t="shared" si="6"/>
        <v>#VALUE!</v>
      </c>
      <c r="U32" s="833" t="e">
        <f t="shared" si="7"/>
        <v>#VALUE!</v>
      </c>
      <c r="V32" s="496" t="str">
        <f>'Summary Data'!CZ34</f>
        <v>-</v>
      </c>
      <c r="W32" s="1003" t="e">
        <f t="shared" si="8"/>
        <v>#VALUE!</v>
      </c>
      <c r="X32" s="833" t="e">
        <f t="shared" si="9"/>
        <v>#VALUE!</v>
      </c>
      <c r="Y32" s="656" t="e">
        <f t="shared" si="17"/>
        <v>#VALUE!</v>
      </c>
      <c r="Z32" s="496" t="str">
        <f>'Summary Data'!DN34</f>
        <v>-</v>
      </c>
      <c r="AA32" s="1003" t="e">
        <f t="shared" si="10"/>
        <v>#VALUE!</v>
      </c>
      <c r="AB32" s="833" t="e">
        <f t="shared" si="11"/>
        <v>#VALUE!</v>
      </c>
      <c r="AC32" s="656" t="e">
        <f t="shared" si="18"/>
        <v>#VALUE!</v>
      </c>
      <c r="AD32" s="496">
        <f>'Summary Data'!RB34</f>
        <v>0</v>
      </c>
      <c r="AE32" s="1003" t="e">
        <f t="shared" si="12"/>
        <v>#VALUE!</v>
      </c>
      <c r="AF32" s="833" t="e">
        <f t="shared" si="13"/>
        <v>#VALUE!</v>
      </c>
      <c r="AG32" s="656" t="e">
        <f t="shared" si="19"/>
        <v>#VALUE!</v>
      </c>
    </row>
    <row r="33" spans="1:33" ht="20.25" hidden="1" customHeight="1" outlineLevel="1" x14ac:dyDescent="0.3">
      <c r="A33" s="485" t="s">
        <v>104</v>
      </c>
      <c r="B33" s="499" t="s">
        <v>29</v>
      </c>
      <c r="C33" s="499" t="s">
        <v>29</v>
      </c>
      <c r="D33" s="427" t="e">
        <f t="shared" si="14"/>
        <v>#VALUE!</v>
      </c>
      <c r="E33" s="415" t="e">
        <f t="shared" si="15"/>
        <v>#VALUE!</v>
      </c>
      <c r="F33" s="426" t="s">
        <v>29</v>
      </c>
      <c r="G33" s="510" t="e">
        <f t="shared" si="0"/>
        <v>#VALUE!</v>
      </c>
      <c r="H33" s="415" t="e">
        <f t="shared" si="1"/>
        <v>#VALUE!</v>
      </c>
      <c r="I33" s="499" t="s">
        <v>29</v>
      </c>
      <c r="J33" s="510" t="e">
        <f t="shared" si="2"/>
        <v>#VALUE!</v>
      </c>
      <c r="K33" s="486" t="e">
        <f t="shared" si="3"/>
        <v>#VALUE!</v>
      </c>
      <c r="L33" s="426" t="s">
        <v>29</v>
      </c>
      <c r="M33" s="837" t="e">
        <v>#VALUE!</v>
      </c>
      <c r="N33" s="1000" t="e">
        <v>#VALUE!</v>
      </c>
      <c r="O33" s="499" t="s">
        <v>29</v>
      </c>
      <c r="P33" s="1003" t="e">
        <f t="shared" si="4"/>
        <v>#VALUE!</v>
      </c>
      <c r="Q33" s="833" t="e">
        <f t="shared" si="5"/>
        <v>#VALUE!</v>
      </c>
      <c r="R33" s="656" t="e">
        <f t="shared" si="16"/>
        <v>#VALUE!</v>
      </c>
      <c r="S33" s="499" t="str">
        <f>'Summary Data'!CL35</f>
        <v>-</v>
      </c>
      <c r="T33" s="1003" t="e">
        <f t="shared" si="6"/>
        <v>#VALUE!</v>
      </c>
      <c r="U33" s="833" t="e">
        <f t="shared" si="7"/>
        <v>#VALUE!</v>
      </c>
      <c r="V33" s="499" t="str">
        <f>'Summary Data'!CZ35</f>
        <v>-</v>
      </c>
      <c r="W33" s="1003" t="e">
        <f t="shared" si="8"/>
        <v>#VALUE!</v>
      </c>
      <c r="X33" s="833" t="e">
        <f t="shared" si="9"/>
        <v>#VALUE!</v>
      </c>
      <c r="Y33" s="656" t="e">
        <f t="shared" si="17"/>
        <v>#VALUE!</v>
      </c>
      <c r="Z33" s="499" t="str">
        <f>'Summary Data'!DN35</f>
        <v>-</v>
      </c>
      <c r="AA33" s="1003" t="e">
        <f t="shared" si="10"/>
        <v>#VALUE!</v>
      </c>
      <c r="AB33" s="833" t="e">
        <f t="shared" si="11"/>
        <v>#VALUE!</v>
      </c>
      <c r="AC33" s="656" t="e">
        <f t="shared" si="18"/>
        <v>#VALUE!</v>
      </c>
      <c r="AD33" s="499">
        <f>'Summary Data'!RB35</f>
        <v>0</v>
      </c>
      <c r="AE33" s="1003" t="e">
        <f t="shared" si="12"/>
        <v>#VALUE!</v>
      </c>
      <c r="AF33" s="833" t="e">
        <f t="shared" si="13"/>
        <v>#VALUE!</v>
      </c>
      <c r="AG33" s="656" t="e">
        <f t="shared" si="19"/>
        <v>#VALUE!</v>
      </c>
    </row>
    <row r="34" spans="1:33" ht="20.25" hidden="1" customHeight="1" outlineLevel="1" x14ac:dyDescent="0.3">
      <c r="A34" s="485" t="s">
        <v>161</v>
      </c>
      <c r="B34" s="497">
        <v>0</v>
      </c>
      <c r="C34" s="497">
        <v>0</v>
      </c>
      <c r="D34" s="438">
        <f t="shared" si="14"/>
        <v>0</v>
      </c>
      <c r="E34" s="415" t="e">
        <f t="shared" si="15"/>
        <v>#DIV/0!</v>
      </c>
      <c r="F34" s="424">
        <v>0</v>
      </c>
      <c r="G34" s="510">
        <f t="shared" si="0"/>
        <v>0</v>
      </c>
      <c r="H34" s="415" t="e">
        <f t="shared" si="1"/>
        <v>#DIV/0!</v>
      </c>
      <c r="I34" s="497">
        <v>0</v>
      </c>
      <c r="J34" s="510">
        <f t="shared" si="2"/>
        <v>0</v>
      </c>
      <c r="K34" s="486" t="e">
        <f t="shared" si="3"/>
        <v>#DIV/0!</v>
      </c>
      <c r="L34" s="424">
        <v>0</v>
      </c>
      <c r="M34" s="837">
        <v>0</v>
      </c>
      <c r="N34" s="1000" t="e">
        <v>#DIV/0!</v>
      </c>
      <c r="O34" s="497">
        <v>0</v>
      </c>
      <c r="P34" s="1003">
        <f t="shared" si="4"/>
        <v>0</v>
      </c>
      <c r="Q34" s="833" t="e">
        <f t="shared" si="5"/>
        <v>#DIV/0!</v>
      </c>
      <c r="R34" s="656" t="str">
        <f t="shared" si="16"/>
        <v>+</v>
      </c>
      <c r="S34" s="497">
        <f>'Summary Data'!CL36</f>
        <v>0</v>
      </c>
      <c r="T34" s="1003">
        <f t="shared" si="6"/>
        <v>0</v>
      </c>
      <c r="U34" s="833" t="e">
        <f t="shared" si="7"/>
        <v>#DIV/0!</v>
      </c>
      <c r="V34" s="497">
        <f>'Summary Data'!CZ36</f>
        <v>0</v>
      </c>
      <c r="W34" s="1003">
        <f t="shared" si="8"/>
        <v>0</v>
      </c>
      <c r="X34" s="833" t="e">
        <f t="shared" si="9"/>
        <v>#DIV/0!</v>
      </c>
      <c r="Y34" s="656" t="str">
        <f t="shared" si="17"/>
        <v>+</v>
      </c>
      <c r="Z34" s="497">
        <f>'Summary Data'!DN36</f>
        <v>0</v>
      </c>
      <c r="AA34" s="1003">
        <f t="shared" si="10"/>
        <v>0</v>
      </c>
      <c r="AB34" s="833" t="e">
        <f t="shared" si="11"/>
        <v>#DIV/0!</v>
      </c>
      <c r="AC34" s="656" t="str">
        <f t="shared" si="18"/>
        <v>+</v>
      </c>
      <c r="AD34" s="497">
        <f>'Summary Data'!RB36</f>
        <v>0</v>
      </c>
      <c r="AE34" s="1003">
        <f t="shared" si="12"/>
        <v>0</v>
      </c>
      <c r="AF34" s="833" t="e">
        <f t="shared" si="13"/>
        <v>#DIV/0!</v>
      </c>
      <c r="AG34" s="656" t="str">
        <f t="shared" si="19"/>
        <v>+</v>
      </c>
    </row>
    <row r="35" spans="1:33" ht="23.1" customHeight="1" collapsed="1" x14ac:dyDescent="0.3">
      <c r="A35" s="485" t="str">
        <f>'Summary Data'!E37</f>
        <v>Bi Weekly Payrolls</v>
      </c>
      <c r="B35" s="497">
        <v>751822</v>
      </c>
      <c r="C35" s="497">
        <v>745688</v>
      </c>
      <c r="D35" s="438">
        <f t="shared" si="14"/>
        <v>-6134</v>
      </c>
      <c r="E35" s="415">
        <f t="shared" si="15"/>
        <v>-8.1588461098504698E-3</v>
      </c>
      <c r="F35" s="424">
        <v>758621</v>
      </c>
      <c r="G35" s="510">
        <f t="shared" si="0"/>
        <v>12933</v>
      </c>
      <c r="H35" s="415">
        <f t="shared" si="1"/>
        <v>1.7343714797609724E-2</v>
      </c>
      <c r="I35" s="497">
        <v>574258</v>
      </c>
      <c r="J35" s="510">
        <f t="shared" si="2"/>
        <v>-184363</v>
      </c>
      <c r="K35" s="486">
        <f t="shared" si="3"/>
        <v>-0.24302385512660471</v>
      </c>
      <c r="L35" s="424">
        <v>586467</v>
      </c>
      <c r="M35" s="837">
        <v>12209</v>
      </c>
      <c r="N35" s="1000">
        <v>2.126047873952126E-2</v>
      </c>
      <c r="O35" s="497">
        <v>634834</v>
      </c>
      <c r="P35" s="1003">
        <f t="shared" si="4"/>
        <v>48367</v>
      </c>
      <c r="Q35" s="833">
        <f t="shared" si="5"/>
        <v>8.2471818533694133E-2</v>
      </c>
      <c r="R35" s="656"/>
      <c r="S35" s="497">
        <f>'Summary Data'!CL37</f>
        <v>688049</v>
      </c>
      <c r="T35" s="1003">
        <f t="shared" si="6"/>
        <v>53215</v>
      </c>
      <c r="U35" s="833">
        <f t="shared" si="7"/>
        <v>8.3825062929836783E-2</v>
      </c>
      <c r="V35" s="497">
        <f>'Summary Data'!CZ37</f>
        <v>685884</v>
      </c>
      <c r="W35" s="1003">
        <f t="shared" si="8"/>
        <v>-2165</v>
      </c>
      <c r="X35" s="833">
        <f t="shared" si="9"/>
        <v>-3.1465782233532787E-3</v>
      </c>
      <c r="Y35" s="656"/>
      <c r="Z35" s="497">
        <f>'Summary Data'!DN37</f>
        <v>566653</v>
      </c>
      <c r="AA35" s="1003">
        <f t="shared" si="10"/>
        <v>-119231</v>
      </c>
      <c r="AB35" s="833">
        <f t="shared" si="11"/>
        <v>-0.17383551737611608</v>
      </c>
      <c r="AC35" s="656"/>
      <c r="AD35" s="497">
        <f>'Summary Data'!RB37</f>
        <v>0</v>
      </c>
      <c r="AE35" s="1003">
        <f t="shared" si="12"/>
        <v>-566653</v>
      </c>
      <c r="AF35" s="833">
        <f t="shared" si="13"/>
        <v>-1</v>
      </c>
      <c r="AG35" s="656"/>
    </row>
    <row r="36" spans="1:33" ht="23.1" customHeight="1" x14ac:dyDescent="0.3">
      <c r="A36" s="827" t="str">
        <f>'Summary Data'!E38</f>
        <v>Monthly Payrolls</v>
      </c>
      <c r="B36" s="497">
        <v>799735</v>
      </c>
      <c r="C36" s="497">
        <v>801628</v>
      </c>
      <c r="D36" s="438">
        <f t="shared" si="14"/>
        <v>1893</v>
      </c>
      <c r="E36" s="415">
        <f t="shared" si="15"/>
        <v>2.3670340800390128E-3</v>
      </c>
      <c r="F36" s="424">
        <v>777710</v>
      </c>
      <c r="G36" s="510">
        <f t="shared" si="0"/>
        <v>-23918</v>
      </c>
      <c r="H36" s="415">
        <f t="shared" ref="H36:H68" si="20">G36/C36</f>
        <v>-2.9836782148328151E-2</v>
      </c>
      <c r="I36" s="497">
        <v>807267</v>
      </c>
      <c r="J36" s="510">
        <f t="shared" si="2"/>
        <v>29557</v>
      </c>
      <c r="K36" s="486">
        <f t="shared" si="3"/>
        <v>3.8005169021871905E-2</v>
      </c>
      <c r="L36" s="424">
        <v>801599</v>
      </c>
      <c r="M36" s="837">
        <v>-5668</v>
      </c>
      <c r="N36" s="1000">
        <v>-7.021220983887611E-3</v>
      </c>
      <c r="O36" s="497">
        <v>798695</v>
      </c>
      <c r="P36" s="1003">
        <f t="shared" si="4"/>
        <v>-2904</v>
      </c>
      <c r="Q36" s="833">
        <f t="shared" si="5"/>
        <v>-3.6227590104279074E-3</v>
      </c>
      <c r="R36" s="656"/>
      <c r="S36" s="497">
        <f>'Summary Data'!CL38</f>
        <v>806547</v>
      </c>
      <c r="T36" s="1003">
        <f t="shared" ref="T36:T67" si="21">S36-O36</f>
        <v>7852</v>
      </c>
      <c r="U36" s="833">
        <f t="shared" ref="U36:U67" si="22">T36/O36</f>
        <v>9.8310368789087197E-3</v>
      </c>
      <c r="V36" s="497">
        <f>'Summary Data'!CZ38</f>
        <v>811071</v>
      </c>
      <c r="W36" s="1003">
        <f t="shared" ref="W36:W67" si="23">V36-S36</f>
        <v>4524</v>
      </c>
      <c r="X36" s="833">
        <f t="shared" ref="X36:X67" si="24">W36/S36</f>
        <v>5.6090965560593497E-3</v>
      </c>
      <c r="Y36" s="656"/>
      <c r="Z36" s="497">
        <f>'Summary Data'!DN38</f>
        <v>682869</v>
      </c>
      <c r="AA36" s="1003">
        <f t="shared" ref="AA36:AA67" si="25">Z36-V36</f>
        <v>-128202</v>
      </c>
      <c r="AB36" s="833">
        <f t="shared" ref="AB36:AB67" si="26">AA36/V36</f>
        <v>-0.1580650769168174</v>
      </c>
      <c r="AC36" s="656"/>
      <c r="AD36" s="497">
        <f>'Summary Data'!RB38</f>
        <v>0</v>
      </c>
      <c r="AE36" s="1003">
        <f t="shared" si="12"/>
        <v>-682869</v>
      </c>
      <c r="AF36" s="833">
        <f t="shared" si="13"/>
        <v>-1</v>
      </c>
      <c r="AG36" s="656"/>
    </row>
    <row r="37" spans="1:33" ht="23.1" customHeight="1" x14ac:dyDescent="0.3">
      <c r="A37" s="487" t="str">
        <f>'Summary Data'!E39</f>
        <v>Total Payrolls Processed</v>
      </c>
      <c r="B37" s="503">
        <v>1551557</v>
      </c>
      <c r="C37" s="503">
        <v>1547316</v>
      </c>
      <c r="D37" s="427">
        <f t="shared" si="14"/>
        <v>-4241</v>
      </c>
      <c r="E37" s="415">
        <f t="shared" si="15"/>
        <v>-2.7333833046417244E-3</v>
      </c>
      <c r="F37" s="429">
        <v>1536331</v>
      </c>
      <c r="G37" s="510">
        <f t="shared" si="0"/>
        <v>-10985</v>
      </c>
      <c r="H37" s="415">
        <f t="shared" si="20"/>
        <v>-7.099390169816637E-3</v>
      </c>
      <c r="I37" s="503">
        <v>1381525</v>
      </c>
      <c r="J37" s="510">
        <f t="shared" si="2"/>
        <v>-154806</v>
      </c>
      <c r="K37" s="486">
        <f t="shared" si="3"/>
        <v>-0.10076344225300407</v>
      </c>
      <c r="L37" s="429">
        <v>1388066</v>
      </c>
      <c r="M37" s="837">
        <v>6541</v>
      </c>
      <c r="N37" s="1000">
        <v>4.7346229709922007E-3</v>
      </c>
      <c r="O37" s="503">
        <v>1433529</v>
      </c>
      <c r="P37" s="1003">
        <f t="shared" si="4"/>
        <v>45463</v>
      </c>
      <c r="Q37" s="833">
        <f t="shared" si="5"/>
        <v>3.2752765358419554E-2</v>
      </c>
      <c r="R37" s="656"/>
      <c r="S37" s="503">
        <f>'Summary Data'!CL39</f>
        <v>1494596</v>
      </c>
      <c r="T37" s="1003">
        <f t="shared" si="21"/>
        <v>61067</v>
      </c>
      <c r="U37" s="833">
        <f t="shared" si="22"/>
        <v>4.2599068452748426E-2</v>
      </c>
      <c r="V37" s="503">
        <f>'Summary Data'!CZ39</f>
        <v>1496955</v>
      </c>
      <c r="W37" s="1003">
        <f t="shared" si="23"/>
        <v>2359</v>
      </c>
      <c r="X37" s="833">
        <f t="shared" si="24"/>
        <v>1.5783529462142277E-3</v>
      </c>
      <c r="Y37" s="656"/>
      <c r="Z37" s="503">
        <f>'Summary Data'!DN39</f>
        <v>1249522</v>
      </c>
      <c r="AA37" s="1003">
        <f t="shared" si="25"/>
        <v>-247433</v>
      </c>
      <c r="AB37" s="833">
        <f t="shared" si="26"/>
        <v>-0.16529087380716187</v>
      </c>
      <c r="AC37" s="656"/>
      <c r="AD37" s="503">
        <f>'Summary Data'!RB39</f>
        <v>0</v>
      </c>
      <c r="AE37" s="1003">
        <f t="shared" si="12"/>
        <v>-1249522</v>
      </c>
      <c r="AF37" s="833">
        <f t="shared" si="13"/>
        <v>-1</v>
      </c>
      <c r="AG37" s="656"/>
    </row>
    <row r="38" spans="1:33" ht="23.1" customHeight="1" x14ac:dyDescent="0.3">
      <c r="A38" s="828" t="str">
        <f>'Summary Data'!E40</f>
        <v>Payrolls Processed Off-Cycle %</v>
      </c>
      <c r="B38" s="500">
        <v>3.7123998667145324E-4</v>
      </c>
      <c r="C38" s="500">
        <v>4.4270207249197965E-4</v>
      </c>
      <c r="D38" s="442">
        <f t="shared" si="14"/>
        <v>7.1462085820526414E-5</v>
      </c>
      <c r="E38" s="415">
        <f t="shared" si="15"/>
        <v>0.19249565883583075</v>
      </c>
      <c r="F38" s="430">
        <v>5.0509948702460604E-4</v>
      </c>
      <c r="G38" s="509">
        <f t="shared" si="0"/>
        <v>6.2397414532626384E-5</v>
      </c>
      <c r="H38" s="415">
        <f t="shared" si="20"/>
        <v>0.1409467414087085</v>
      </c>
      <c r="I38" s="500">
        <v>1.7951177141202655E-4</v>
      </c>
      <c r="J38" s="509">
        <f t="shared" si="2"/>
        <v>-3.2558771561257951E-4</v>
      </c>
      <c r="K38" s="486">
        <f t="shared" si="3"/>
        <v>-0.64460116071493545</v>
      </c>
      <c r="L38" s="430">
        <v>3.105039673905996E-4</v>
      </c>
      <c r="M38" s="839">
        <v>1.3099219597857305E-4</v>
      </c>
      <c r="N38" s="1000">
        <v>0.72971368366652478</v>
      </c>
      <c r="O38" s="500">
        <v>4.24825727278625E-4</v>
      </c>
      <c r="P38" s="430">
        <f t="shared" si="4"/>
        <v>1.1432175988802541E-4</v>
      </c>
      <c r="Q38" s="833">
        <f t="shared" si="5"/>
        <v>0.36818131777431989</v>
      </c>
      <c r="R38" s="655" t="str">
        <f t="shared" ref="R38:R47" si="27">IF(P38&gt;0,"-","+")</f>
        <v>-</v>
      </c>
      <c r="S38" s="500">
        <f>'Summary Data'!CL40</f>
        <v>3.6197072653747231E-4</v>
      </c>
      <c r="T38" s="430">
        <f t="shared" si="21"/>
        <v>-6.2855000741152698E-5</v>
      </c>
      <c r="U38" s="833">
        <f t="shared" si="22"/>
        <v>-0.14795478876430851</v>
      </c>
      <c r="V38" s="500">
        <f>'Summary Data'!CZ40</f>
        <v>3.4803985423743531E-4</v>
      </c>
      <c r="W38" s="430">
        <f t="shared" si="23"/>
        <v>-1.3930872300036996E-5</v>
      </c>
      <c r="X38" s="833">
        <f t="shared" si="24"/>
        <v>-3.8486184872728459E-2</v>
      </c>
      <c r="Y38" s="655" t="str">
        <f t="shared" ref="Y38:Y47" si="28">IF(W38&gt;0,"-","+")</f>
        <v>+</v>
      </c>
      <c r="Z38" s="500">
        <f>'Summary Data'!DN40</f>
        <v>3.1852180273736675E-4</v>
      </c>
      <c r="AA38" s="430">
        <f t="shared" si="25"/>
        <v>-2.9518051500068557E-5</v>
      </c>
      <c r="AB38" s="833">
        <f t="shared" si="26"/>
        <v>-8.4812274056209461E-2</v>
      </c>
      <c r="AC38" s="655" t="str">
        <f t="shared" ref="AC38:AC47" si="29">IF(AA38&gt;0,"-","+")</f>
        <v>+</v>
      </c>
      <c r="AD38" s="500">
        <f>'Summary Data'!RB40</f>
        <v>0</v>
      </c>
      <c r="AE38" s="430">
        <f t="shared" si="12"/>
        <v>-3.1852180273736675E-4</v>
      </c>
      <c r="AF38" s="833">
        <f t="shared" si="13"/>
        <v>-1</v>
      </c>
      <c r="AG38" s="655" t="str">
        <f t="shared" ref="AG38:AG47" si="30">IF(AE38&gt;0,"-","+")</f>
        <v>+</v>
      </c>
    </row>
    <row r="39" spans="1:33" ht="20.25" hidden="1" customHeight="1" outlineLevel="1" x14ac:dyDescent="0.3">
      <c r="A39" s="485" t="s">
        <v>16</v>
      </c>
      <c r="B39" s="492">
        <v>0</v>
      </c>
      <c r="C39" s="492">
        <v>0</v>
      </c>
      <c r="D39" s="438">
        <f t="shared" si="14"/>
        <v>0</v>
      </c>
      <c r="E39" s="415" t="e">
        <f t="shared" si="15"/>
        <v>#DIV/0!</v>
      </c>
      <c r="F39" s="416">
        <v>0</v>
      </c>
      <c r="G39" s="508">
        <f t="shared" si="0"/>
        <v>0</v>
      </c>
      <c r="H39" s="415" t="e">
        <f t="shared" si="20"/>
        <v>#DIV/0!</v>
      </c>
      <c r="I39" s="492">
        <v>0</v>
      </c>
      <c r="J39" s="508">
        <f t="shared" si="2"/>
        <v>0</v>
      </c>
      <c r="K39" s="486" t="e">
        <f t="shared" si="3"/>
        <v>#DIV/0!</v>
      </c>
      <c r="L39" s="416">
        <v>0</v>
      </c>
      <c r="M39" s="838">
        <v>0</v>
      </c>
      <c r="N39" s="1000" t="e">
        <v>#DIV/0!</v>
      </c>
      <c r="O39" s="492">
        <v>0</v>
      </c>
      <c r="P39" s="438">
        <f t="shared" si="4"/>
        <v>0</v>
      </c>
      <c r="Q39" s="833" t="e">
        <f t="shared" si="5"/>
        <v>#DIV/0!</v>
      </c>
      <c r="R39" s="655" t="str">
        <f t="shared" si="27"/>
        <v>+</v>
      </c>
      <c r="S39" s="492">
        <f>'Summary Data'!CL41</f>
        <v>0</v>
      </c>
      <c r="T39" s="438">
        <f t="shared" si="21"/>
        <v>0</v>
      </c>
      <c r="U39" s="833" t="e">
        <f t="shared" si="22"/>
        <v>#DIV/0!</v>
      </c>
      <c r="V39" s="492">
        <f>'Summary Data'!CZ41</f>
        <v>0</v>
      </c>
      <c r="W39" s="438">
        <f t="shared" si="23"/>
        <v>0</v>
      </c>
      <c r="X39" s="833" t="e">
        <f t="shared" si="24"/>
        <v>#DIV/0!</v>
      </c>
      <c r="Y39" s="655" t="str">
        <f t="shared" si="28"/>
        <v>+</v>
      </c>
      <c r="Z39" s="492">
        <f>'Summary Data'!DN41</f>
        <v>0</v>
      </c>
      <c r="AA39" s="438">
        <f t="shared" si="25"/>
        <v>0</v>
      </c>
      <c r="AB39" s="833" t="e">
        <f t="shared" si="26"/>
        <v>#DIV/0!</v>
      </c>
      <c r="AC39" s="655" t="str">
        <f t="shared" si="29"/>
        <v>+</v>
      </c>
      <c r="AD39" s="492">
        <f>'Summary Data'!RB41</f>
        <v>0</v>
      </c>
      <c r="AE39" s="438">
        <f t="shared" si="12"/>
        <v>0</v>
      </c>
      <c r="AF39" s="833" t="e">
        <f t="shared" si="13"/>
        <v>#DIV/0!</v>
      </c>
      <c r="AG39" s="655" t="str">
        <f t="shared" si="30"/>
        <v>+</v>
      </c>
    </row>
    <row r="40" spans="1:33" ht="20.25" hidden="1" customHeight="1" outlineLevel="1" x14ac:dyDescent="0.3">
      <c r="A40" s="485" t="s">
        <v>15</v>
      </c>
      <c r="B40" s="496" t="s">
        <v>29</v>
      </c>
      <c r="C40" s="496" t="s">
        <v>29</v>
      </c>
      <c r="D40" s="427" t="e">
        <f t="shared" si="14"/>
        <v>#VALUE!</v>
      </c>
      <c r="E40" s="415" t="e">
        <f t="shared" si="15"/>
        <v>#VALUE!</v>
      </c>
      <c r="F40" s="423" t="s">
        <v>29</v>
      </c>
      <c r="G40" s="508" t="e">
        <f t="shared" si="0"/>
        <v>#VALUE!</v>
      </c>
      <c r="H40" s="415" t="e">
        <f t="shared" si="20"/>
        <v>#VALUE!</v>
      </c>
      <c r="I40" s="496" t="s">
        <v>29</v>
      </c>
      <c r="J40" s="508" t="e">
        <f t="shared" si="2"/>
        <v>#VALUE!</v>
      </c>
      <c r="K40" s="486" t="e">
        <f t="shared" si="3"/>
        <v>#VALUE!</v>
      </c>
      <c r="L40" s="423" t="s">
        <v>29</v>
      </c>
      <c r="M40" s="838" t="e">
        <v>#VALUE!</v>
      </c>
      <c r="N40" s="1000" t="e">
        <v>#VALUE!</v>
      </c>
      <c r="O40" s="496" t="s">
        <v>29</v>
      </c>
      <c r="P40" s="438" t="e">
        <f t="shared" si="4"/>
        <v>#VALUE!</v>
      </c>
      <c r="Q40" s="833" t="e">
        <f t="shared" si="5"/>
        <v>#VALUE!</v>
      </c>
      <c r="R40" s="655" t="e">
        <f t="shared" si="27"/>
        <v>#VALUE!</v>
      </c>
      <c r="S40" s="496" t="str">
        <f>'Summary Data'!CL42</f>
        <v>-</v>
      </c>
      <c r="T40" s="438" t="e">
        <f t="shared" si="21"/>
        <v>#VALUE!</v>
      </c>
      <c r="U40" s="833" t="e">
        <f t="shared" si="22"/>
        <v>#VALUE!</v>
      </c>
      <c r="V40" s="496" t="str">
        <f>'Summary Data'!CZ42</f>
        <v>-</v>
      </c>
      <c r="W40" s="438" t="e">
        <f t="shared" si="23"/>
        <v>#VALUE!</v>
      </c>
      <c r="X40" s="833" t="e">
        <f t="shared" si="24"/>
        <v>#VALUE!</v>
      </c>
      <c r="Y40" s="655" t="e">
        <f t="shared" si="28"/>
        <v>#VALUE!</v>
      </c>
      <c r="Z40" s="496" t="str">
        <f>'Summary Data'!DN42</f>
        <v>-</v>
      </c>
      <c r="AA40" s="438" t="e">
        <f t="shared" si="25"/>
        <v>#VALUE!</v>
      </c>
      <c r="AB40" s="833" t="e">
        <f t="shared" si="26"/>
        <v>#VALUE!</v>
      </c>
      <c r="AC40" s="655" t="e">
        <f t="shared" si="29"/>
        <v>#VALUE!</v>
      </c>
      <c r="AD40" s="496">
        <f>'Summary Data'!RB42</f>
        <v>0</v>
      </c>
      <c r="AE40" s="438" t="e">
        <f t="shared" si="12"/>
        <v>#VALUE!</v>
      </c>
      <c r="AF40" s="833" t="e">
        <f t="shared" si="13"/>
        <v>#VALUE!</v>
      </c>
      <c r="AG40" s="655" t="e">
        <f t="shared" si="30"/>
        <v>#VALUE!</v>
      </c>
    </row>
    <row r="41" spans="1:33" ht="20.25" hidden="1" customHeight="1" outlineLevel="1" x14ac:dyDescent="0.3">
      <c r="A41" s="485" t="s">
        <v>169</v>
      </c>
      <c r="B41" s="496" t="s">
        <v>29</v>
      </c>
      <c r="C41" s="496" t="s">
        <v>29</v>
      </c>
      <c r="D41" s="427" t="e">
        <f t="shared" si="14"/>
        <v>#VALUE!</v>
      </c>
      <c r="E41" s="415" t="e">
        <f t="shared" si="15"/>
        <v>#VALUE!</v>
      </c>
      <c r="F41" s="423" t="s">
        <v>29</v>
      </c>
      <c r="G41" s="508" t="e">
        <f t="shared" si="0"/>
        <v>#VALUE!</v>
      </c>
      <c r="H41" s="415" t="e">
        <f t="shared" si="20"/>
        <v>#VALUE!</v>
      </c>
      <c r="I41" s="496" t="s">
        <v>29</v>
      </c>
      <c r="J41" s="508" t="e">
        <f t="shared" si="2"/>
        <v>#VALUE!</v>
      </c>
      <c r="K41" s="486" t="e">
        <f t="shared" si="3"/>
        <v>#VALUE!</v>
      </c>
      <c r="L41" s="423" t="s">
        <v>29</v>
      </c>
      <c r="M41" s="838" t="e">
        <v>#VALUE!</v>
      </c>
      <c r="N41" s="1000" t="e">
        <v>#VALUE!</v>
      </c>
      <c r="O41" s="496" t="s">
        <v>29</v>
      </c>
      <c r="P41" s="438" t="e">
        <f t="shared" si="4"/>
        <v>#VALUE!</v>
      </c>
      <c r="Q41" s="833" t="e">
        <f t="shared" si="5"/>
        <v>#VALUE!</v>
      </c>
      <c r="R41" s="655" t="e">
        <f t="shared" si="27"/>
        <v>#VALUE!</v>
      </c>
      <c r="S41" s="496" t="str">
        <f>'Summary Data'!CL43</f>
        <v>-</v>
      </c>
      <c r="T41" s="438" t="e">
        <f t="shared" si="21"/>
        <v>#VALUE!</v>
      </c>
      <c r="U41" s="833" t="e">
        <f t="shared" si="22"/>
        <v>#VALUE!</v>
      </c>
      <c r="V41" s="496" t="str">
        <f>'Summary Data'!CZ43</f>
        <v>-</v>
      </c>
      <c r="W41" s="438" t="e">
        <f t="shared" si="23"/>
        <v>#VALUE!</v>
      </c>
      <c r="X41" s="833" t="e">
        <f t="shared" si="24"/>
        <v>#VALUE!</v>
      </c>
      <c r="Y41" s="655" t="e">
        <f t="shared" si="28"/>
        <v>#VALUE!</v>
      </c>
      <c r="Z41" s="496" t="str">
        <f>'Summary Data'!DN43</f>
        <v>-</v>
      </c>
      <c r="AA41" s="438" t="e">
        <f t="shared" si="25"/>
        <v>#VALUE!</v>
      </c>
      <c r="AB41" s="833" t="e">
        <f t="shared" si="26"/>
        <v>#VALUE!</v>
      </c>
      <c r="AC41" s="655" t="e">
        <f t="shared" si="29"/>
        <v>#VALUE!</v>
      </c>
      <c r="AD41" s="496">
        <f>'Summary Data'!RB43</f>
        <v>0</v>
      </c>
      <c r="AE41" s="438" t="e">
        <f t="shared" si="12"/>
        <v>#VALUE!</v>
      </c>
      <c r="AF41" s="833" t="e">
        <f t="shared" si="13"/>
        <v>#VALUE!</v>
      </c>
      <c r="AG41" s="655" t="e">
        <f t="shared" si="30"/>
        <v>#VALUE!</v>
      </c>
    </row>
    <row r="42" spans="1:33" ht="20.25" hidden="1" customHeight="1" outlineLevel="1" x14ac:dyDescent="0.3">
      <c r="A42" s="485" t="s">
        <v>58</v>
      </c>
      <c r="B42" s="492">
        <v>0</v>
      </c>
      <c r="C42" s="492">
        <v>0</v>
      </c>
      <c r="D42" s="438">
        <f t="shared" si="14"/>
        <v>0</v>
      </c>
      <c r="E42" s="415" t="e">
        <f t="shared" si="15"/>
        <v>#DIV/0!</v>
      </c>
      <c r="F42" s="416">
        <v>0</v>
      </c>
      <c r="G42" s="508">
        <f t="shared" si="0"/>
        <v>0</v>
      </c>
      <c r="H42" s="415" t="e">
        <f t="shared" si="20"/>
        <v>#DIV/0!</v>
      </c>
      <c r="I42" s="749">
        <v>0</v>
      </c>
      <c r="J42" s="508">
        <f t="shared" si="2"/>
        <v>0</v>
      </c>
      <c r="K42" s="486" t="e">
        <f t="shared" si="3"/>
        <v>#DIV/0!</v>
      </c>
      <c r="L42" s="516">
        <v>0</v>
      </c>
      <c r="M42" s="838">
        <v>0</v>
      </c>
      <c r="N42" s="1000" t="e">
        <v>#DIV/0!</v>
      </c>
      <c r="O42" s="749">
        <v>0</v>
      </c>
      <c r="P42" s="438">
        <f t="shared" si="4"/>
        <v>0</v>
      </c>
      <c r="Q42" s="833" t="e">
        <f t="shared" si="5"/>
        <v>#DIV/0!</v>
      </c>
      <c r="R42" s="655" t="str">
        <f t="shared" si="27"/>
        <v>+</v>
      </c>
      <c r="S42" s="749">
        <f>'Summary Data'!CL44</f>
        <v>0</v>
      </c>
      <c r="T42" s="438">
        <f t="shared" si="21"/>
        <v>0</v>
      </c>
      <c r="U42" s="833" t="e">
        <f t="shared" si="22"/>
        <v>#DIV/0!</v>
      </c>
      <c r="V42" s="749">
        <f>'Summary Data'!CZ44</f>
        <v>0</v>
      </c>
      <c r="W42" s="438">
        <f t="shared" si="23"/>
        <v>0</v>
      </c>
      <c r="X42" s="833" t="e">
        <f t="shared" si="24"/>
        <v>#DIV/0!</v>
      </c>
      <c r="Y42" s="655" t="str">
        <f t="shared" si="28"/>
        <v>+</v>
      </c>
      <c r="Z42" s="749">
        <f>'Summary Data'!DN44</f>
        <v>0</v>
      </c>
      <c r="AA42" s="438">
        <f t="shared" si="25"/>
        <v>0</v>
      </c>
      <c r="AB42" s="833" t="e">
        <f t="shared" si="26"/>
        <v>#DIV/0!</v>
      </c>
      <c r="AC42" s="655" t="str">
        <f t="shared" si="29"/>
        <v>+</v>
      </c>
      <c r="AD42" s="749">
        <f>'Summary Data'!RB44</f>
        <v>0</v>
      </c>
      <c r="AE42" s="438">
        <f t="shared" si="12"/>
        <v>0</v>
      </c>
      <c r="AF42" s="833" t="e">
        <f t="shared" si="13"/>
        <v>#DIV/0!</v>
      </c>
      <c r="AG42" s="655" t="str">
        <f t="shared" si="30"/>
        <v>+</v>
      </c>
    </row>
    <row r="43" spans="1:33" ht="23.1" customHeight="1" collapsed="1" x14ac:dyDescent="0.3">
      <c r="A43" s="828" t="str">
        <f>'Summary Data'!E45</f>
        <v>Total ERP Costs</v>
      </c>
      <c r="B43" s="504">
        <v>16449087.869999999</v>
      </c>
      <c r="C43" s="504">
        <v>15105028.170000004</v>
      </c>
      <c r="D43" s="427">
        <f t="shared" si="14"/>
        <v>-1344059.6999999955</v>
      </c>
      <c r="E43" s="415">
        <f t="shared" si="15"/>
        <v>-8.1710287562589065E-2</v>
      </c>
      <c r="F43" s="431">
        <v>12600150.57</v>
      </c>
      <c r="G43" s="513">
        <f t="shared" si="0"/>
        <v>-2504877.6000000034</v>
      </c>
      <c r="H43" s="415">
        <f t="shared" si="20"/>
        <v>-0.16583071357489582</v>
      </c>
      <c r="I43" s="504">
        <v>11128676.879999997</v>
      </c>
      <c r="J43" s="513">
        <f t="shared" si="2"/>
        <v>-1471473.6900000032</v>
      </c>
      <c r="K43" s="486">
        <f t="shared" si="3"/>
        <v>-0.11678223064282026</v>
      </c>
      <c r="L43" s="431">
        <v>12657083.51</v>
      </c>
      <c r="M43" s="840">
        <v>1528406.6300000027</v>
      </c>
      <c r="N43" s="1000">
        <v>0.13733947408849587</v>
      </c>
      <c r="O43" s="504">
        <v>13794491.269999998</v>
      </c>
      <c r="P43" s="1004">
        <f t="shared" si="4"/>
        <v>1137407.7599999979</v>
      </c>
      <c r="Q43" s="833">
        <f t="shared" si="5"/>
        <v>8.9863336929187881E-2</v>
      </c>
      <c r="R43" s="655" t="str">
        <f t="shared" si="27"/>
        <v>-</v>
      </c>
      <c r="S43" s="504">
        <f>'Summary Data'!CL45</f>
        <v>13132064.09</v>
      </c>
      <c r="T43" s="1004">
        <f t="shared" si="21"/>
        <v>-662427.17999999784</v>
      </c>
      <c r="U43" s="833">
        <f t="shared" si="22"/>
        <v>-4.8021138803475277E-2</v>
      </c>
      <c r="V43" s="504">
        <f>'Summary Data'!CZ45</f>
        <v>12532014.41</v>
      </c>
      <c r="W43" s="1004">
        <f t="shared" si="23"/>
        <v>-600049.6799999997</v>
      </c>
      <c r="X43" s="833">
        <f t="shared" si="24"/>
        <v>-4.5693477878845756E-2</v>
      </c>
      <c r="Y43" s="655" t="str">
        <f t="shared" si="28"/>
        <v>+</v>
      </c>
      <c r="Z43" s="504">
        <f>'Summary Data'!DN45</f>
        <v>9780007.8999999985</v>
      </c>
      <c r="AA43" s="1004">
        <f t="shared" si="25"/>
        <v>-2752006.5100000016</v>
      </c>
      <c r="AB43" s="833">
        <f t="shared" si="26"/>
        <v>-0.21959809652022269</v>
      </c>
      <c r="AC43" s="655" t="str">
        <f t="shared" si="29"/>
        <v>+</v>
      </c>
      <c r="AD43" s="504">
        <f>'Summary Data'!RB45</f>
        <v>0</v>
      </c>
      <c r="AE43" s="1004">
        <f t="shared" si="12"/>
        <v>-9780007.8999999985</v>
      </c>
      <c r="AF43" s="833">
        <f t="shared" si="13"/>
        <v>-1</v>
      </c>
      <c r="AG43" s="655" t="str">
        <f t="shared" si="30"/>
        <v>+</v>
      </c>
    </row>
    <row r="44" spans="1:33" ht="23.1" customHeight="1" x14ac:dyDescent="0.3">
      <c r="A44" s="828" t="str">
        <f>'Summary Data'!E46</f>
        <v>Cost Per Employee Payroll</v>
      </c>
      <c r="B44" s="505">
        <v>10.601665211139519</v>
      </c>
      <c r="C44" s="505">
        <v>9.7620836144653094</v>
      </c>
      <c r="D44" s="443">
        <f t="shared" si="14"/>
        <v>-0.83958159667420951</v>
      </c>
      <c r="E44" s="415">
        <f t="shared" si="15"/>
        <v>-7.9193370093599391E-2</v>
      </c>
      <c r="F44" s="432">
        <v>8.2014556563657184</v>
      </c>
      <c r="G44" s="514">
        <f t="shared" si="0"/>
        <v>-1.560627958099591</v>
      </c>
      <c r="H44" s="415">
        <f t="shared" si="20"/>
        <v>-0.1598662764767837</v>
      </c>
      <c r="I44" s="505">
        <v>8.0553568556486468</v>
      </c>
      <c r="J44" s="514">
        <f t="shared" si="2"/>
        <v>-0.1460988007170716</v>
      </c>
      <c r="K44" s="486">
        <f t="shared" si="3"/>
        <v>-1.7813764633803048E-2</v>
      </c>
      <c r="L44" s="432">
        <v>9.1185026576546075</v>
      </c>
      <c r="M44" s="841">
        <v>1.0631458020059608</v>
      </c>
      <c r="N44" s="1000">
        <v>0.13197997569287728</v>
      </c>
      <c r="O44" s="505">
        <v>9.6227500594686237</v>
      </c>
      <c r="P44" s="1005">
        <f t="shared" si="4"/>
        <v>0.50424740181401617</v>
      </c>
      <c r="Q44" s="833">
        <f t="shared" si="5"/>
        <v>5.5299364462072204E-2</v>
      </c>
      <c r="R44" s="655" t="str">
        <f t="shared" si="27"/>
        <v>-</v>
      </c>
      <c r="S44" s="505">
        <f>'Summary Data'!CL46</f>
        <v>8.7863637330756941</v>
      </c>
      <c r="T44" s="1005">
        <f t="shared" si="21"/>
        <v>-0.83638632639292965</v>
      </c>
      <c r="U44" s="833">
        <f t="shared" si="22"/>
        <v>-8.6917598526830661E-2</v>
      </c>
      <c r="V44" s="505">
        <f>'Summary Data'!CZ46</f>
        <v>8.3716707649862556</v>
      </c>
      <c r="W44" s="1005">
        <f t="shared" si="23"/>
        <v>-0.41469296808943845</v>
      </c>
      <c r="X44" s="833">
        <f t="shared" si="24"/>
        <v>-4.7197336769516353E-2</v>
      </c>
      <c r="Y44" s="655" t="str">
        <f t="shared" si="28"/>
        <v>+</v>
      </c>
      <c r="Z44" s="505">
        <f>'Summary Data'!DN46</f>
        <v>7.8269993645570057</v>
      </c>
      <c r="AA44" s="1005">
        <f t="shared" si="25"/>
        <v>-0.54467140042924989</v>
      </c>
      <c r="AB44" s="833">
        <f t="shared" si="26"/>
        <v>-6.5061254284782433E-2</v>
      </c>
      <c r="AC44" s="655" t="str">
        <f t="shared" si="29"/>
        <v>+</v>
      </c>
      <c r="AD44" s="505">
        <f>'Summary Data'!RB46</f>
        <v>0</v>
      </c>
      <c r="AE44" s="1005">
        <f t="shared" si="12"/>
        <v>-7.8269993645570057</v>
      </c>
      <c r="AF44" s="833">
        <f t="shared" si="13"/>
        <v>-1</v>
      </c>
      <c r="AG44" s="655" t="str">
        <f t="shared" si="30"/>
        <v>+</v>
      </c>
    </row>
    <row r="45" spans="1:33" ht="23.1" customHeight="1" x14ac:dyDescent="0.3">
      <c r="A45" s="828" t="str">
        <f>'Summary Data'!E47</f>
        <v>Cost as % of System Implementation</v>
      </c>
      <c r="B45" s="500">
        <v>0.17363572723741089</v>
      </c>
      <c r="C45" s="500">
        <v>0.15944790203370277</v>
      </c>
      <c r="D45" s="442">
        <f t="shared" si="14"/>
        <v>-1.4187825203708121E-2</v>
      </c>
      <c r="E45" s="415">
        <f t="shared" si="15"/>
        <v>-8.1710287562589065E-2</v>
      </c>
      <c r="F45" s="430">
        <v>0.13300654266143377</v>
      </c>
      <c r="G45" s="509">
        <f t="shared" si="0"/>
        <v>-2.6441359372268991E-2</v>
      </c>
      <c r="H45" s="415">
        <f t="shared" si="20"/>
        <v>-0.16583071357489568</v>
      </c>
      <c r="I45" s="500">
        <v>0.1174737419193421</v>
      </c>
      <c r="J45" s="509">
        <f t="shared" si="2"/>
        <v>-1.5532800742091679E-2</v>
      </c>
      <c r="K45" s="486">
        <f t="shared" si="3"/>
        <v>-0.11678223064282031</v>
      </c>
      <c r="L45" s="430">
        <v>0.13360752385375221</v>
      </c>
      <c r="M45" s="839">
        <v>1.6133781934410119E-2</v>
      </c>
      <c r="N45" s="1000">
        <v>0.13733947408849573</v>
      </c>
      <c r="O45" s="500">
        <v>0.14561394178609646</v>
      </c>
      <c r="P45" s="430">
        <f t="shared" si="4"/>
        <v>1.2006417932344249E-2</v>
      </c>
      <c r="Q45" s="833">
        <f t="shared" si="5"/>
        <v>8.9863336929187937E-2</v>
      </c>
      <c r="R45" s="655" t="str">
        <f t="shared" si="27"/>
        <v>-</v>
      </c>
      <c r="S45" s="500">
        <f>'Summary Data'!CL47</f>
        <v>0.13862139447586516</v>
      </c>
      <c r="T45" s="430">
        <f t="shared" si="21"/>
        <v>-6.9925473102313007E-3</v>
      </c>
      <c r="U45" s="833">
        <f t="shared" si="22"/>
        <v>-4.8021138803475236E-2</v>
      </c>
      <c r="V45" s="500">
        <f>'Summary Data'!CZ47</f>
        <v>0.13228730085384746</v>
      </c>
      <c r="W45" s="430">
        <f t="shared" si="23"/>
        <v>-6.3340936220177002E-3</v>
      </c>
      <c r="X45" s="833">
        <f t="shared" si="24"/>
        <v>-4.5693477878845784E-2</v>
      </c>
      <c r="Y45" s="655" t="str">
        <f t="shared" si="28"/>
        <v>+</v>
      </c>
      <c r="Z45" s="500">
        <f>'Summary Data'!DN47</f>
        <v>0.10323726139254454</v>
      </c>
      <c r="AA45" s="430">
        <f t="shared" si="25"/>
        <v>-2.9050039461302926E-2</v>
      </c>
      <c r="AB45" s="833">
        <f t="shared" si="26"/>
        <v>-0.21959809652022264</v>
      </c>
      <c r="AC45" s="655" t="str">
        <f t="shared" si="29"/>
        <v>+</v>
      </c>
      <c r="AD45" s="500">
        <f>'Summary Data'!RB47</f>
        <v>0</v>
      </c>
      <c r="AE45" s="430">
        <f t="shared" si="12"/>
        <v>-0.10323726139254454</v>
      </c>
      <c r="AF45" s="833">
        <f t="shared" si="13"/>
        <v>-1</v>
      </c>
      <c r="AG45" s="655" t="str">
        <f t="shared" si="30"/>
        <v>+</v>
      </c>
    </row>
    <row r="46" spans="1:33" ht="23.1" customHeight="1" x14ac:dyDescent="0.3">
      <c r="A46" s="828" t="str">
        <f>'Summary Data'!E48</f>
        <v>Service Center Costs</v>
      </c>
      <c r="B46" s="504">
        <v>4406958.51</v>
      </c>
      <c r="C46" s="504">
        <v>4265604.1500000004</v>
      </c>
      <c r="D46" s="427">
        <f t="shared" si="14"/>
        <v>-141354.3599999994</v>
      </c>
      <c r="E46" s="415">
        <f t="shared" si="15"/>
        <v>-3.207526453431471E-2</v>
      </c>
      <c r="F46" s="431">
        <v>4001965.3</v>
      </c>
      <c r="G46" s="513">
        <f t="shared" si="0"/>
        <v>-263638.85000000056</v>
      </c>
      <c r="H46" s="415">
        <f t="shared" si="20"/>
        <v>-6.1805746789701653E-2</v>
      </c>
      <c r="I46" s="504">
        <v>3699499.15</v>
      </c>
      <c r="J46" s="513">
        <f t="shared" si="2"/>
        <v>-302466.14999999991</v>
      </c>
      <c r="K46" s="486">
        <f t="shared" si="3"/>
        <v>-7.557940344960011E-2</v>
      </c>
      <c r="L46" s="431">
        <v>3829259.43</v>
      </c>
      <c r="M46" s="840">
        <v>129760.28000000026</v>
      </c>
      <c r="N46" s="1000">
        <v>3.5075093881289383E-2</v>
      </c>
      <c r="O46" s="504">
        <v>3706387.2100000009</v>
      </c>
      <c r="P46" s="1004">
        <f t="shared" si="4"/>
        <v>-122872.21999999927</v>
      </c>
      <c r="Q46" s="833">
        <f t="shared" si="5"/>
        <v>-3.2087724074625908E-2</v>
      </c>
      <c r="R46" s="655" t="str">
        <f t="shared" si="27"/>
        <v>+</v>
      </c>
      <c r="S46" s="504">
        <f>'Summary Data'!CL48</f>
        <v>3868401.9499999993</v>
      </c>
      <c r="T46" s="1004">
        <f t="shared" si="21"/>
        <v>162014.73999999836</v>
      </c>
      <c r="U46" s="833">
        <f t="shared" si="22"/>
        <v>4.3712308191350122E-2</v>
      </c>
      <c r="V46" s="504">
        <f>'Summary Data'!CZ48</f>
        <v>3955984.86</v>
      </c>
      <c r="W46" s="1004">
        <f t="shared" si="23"/>
        <v>87582.910000000615</v>
      </c>
      <c r="X46" s="833">
        <f t="shared" si="24"/>
        <v>2.2640591937453818E-2</v>
      </c>
      <c r="Y46" s="655" t="str">
        <f t="shared" si="28"/>
        <v>-</v>
      </c>
      <c r="Z46" s="504">
        <f>'Summary Data'!DN48</f>
        <v>3585940.62</v>
      </c>
      <c r="AA46" s="1004">
        <f t="shared" si="25"/>
        <v>-370044.23999999976</v>
      </c>
      <c r="AB46" s="833">
        <f t="shared" si="26"/>
        <v>-9.3540357988124295E-2</v>
      </c>
      <c r="AC46" s="655" t="str">
        <f t="shared" si="29"/>
        <v>+</v>
      </c>
      <c r="AD46" s="504">
        <f>'Summary Data'!RB48</f>
        <v>0</v>
      </c>
      <c r="AE46" s="1004">
        <f t="shared" si="12"/>
        <v>-3585940.62</v>
      </c>
      <c r="AF46" s="833">
        <f t="shared" si="13"/>
        <v>-1</v>
      </c>
      <c r="AG46" s="655" t="str">
        <f t="shared" si="30"/>
        <v>+</v>
      </c>
    </row>
    <row r="47" spans="1:33" ht="23.1" customHeight="1" x14ac:dyDescent="0.3">
      <c r="A47" s="828" t="str">
        <f>'Summary Data'!E49</f>
        <v>Service Center Costs Per Ticket</v>
      </c>
      <c r="B47" s="506">
        <v>33.799322856748425</v>
      </c>
      <c r="C47" s="506">
        <v>47.02981422271224</v>
      </c>
      <c r="D47" s="427">
        <v>13.230491365963815</v>
      </c>
      <c r="E47" s="415">
        <v>0.39144249788785912</v>
      </c>
      <c r="F47" s="506">
        <v>51.618946458744468</v>
      </c>
      <c r="G47" s="515">
        <v>4.5891322360322278</v>
      </c>
      <c r="H47" s="415">
        <v>9.7579212503373772E-2</v>
      </c>
      <c r="I47" s="506">
        <v>45.369247136445018</v>
      </c>
      <c r="J47" s="433">
        <f t="shared" ref="J47:K47" si="31">J46/J21</f>
        <v>-75.371579865437312</v>
      </c>
      <c r="K47" s="433">
        <f t="shared" si="31"/>
        <v>-1.4601533939805749</v>
      </c>
      <c r="L47" s="433">
        <v>40.697836433202255</v>
      </c>
      <c r="M47" s="842">
        <v>-4.6714107032427634</v>
      </c>
      <c r="N47" s="1000">
        <v>-0.1029642543812509</v>
      </c>
      <c r="O47" s="506">
        <v>65.758058512525736</v>
      </c>
      <c r="P47" s="1006">
        <f t="shared" si="4"/>
        <v>25.060222079323481</v>
      </c>
      <c r="Q47" s="833">
        <f t="shared" si="5"/>
        <v>0.61576300549674334</v>
      </c>
      <c r="R47" s="655" t="str">
        <f t="shared" si="27"/>
        <v>-</v>
      </c>
      <c r="S47" s="506">
        <f>'Summary Data'!CL49</f>
        <v>46.482366052653703</v>
      </c>
      <c r="T47" s="1006">
        <f t="shared" si="21"/>
        <v>-19.275692459872033</v>
      </c>
      <c r="U47" s="833">
        <f t="shared" si="22"/>
        <v>-0.29313049831299925</v>
      </c>
      <c r="V47" s="506">
        <f>'Summary Data'!CZ49</f>
        <v>52.372871648904479</v>
      </c>
      <c r="W47" s="1006">
        <f t="shared" si="23"/>
        <v>5.890505596250776</v>
      </c>
      <c r="X47" s="833">
        <f t="shared" si="24"/>
        <v>0.12672559717760934</v>
      </c>
      <c r="Y47" s="655" t="str">
        <f t="shared" si="28"/>
        <v>-</v>
      </c>
      <c r="Z47" s="506">
        <f>'Summary Data'!DN49</f>
        <v>63.539950031894534</v>
      </c>
      <c r="AA47" s="1006">
        <f t="shared" si="25"/>
        <v>11.167078382990056</v>
      </c>
      <c r="AB47" s="833">
        <f t="shared" si="26"/>
        <v>0.21322257175148893</v>
      </c>
      <c r="AC47" s="655" t="str">
        <f t="shared" si="29"/>
        <v>-</v>
      </c>
      <c r="AD47" s="506">
        <f>'Summary Data'!RB49</f>
        <v>0</v>
      </c>
      <c r="AE47" s="1006">
        <f t="shared" si="12"/>
        <v>-63.539950031894534</v>
      </c>
      <c r="AF47" s="833">
        <f t="shared" si="13"/>
        <v>-1</v>
      </c>
      <c r="AG47" s="655" t="str">
        <f t="shared" si="30"/>
        <v>+</v>
      </c>
    </row>
    <row r="48" spans="1:33" ht="23.1" customHeight="1" x14ac:dyDescent="0.3">
      <c r="A48" s="828" t="str">
        <f>'Summary Data'!E50</f>
        <v>Service Center Costs % of Total Costs</v>
      </c>
      <c r="B48" s="500">
        <v>0.26791506889798139</v>
      </c>
      <c r="C48" s="500">
        <v>0.28239630552109057</v>
      </c>
      <c r="D48" s="442">
        <f t="shared" si="14"/>
        <v>1.4481236623109184E-2</v>
      </c>
      <c r="E48" s="415">
        <f t="shared" si="15"/>
        <v>5.4051594345458233E-2</v>
      </c>
      <c r="F48" s="430">
        <v>0.31761249818144038</v>
      </c>
      <c r="G48" s="509">
        <f t="shared" si="0"/>
        <v>3.521619266034981E-2</v>
      </c>
      <c r="H48" s="415">
        <f t="shared" si="20"/>
        <v>0.12470486324304875</v>
      </c>
      <c r="I48" s="500">
        <v>0.33242937951128659</v>
      </c>
      <c r="J48" s="509">
        <f t="shared" si="2"/>
        <v>1.481688132984621E-2</v>
      </c>
      <c r="K48" s="486">
        <f t="shared" si="3"/>
        <v>4.6650813222664393E-2</v>
      </c>
      <c r="L48" s="430">
        <v>0.30253884530149555</v>
      </c>
      <c r="M48" s="839">
        <v>-2.9890534209791042E-2</v>
      </c>
      <c r="N48" s="1000">
        <v>-8.991544084862152E-2</v>
      </c>
      <c r="O48" s="500">
        <v>0.26868603832173082</v>
      </c>
      <c r="P48" s="430">
        <f t="shared" si="4"/>
        <v>-3.3852806979764727E-2</v>
      </c>
      <c r="Q48" s="833">
        <f t="shared" si="5"/>
        <v>-0.11189573671449912</v>
      </c>
      <c r="R48" s="656"/>
      <c r="S48" s="500">
        <f>'Summary Data'!CL50</f>
        <v>0.29457684058561423</v>
      </c>
      <c r="T48" s="430">
        <f t="shared" si="21"/>
        <v>2.5890802263883406E-2</v>
      </c>
      <c r="U48" s="833">
        <f t="shared" si="22"/>
        <v>9.636080246522212E-2</v>
      </c>
      <c r="V48" s="500">
        <f>'Summary Data'!CZ50</f>
        <v>0.31567030890447245</v>
      </c>
      <c r="W48" s="430">
        <f t="shared" si="23"/>
        <v>2.1093468318858222E-2</v>
      </c>
      <c r="X48" s="833">
        <f t="shared" si="24"/>
        <v>7.1605996849327086E-2</v>
      </c>
      <c r="Y48" s="656"/>
      <c r="Z48" s="500">
        <f>'Summary Data'!DN50</f>
        <v>0.36666029891448254</v>
      </c>
      <c r="AA48" s="430">
        <f t="shared" si="25"/>
        <v>5.0989990010010089E-2</v>
      </c>
      <c r="AB48" s="833">
        <f t="shared" si="26"/>
        <v>0.1615292555925511</v>
      </c>
      <c r="AC48" s="656"/>
      <c r="AD48" s="500">
        <f>'Summary Data'!RB50</f>
        <v>0</v>
      </c>
      <c r="AE48" s="430">
        <f t="shared" si="12"/>
        <v>-0.36666029891448254</v>
      </c>
      <c r="AF48" s="833">
        <f t="shared" si="13"/>
        <v>-1</v>
      </c>
      <c r="AG48" s="656"/>
    </row>
    <row r="49" spans="1:33" ht="20.25" hidden="1" customHeight="1" outlineLevel="1" x14ac:dyDescent="0.3">
      <c r="A49" s="485" t="s">
        <v>5</v>
      </c>
      <c r="B49" s="492">
        <v>0</v>
      </c>
      <c r="C49" s="492">
        <v>0</v>
      </c>
      <c r="D49" s="438">
        <f t="shared" si="14"/>
        <v>0</v>
      </c>
      <c r="E49" s="415" t="e">
        <f t="shared" si="15"/>
        <v>#DIV/0!</v>
      </c>
      <c r="F49" s="416">
        <v>0</v>
      </c>
      <c r="G49" s="508">
        <f t="shared" si="0"/>
        <v>0</v>
      </c>
      <c r="H49" s="415" t="e">
        <f t="shared" si="20"/>
        <v>#DIV/0!</v>
      </c>
      <c r="I49" s="492">
        <v>0</v>
      </c>
      <c r="J49" s="508">
        <f t="shared" si="2"/>
        <v>0</v>
      </c>
      <c r="K49" s="486" t="e">
        <f t="shared" si="3"/>
        <v>#DIV/0!</v>
      </c>
      <c r="L49" s="416">
        <v>0</v>
      </c>
      <c r="M49" s="838">
        <v>0</v>
      </c>
      <c r="N49" s="1000" t="e">
        <v>#DIV/0!</v>
      </c>
      <c r="O49" s="492">
        <v>0</v>
      </c>
      <c r="P49" s="438">
        <f t="shared" si="4"/>
        <v>0</v>
      </c>
      <c r="Q49" s="833" t="e">
        <f t="shared" si="5"/>
        <v>#DIV/0!</v>
      </c>
      <c r="R49" s="656"/>
      <c r="S49" s="492">
        <f>'Summary Data'!CL51</f>
        <v>0</v>
      </c>
      <c r="T49" s="438">
        <f t="shared" si="21"/>
        <v>0</v>
      </c>
      <c r="U49" s="833" t="e">
        <f t="shared" si="22"/>
        <v>#DIV/0!</v>
      </c>
      <c r="V49" s="492">
        <f>'Summary Data'!CZ51</f>
        <v>0</v>
      </c>
      <c r="W49" s="438">
        <f t="shared" si="23"/>
        <v>0</v>
      </c>
      <c r="X49" s="833" t="e">
        <f t="shared" si="24"/>
        <v>#DIV/0!</v>
      </c>
      <c r="Y49" s="656"/>
      <c r="Z49" s="492">
        <f>'Summary Data'!DN51</f>
        <v>0</v>
      </c>
      <c r="AA49" s="438">
        <f t="shared" si="25"/>
        <v>0</v>
      </c>
      <c r="AB49" s="833" t="e">
        <f t="shared" si="26"/>
        <v>#DIV/0!</v>
      </c>
      <c r="AC49" s="656"/>
      <c r="AD49" s="492">
        <f>'Summary Data'!RB51</f>
        <v>0</v>
      </c>
      <c r="AE49" s="438">
        <f t="shared" si="12"/>
        <v>0</v>
      </c>
      <c r="AF49" s="833" t="e">
        <f t="shared" si="13"/>
        <v>#DIV/0!</v>
      </c>
      <c r="AG49" s="656"/>
    </row>
    <row r="50" spans="1:33" ht="23.1" customHeight="1" collapsed="1" x14ac:dyDescent="0.3">
      <c r="A50" s="828" t="str">
        <f>'Summary Data'!E52</f>
        <v>Number of Classes Offered</v>
      </c>
      <c r="B50" s="498">
        <v>919</v>
      </c>
      <c r="C50" s="498">
        <v>1439</v>
      </c>
      <c r="D50" s="427">
        <f t="shared" si="14"/>
        <v>520</v>
      </c>
      <c r="E50" s="415">
        <f t="shared" si="15"/>
        <v>0.56583242655059851</v>
      </c>
      <c r="F50" s="425">
        <v>1092</v>
      </c>
      <c r="G50" s="510">
        <f t="shared" si="0"/>
        <v>-347</v>
      </c>
      <c r="H50" s="415">
        <f t="shared" si="20"/>
        <v>-0.24113968033356498</v>
      </c>
      <c r="I50" s="498">
        <v>1337</v>
      </c>
      <c r="J50" s="510">
        <f t="shared" si="2"/>
        <v>245</v>
      </c>
      <c r="K50" s="486">
        <f t="shared" si="3"/>
        <v>0.22435897435897437</v>
      </c>
      <c r="L50" s="425">
        <v>450</v>
      </c>
      <c r="M50" s="837">
        <v>-887</v>
      </c>
      <c r="N50" s="1000">
        <v>-0.66342557965594617</v>
      </c>
      <c r="O50" s="498">
        <v>296</v>
      </c>
      <c r="P50" s="1003">
        <f t="shared" si="4"/>
        <v>-154</v>
      </c>
      <c r="Q50" s="833">
        <f t="shared" si="5"/>
        <v>-0.34222222222222221</v>
      </c>
      <c r="R50" s="656"/>
      <c r="S50" s="498">
        <f>'Summary Data'!CL52</f>
        <v>254</v>
      </c>
      <c r="T50" s="1003">
        <f t="shared" si="21"/>
        <v>-42</v>
      </c>
      <c r="U50" s="833">
        <f t="shared" si="22"/>
        <v>-0.14189189189189189</v>
      </c>
      <c r="V50" s="498">
        <f>'Summary Data'!CZ52</f>
        <v>213</v>
      </c>
      <c r="W50" s="1003">
        <f t="shared" si="23"/>
        <v>-41</v>
      </c>
      <c r="X50" s="833">
        <f t="shared" si="24"/>
        <v>-0.16141732283464566</v>
      </c>
      <c r="Y50" s="656"/>
      <c r="Z50" s="498">
        <f>'Summary Data'!DN52</f>
        <v>128</v>
      </c>
      <c r="AA50" s="1003">
        <f t="shared" si="25"/>
        <v>-85</v>
      </c>
      <c r="AB50" s="833">
        <f t="shared" si="26"/>
        <v>-0.39906103286384975</v>
      </c>
      <c r="AC50" s="656"/>
      <c r="AD50" s="498">
        <f>'Summary Data'!RB52</f>
        <v>0</v>
      </c>
      <c r="AE50" s="1003">
        <f t="shared" si="12"/>
        <v>-128</v>
      </c>
      <c r="AF50" s="833">
        <f t="shared" si="13"/>
        <v>-1</v>
      </c>
      <c r="AG50" s="656"/>
    </row>
    <row r="51" spans="1:33" ht="23.1" customHeight="1" x14ac:dyDescent="0.3">
      <c r="A51" s="487" t="str">
        <f>'Summary Data'!E53</f>
        <v>Benefits</v>
      </c>
      <c r="B51" s="498">
        <v>11</v>
      </c>
      <c r="C51" s="498">
        <v>12</v>
      </c>
      <c r="D51" s="427">
        <f t="shared" si="14"/>
        <v>1</v>
      </c>
      <c r="E51" s="415">
        <f t="shared" si="15"/>
        <v>9.0909090909090912E-2</v>
      </c>
      <c r="F51" s="425">
        <v>20</v>
      </c>
      <c r="G51" s="510">
        <f t="shared" si="0"/>
        <v>8</v>
      </c>
      <c r="H51" s="415">
        <f t="shared" si="20"/>
        <v>0.66666666666666663</v>
      </c>
      <c r="I51" s="498">
        <v>13</v>
      </c>
      <c r="J51" s="510">
        <f t="shared" si="2"/>
        <v>-7</v>
      </c>
      <c r="K51" s="486">
        <f t="shared" si="3"/>
        <v>-0.35</v>
      </c>
      <c r="L51" s="425">
        <v>9</v>
      </c>
      <c r="M51" s="837">
        <v>-4</v>
      </c>
      <c r="N51" s="1000">
        <v>-0.30769230769230771</v>
      </c>
      <c r="O51" s="498">
        <v>11</v>
      </c>
      <c r="P51" s="1003">
        <f t="shared" si="4"/>
        <v>2</v>
      </c>
      <c r="Q51" s="833">
        <f t="shared" si="5"/>
        <v>0.22222222222222221</v>
      </c>
      <c r="R51" s="656"/>
      <c r="S51" s="498">
        <f>'Summary Data'!CL53</f>
        <v>9</v>
      </c>
      <c r="T51" s="1003">
        <f t="shared" si="21"/>
        <v>-2</v>
      </c>
      <c r="U51" s="833">
        <f t="shared" si="22"/>
        <v>-0.18181818181818182</v>
      </c>
      <c r="V51" s="498">
        <f>'Summary Data'!CZ53</f>
        <v>7</v>
      </c>
      <c r="W51" s="1003">
        <f t="shared" si="23"/>
        <v>-2</v>
      </c>
      <c r="X51" s="833">
        <f t="shared" si="24"/>
        <v>-0.22222222222222221</v>
      </c>
      <c r="Y51" s="656"/>
      <c r="Z51" s="498">
        <f>'Summary Data'!DN53</f>
        <v>5</v>
      </c>
      <c r="AA51" s="1003">
        <f t="shared" si="25"/>
        <v>-2</v>
      </c>
      <c r="AB51" s="833">
        <f t="shared" si="26"/>
        <v>-0.2857142857142857</v>
      </c>
      <c r="AC51" s="656"/>
      <c r="AD51" s="498">
        <f>'Summary Data'!RB53</f>
        <v>0</v>
      </c>
      <c r="AE51" s="1003">
        <f t="shared" si="12"/>
        <v>-5</v>
      </c>
      <c r="AF51" s="833">
        <f t="shared" si="13"/>
        <v>-1</v>
      </c>
      <c r="AG51" s="656"/>
    </row>
    <row r="52" spans="1:33" ht="23.1" customHeight="1" x14ac:dyDescent="0.3">
      <c r="A52" s="487" t="str">
        <f>'Summary Data'!E54</f>
        <v xml:space="preserve">BI </v>
      </c>
      <c r="B52" s="498">
        <v>31</v>
      </c>
      <c r="C52" s="498">
        <v>10</v>
      </c>
      <c r="D52" s="427">
        <f t="shared" si="14"/>
        <v>-21</v>
      </c>
      <c r="E52" s="415">
        <f t="shared" si="15"/>
        <v>-0.67741935483870963</v>
      </c>
      <c r="F52" s="425">
        <v>19</v>
      </c>
      <c r="G52" s="510">
        <f t="shared" si="0"/>
        <v>9</v>
      </c>
      <c r="H52" s="415">
        <f t="shared" si="20"/>
        <v>0.9</v>
      </c>
      <c r="I52" s="498">
        <v>16</v>
      </c>
      <c r="J52" s="510">
        <f t="shared" si="2"/>
        <v>-3</v>
      </c>
      <c r="K52" s="486">
        <f t="shared" si="3"/>
        <v>-0.15789473684210525</v>
      </c>
      <c r="L52" s="425">
        <v>17</v>
      </c>
      <c r="M52" s="837">
        <v>1</v>
      </c>
      <c r="N52" s="1000">
        <v>6.25E-2</v>
      </c>
      <c r="O52" s="498">
        <v>14</v>
      </c>
      <c r="P52" s="1003">
        <f t="shared" si="4"/>
        <v>-3</v>
      </c>
      <c r="Q52" s="833">
        <f t="shared" si="5"/>
        <v>-0.17647058823529413</v>
      </c>
      <c r="R52" s="656"/>
      <c r="S52" s="498">
        <f>'Summary Data'!CL54</f>
        <v>6</v>
      </c>
      <c r="T52" s="1003">
        <f t="shared" si="21"/>
        <v>-8</v>
      </c>
      <c r="U52" s="833">
        <f t="shared" si="22"/>
        <v>-0.5714285714285714</v>
      </c>
      <c r="V52" s="498">
        <f>'Summary Data'!CZ54</f>
        <v>1</v>
      </c>
      <c r="W52" s="1003">
        <f t="shared" si="23"/>
        <v>-5</v>
      </c>
      <c r="X52" s="833">
        <f t="shared" si="24"/>
        <v>-0.83333333333333337</v>
      </c>
      <c r="Y52" s="656"/>
      <c r="Z52" s="498">
        <f>'Summary Data'!DN54</f>
        <v>0</v>
      </c>
      <c r="AA52" s="1003">
        <f t="shared" si="25"/>
        <v>-1</v>
      </c>
      <c r="AB52" s="833">
        <f t="shared" si="26"/>
        <v>-1</v>
      </c>
      <c r="AC52" s="656"/>
      <c r="AD52" s="498">
        <f>'Summary Data'!RB54</f>
        <v>0</v>
      </c>
      <c r="AE52" s="1003">
        <f t="shared" si="12"/>
        <v>0</v>
      </c>
      <c r="AF52" s="833" t="e">
        <f t="shared" si="13"/>
        <v>#DIV/0!</v>
      </c>
      <c r="AG52" s="656"/>
    </row>
    <row r="53" spans="1:33" ht="23.1" customHeight="1" x14ac:dyDescent="0.3">
      <c r="A53" s="487" t="str">
        <f>'Summary Data'!E55</f>
        <v>Bus Objects</v>
      </c>
      <c r="B53" s="498">
        <v>0</v>
      </c>
      <c r="C53" s="498">
        <v>0</v>
      </c>
      <c r="D53" s="427">
        <f t="shared" ref="D53:D54" si="32">C53-B53</f>
        <v>0</v>
      </c>
      <c r="E53" s="415" t="e">
        <f t="shared" ref="E53:E54" si="33">D53/B53</f>
        <v>#DIV/0!</v>
      </c>
      <c r="F53" s="425">
        <v>0</v>
      </c>
      <c r="G53" s="510">
        <f t="shared" ref="G53:G54" si="34">F53-C53</f>
        <v>0</v>
      </c>
      <c r="H53" s="415" t="e">
        <f t="shared" ref="H53:H54" si="35">G53/C53</f>
        <v>#DIV/0!</v>
      </c>
      <c r="I53" s="498">
        <v>0</v>
      </c>
      <c r="J53" s="510">
        <f t="shared" ref="J53:J54" si="36">I53-F53</f>
        <v>0</v>
      </c>
      <c r="K53" s="486" t="e">
        <f t="shared" ref="K53:K54" si="37">J53/F53</f>
        <v>#DIV/0!</v>
      </c>
      <c r="L53" s="425">
        <v>0</v>
      </c>
      <c r="M53" s="837">
        <v>0</v>
      </c>
      <c r="N53" s="1000" t="e">
        <v>#DIV/0!</v>
      </c>
      <c r="O53" s="498">
        <v>47</v>
      </c>
      <c r="P53" s="1003">
        <f t="shared" ref="P53:P54" si="38">O53-L53</f>
        <v>47</v>
      </c>
      <c r="Q53" s="947">
        <v>1</v>
      </c>
      <c r="R53" s="656"/>
      <c r="S53" s="498">
        <f>'Summary Data'!CL55</f>
        <v>30</v>
      </c>
      <c r="T53" s="1003">
        <f t="shared" si="21"/>
        <v>-17</v>
      </c>
      <c r="U53" s="833">
        <f t="shared" si="22"/>
        <v>-0.36170212765957449</v>
      </c>
      <c r="V53" s="498">
        <f>'Summary Data'!CZ55</f>
        <v>19</v>
      </c>
      <c r="W53" s="1003">
        <f t="shared" si="23"/>
        <v>-11</v>
      </c>
      <c r="X53" s="833">
        <f t="shared" si="24"/>
        <v>-0.36666666666666664</v>
      </c>
      <c r="Y53" s="656"/>
      <c r="Z53" s="498">
        <f>'Summary Data'!DN55</f>
        <v>11</v>
      </c>
      <c r="AA53" s="1003">
        <f t="shared" si="25"/>
        <v>-8</v>
      </c>
      <c r="AB53" s="833">
        <f t="shared" si="26"/>
        <v>-0.42105263157894735</v>
      </c>
      <c r="AC53" s="656"/>
      <c r="AD53" s="498">
        <f>'Summary Data'!RB55</f>
        <v>0</v>
      </c>
      <c r="AE53" s="1003">
        <f t="shared" si="12"/>
        <v>-11</v>
      </c>
      <c r="AF53" s="833">
        <f t="shared" si="13"/>
        <v>-1</v>
      </c>
      <c r="AG53" s="656"/>
    </row>
    <row r="54" spans="1:33" ht="23.1" customHeight="1" x14ac:dyDescent="0.3">
      <c r="A54" s="487" t="str">
        <f>'Summary Data'!E56</f>
        <v>Finance</v>
      </c>
      <c r="B54" s="498">
        <v>0</v>
      </c>
      <c r="C54" s="498">
        <v>0</v>
      </c>
      <c r="D54" s="427">
        <f t="shared" si="32"/>
        <v>0</v>
      </c>
      <c r="E54" s="415" t="e">
        <f t="shared" si="33"/>
        <v>#DIV/0!</v>
      </c>
      <c r="F54" s="425">
        <v>0</v>
      </c>
      <c r="G54" s="510">
        <f t="shared" si="34"/>
        <v>0</v>
      </c>
      <c r="H54" s="415" t="e">
        <f t="shared" si="35"/>
        <v>#DIV/0!</v>
      </c>
      <c r="I54" s="498">
        <v>0</v>
      </c>
      <c r="J54" s="510">
        <f t="shared" si="36"/>
        <v>0</v>
      </c>
      <c r="K54" s="486" t="e">
        <f t="shared" si="37"/>
        <v>#DIV/0!</v>
      </c>
      <c r="L54" s="425">
        <v>0</v>
      </c>
      <c r="M54" s="837">
        <v>0</v>
      </c>
      <c r="N54" s="1000" t="e">
        <v>#DIV/0!</v>
      </c>
      <c r="O54" s="498">
        <v>5</v>
      </c>
      <c r="P54" s="1003">
        <f t="shared" si="38"/>
        <v>5</v>
      </c>
      <c r="Q54" s="947">
        <v>1</v>
      </c>
      <c r="R54" s="656"/>
      <c r="S54" s="498">
        <f>'Summary Data'!CL56</f>
        <v>3</v>
      </c>
      <c r="T54" s="1003">
        <f t="shared" si="21"/>
        <v>-2</v>
      </c>
      <c r="U54" s="833">
        <f t="shared" si="22"/>
        <v>-0.4</v>
      </c>
      <c r="V54" s="498">
        <f>'Summary Data'!CZ56</f>
        <v>1</v>
      </c>
      <c r="W54" s="1003">
        <f t="shared" si="23"/>
        <v>-2</v>
      </c>
      <c r="X54" s="833">
        <f t="shared" si="24"/>
        <v>-0.66666666666666663</v>
      </c>
      <c r="Y54" s="656"/>
      <c r="Z54" s="498">
        <f>'Summary Data'!DN56</f>
        <v>0</v>
      </c>
      <c r="AA54" s="1003">
        <f t="shared" si="25"/>
        <v>-1</v>
      </c>
      <c r="AB54" s="833">
        <f t="shared" si="26"/>
        <v>-1</v>
      </c>
      <c r="AC54" s="656"/>
      <c r="AD54" s="498">
        <f>'Summary Data'!RB56</f>
        <v>0</v>
      </c>
      <c r="AE54" s="1003">
        <f t="shared" si="12"/>
        <v>0</v>
      </c>
      <c r="AF54" s="833" t="e">
        <f t="shared" si="13"/>
        <v>#DIV/0!</v>
      </c>
      <c r="AG54" s="656"/>
    </row>
    <row r="55" spans="1:33" ht="23.1" customHeight="1" x14ac:dyDescent="0.3">
      <c r="A55" s="487" t="str">
        <f>'Summary Data'!E57</f>
        <v>Org Management</v>
      </c>
      <c r="B55" s="498">
        <v>49</v>
      </c>
      <c r="C55" s="498">
        <v>57</v>
      </c>
      <c r="D55" s="427">
        <f t="shared" si="14"/>
        <v>8</v>
      </c>
      <c r="E55" s="415">
        <f t="shared" si="15"/>
        <v>0.16326530612244897</v>
      </c>
      <c r="F55" s="425">
        <v>57</v>
      </c>
      <c r="G55" s="510">
        <f t="shared" si="0"/>
        <v>0</v>
      </c>
      <c r="H55" s="415">
        <f t="shared" si="20"/>
        <v>0</v>
      </c>
      <c r="I55" s="498">
        <v>76</v>
      </c>
      <c r="J55" s="510">
        <f t="shared" si="2"/>
        <v>19</v>
      </c>
      <c r="K55" s="486">
        <f t="shared" si="3"/>
        <v>0.33333333333333331</v>
      </c>
      <c r="L55" s="425">
        <v>36</v>
      </c>
      <c r="M55" s="837">
        <v>-40</v>
      </c>
      <c r="N55" s="1000">
        <v>-0.52631578947368418</v>
      </c>
      <c r="O55" s="498">
        <v>28</v>
      </c>
      <c r="P55" s="1003">
        <f t="shared" si="4"/>
        <v>-8</v>
      </c>
      <c r="Q55" s="833">
        <f t="shared" si="5"/>
        <v>-0.22222222222222221</v>
      </c>
      <c r="R55" s="656"/>
      <c r="S55" s="498">
        <f>'Summary Data'!CL57</f>
        <v>27</v>
      </c>
      <c r="T55" s="1003">
        <f t="shared" si="21"/>
        <v>-1</v>
      </c>
      <c r="U55" s="833">
        <f t="shared" si="22"/>
        <v>-3.5714285714285712E-2</v>
      </c>
      <c r="V55" s="498">
        <f>'Summary Data'!CZ57</f>
        <v>26</v>
      </c>
      <c r="W55" s="1003">
        <f t="shared" si="23"/>
        <v>-1</v>
      </c>
      <c r="X55" s="833">
        <f t="shared" si="24"/>
        <v>-3.7037037037037035E-2</v>
      </c>
      <c r="Y55" s="656"/>
      <c r="Z55" s="498">
        <f>'Summary Data'!DN57</f>
        <v>19</v>
      </c>
      <c r="AA55" s="1003">
        <f t="shared" si="25"/>
        <v>-7</v>
      </c>
      <c r="AB55" s="833">
        <f t="shared" si="26"/>
        <v>-0.26923076923076922</v>
      </c>
      <c r="AC55" s="656"/>
      <c r="AD55" s="498">
        <f>'Summary Data'!RB57</f>
        <v>0</v>
      </c>
      <c r="AE55" s="1003">
        <f t="shared" si="12"/>
        <v>-19</v>
      </c>
      <c r="AF55" s="833">
        <f t="shared" si="13"/>
        <v>-1</v>
      </c>
      <c r="AG55" s="656"/>
    </row>
    <row r="56" spans="1:33" ht="23.1" customHeight="1" x14ac:dyDescent="0.3">
      <c r="A56" s="487" t="str">
        <f>'Summary Data'!E58</f>
        <v>Personnel Administration</v>
      </c>
      <c r="B56" s="498">
        <v>245</v>
      </c>
      <c r="C56" s="498">
        <v>317</v>
      </c>
      <c r="D56" s="427">
        <f t="shared" si="14"/>
        <v>72</v>
      </c>
      <c r="E56" s="415">
        <f t="shared" si="15"/>
        <v>0.29387755102040819</v>
      </c>
      <c r="F56" s="425">
        <v>272</v>
      </c>
      <c r="G56" s="510">
        <f t="shared" si="0"/>
        <v>-45</v>
      </c>
      <c r="H56" s="415">
        <f t="shared" si="20"/>
        <v>-0.14195583596214512</v>
      </c>
      <c r="I56" s="498">
        <v>327</v>
      </c>
      <c r="J56" s="510">
        <f t="shared" si="2"/>
        <v>55</v>
      </c>
      <c r="K56" s="486">
        <f t="shared" si="3"/>
        <v>0.20220588235294118</v>
      </c>
      <c r="L56" s="425">
        <v>141</v>
      </c>
      <c r="M56" s="837">
        <v>-186</v>
      </c>
      <c r="N56" s="1000">
        <v>-0.56880733944954132</v>
      </c>
      <c r="O56" s="498">
        <v>108</v>
      </c>
      <c r="P56" s="1003">
        <f t="shared" si="4"/>
        <v>-33</v>
      </c>
      <c r="Q56" s="833">
        <f t="shared" si="5"/>
        <v>-0.23404255319148937</v>
      </c>
      <c r="R56" s="656"/>
      <c r="S56" s="498">
        <f>'Summary Data'!CL58</f>
        <v>91</v>
      </c>
      <c r="T56" s="1003">
        <f t="shared" si="21"/>
        <v>-17</v>
      </c>
      <c r="U56" s="833">
        <f t="shared" si="22"/>
        <v>-0.15740740740740741</v>
      </c>
      <c r="V56" s="498">
        <f>'Summary Data'!CZ58</f>
        <v>94</v>
      </c>
      <c r="W56" s="1003">
        <f t="shared" si="23"/>
        <v>3</v>
      </c>
      <c r="X56" s="833">
        <f t="shared" si="24"/>
        <v>3.2967032967032968E-2</v>
      </c>
      <c r="Y56" s="656"/>
      <c r="Z56" s="498">
        <f>'Summary Data'!DN58</f>
        <v>58</v>
      </c>
      <c r="AA56" s="1003">
        <f t="shared" si="25"/>
        <v>-36</v>
      </c>
      <c r="AB56" s="833">
        <f t="shared" si="26"/>
        <v>-0.38297872340425532</v>
      </c>
      <c r="AC56" s="656"/>
      <c r="AD56" s="498">
        <f>'Summary Data'!RB58</f>
        <v>0</v>
      </c>
      <c r="AE56" s="1003">
        <f t="shared" si="12"/>
        <v>-58</v>
      </c>
      <c r="AF56" s="833">
        <f t="shared" si="13"/>
        <v>-1</v>
      </c>
      <c r="AG56" s="656"/>
    </row>
    <row r="57" spans="1:33" ht="23.1" customHeight="1" x14ac:dyDescent="0.3">
      <c r="A57" s="487" t="str">
        <f>'Summary Data'!E59</f>
        <v>Payroll</v>
      </c>
      <c r="B57" s="498">
        <v>92</v>
      </c>
      <c r="C57" s="498">
        <v>147</v>
      </c>
      <c r="D57" s="427">
        <f t="shared" si="14"/>
        <v>55</v>
      </c>
      <c r="E57" s="415">
        <f t="shared" si="15"/>
        <v>0.59782608695652173</v>
      </c>
      <c r="F57" s="425">
        <v>107</v>
      </c>
      <c r="G57" s="510">
        <f t="shared" si="0"/>
        <v>-40</v>
      </c>
      <c r="H57" s="415">
        <f t="shared" si="20"/>
        <v>-0.27210884353741499</v>
      </c>
      <c r="I57" s="498">
        <v>147</v>
      </c>
      <c r="J57" s="510">
        <f t="shared" si="2"/>
        <v>40</v>
      </c>
      <c r="K57" s="486">
        <f t="shared" si="3"/>
        <v>0.37383177570093457</v>
      </c>
      <c r="L57" s="425">
        <v>41</v>
      </c>
      <c r="M57" s="837">
        <v>-106</v>
      </c>
      <c r="N57" s="1000">
        <v>-0.72108843537414968</v>
      </c>
      <c r="O57" s="498">
        <v>8</v>
      </c>
      <c r="P57" s="1003">
        <f t="shared" si="4"/>
        <v>-33</v>
      </c>
      <c r="Q57" s="833">
        <f t="shared" si="5"/>
        <v>-0.80487804878048785</v>
      </c>
      <c r="R57" s="656"/>
      <c r="S57" s="498">
        <f>'Summary Data'!CL59</f>
        <v>10</v>
      </c>
      <c r="T57" s="1003">
        <f t="shared" si="21"/>
        <v>2</v>
      </c>
      <c r="U57" s="833">
        <f t="shared" si="22"/>
        <v>0.25</v>
      </c>
      <c r="V57" s="498">
        <f>'Summary Data'!CZ59</f>
        <v>6</v>
      </c>
      <c r="W57" s="1003">
        <f t="shared" si="23"/>
        <v>-4</v>
      </c>
      <c r="X57" s="833">
        <f t="shared" si="24"/>
        <v>-0.4</v>
      </c>
      <c r="Y57" s="656"/>
      <c r="Z57" s="498">
        <f>'Summary Data'!DN59</f>
        <v>6</v>
      </c>
      <c r="AA57" s="1003">
        <f t="shared" si="25"/>
        <v>0</v>
      </c>
      <c r="AB57" s="833">
        <f t="shared" si="26"/>
        <v>0</v>
      </c>
      <c r="AC57" s="656"/>
      <c r="AD57" s="498">
        <f>'Summary Data'!RB59</f>
        <v>0</v>
      </c>
      <c r="AE57" s="1003">
        <f t="shared" si="12"/>
        <v>-6</v>
      </c>
      <c r="AF57" s="833">
        <f t="shared" si="13"/>
        <v>-1</v>
      </c>
      <c r="AG57" s="656"/>
    </row>
    <row r="58" spans="1:33" ht="23.1" customHeight="1" x14ac:dyDescent="0.3">
      <c r="A58" s="487" t="str">
        <f>'Summary Data'!E60</f>
        <v>Time</v>
      </c>
      <c r="B58" s="498">
        <v>289</v>
      </c>
      <c r="C58" s="498">
        <v>450</v>
      </c>
      <c r="D58" s="427">
        <f t="shared" si="14"/>
        <v>161</v>
      </c>
      <c r="E58" s="415">
        <f t="shared" si="15"/>
        <v>0.55709342560553632</v>
      </c>
      <c r="F58" s="425">
        <v>402</v>
      </c>
      <c r="G58" s="510">
        <f t="shared" si="0"/>
        <v>-48</v>
      </c>
      <c r="H58" s="415">
        <f t="shared" si="20"/>
        <v>-0.10666666666666667</v>
      </c>
      <c r="I58" s="498">
        <v>630</v>
      </c>
      <c r="J58" s="510">
        <f t="shared" si="2"/>
        <v>228</v>
      </c>
      <c r="K58" s="486">
        <f t="shared" si="3"/>
        <v>0.56716417910447758</v>
      </c>
      <c r="L58" s="425">
        <v>168</v>
      </c>
      <c r="M58" s="837">
        <v>-462</v>
      </c>
      <c r="N58" s="1000">
        <v>-0.73333333333333328</v>
      </c>
      <c r="O58" s="498">
        <v>32</v>
      </c>
      <c r="P58" s="1003">
        <f t="shared" si="4"/>
        <v>-136</v>
      </c>
      <c r="Q58" s="833">
        <f t="shared" si="5"/>
        <v>-0.80952380952380953</v>
      </c>
      <c r="R58" s="656"/>
      <c r="S58" s="498">
        <f>'Summary Data'!CL60</f>
        <v>26</v>
      </c>
      <c r="T58" s="1003">
        <f t="shared" si="21"/>
        <v>-6</v>
      </c>
      <c r="U58" s="833">
        <f t="shared" si="22"/>
        <v>-0.1875</v>
      </c>
      <c r="V58" s="498">
        <f>'Summary Data'!CZ60</f>
        <v>28</v>
      </c>
      <c r="W58" s="1003">
        <f t="shared" si="23"/>
        <v>2</v>
      </c>
      <c r="X58" s="833">
        <f t="shared" si="24"/>
        <v>7.6923076923076927E-2</v>
      </c>
      <c r="Y58" s="656"/>
      <c r="Z58" s="498">
        <f>'Summary Data'!DN60</f>
        <v>22</v>
      </c>
      <c r="AA58" s="1003">
        <f t="shared" si="25"/>
        <v>-6</v>
      </c>
      <c r="AB58" s="833">
        <f t="shared" si="26"/>
        <v>-0.21428571428571427</v>
      </c>
      <c r="AC58" s="656"/>
      <c r="AD58" s="498">
        <f>'Summary Data'!RB60</f>
        <v>0</v>
      </c>
      <c r="AE58" s="1003">
        <f t="shared" si="12"/>
        <v>-22</v>
      </c>
      <c r="AF58" s="833">
        <f t="shared" si="13"/>
        <v>-1</v>
      </c>
      <c r="AG58" s="656"/>
    </row>
    <row r="59" spans="1:33" ht="23.1" customHeight="1" x14ac:dyDescent="0.3">
      <c r="A59" s="487" t="str">
        <f>'Summary Data'!E61</f>
        <v>Workflow</v>
      </c>
      <c r="B59" s="498">
        <v>14</v>
      </c>
      <c r="C59" s="498">
        <v>10</v>
      </c>
      <c r="D59" s="427">
        <f t="shared" si="14"/>
        <v>-4</v>
      </c>
      <c r="E59" s="415">
        <f t="shared" si="15"/>
        <v>-0.2857142857142857</v>
      </c>
      <c r="F59" s="425">
        <v>10</v>
      </c>
      <c r="G59" s="510">
        <f t="shared" si="0"/>
        <v>0</v>
      </c>
      <c r="H59" s="415">
        <f t="shared" si="20"/>
        <v>0</v>
      </c>
      <c r="I59" s="498">
        <v>13</v>
      </c>
      <c r="J59" s="510">
        <f t="shared" si="2"/>
        <v>3</v>
      </c>
      <c r="K59" s="486">
        <f t="shared" si="3"/>
        <v>0.3</v>
      </c>
      <c r="L59" s="425">
        <v>12</v>
      </c>
      <c r="M59" s="837">
        <v>-1</v>
      </c>
      <c r="N59" s="1000">
        <v>-7.6923076923076927E-2</v>
      </c>
      <c r="O59" s="498">
        <v>8</v>
      </c>
      <c r="P59" s="1003">
        <f t="shared" si="4"/>
        <v>-4</v>
      </c>
      <c r="Q59" s="833">
        <f t="shared" si="5"/>
        <v>-0.33333333333333331</v>
      </c>
      <c r="R59" s="656"/>
      <c r="S59" s="498">
        <f>'Summary Data'!CL61</f>
        <v>9</v>
      </c>
      <c r="T59" s="1003">
        <f t="shared" si="21"/>
        <v>1</v>
      </c>
      <c r="U59" s="833">
        <f t="shared" si="22"/>
        <v>0.125</v>
      </c>
      <c r="V59" s="498">
        <f>'Summary Data'!CZ61</f>
        <v>10</v>
      </c>
      <c r="W59" s="1003">
        <f t="shared" si="23"/>
        <v>1</v>
      </c>
      <c r="X59" s="833">
        <f t="shared" si="24"/>
        <v>0.1111111111111111</v>
      </c>
      <c r="Y59" s="656"/>
      <c r="Z59" s="498">
        <f>'Summary Data'!DN61</f>
        <v>7</v>
      </c>
      <c r="AA59" s="1003">
        <f t="shared" si="25"/>
        <v>-3</v>
      </c>
      <c r="AB59" s="833">
        <f t="shared" si="26"/>
        <v>-0.3</v>
      </c>
      <c r="AC59" s="656"/>
      <c r="AD59" s="498">
        <f>'Summary Data'!RB61</f>
        <v>0</v>
      </c>
      <c r="AE59" s="1003">
        <f t="shared" si="12"/>
        <v>-7</v>
      </c>
      <c r="AF59" s="833">
        <f t="shared" si="13"/>
        <v>-1</v>
      </c>
      <c r="AG59" s="656"/>
    </row>
    <row r="60" spans="1:33" ht="23.1" customHeight="1" x14ac:dyDescent="0.3">
      <c r="A60" s="487" t="str">
        <f>'Summary Data'!E62</f>
        <v>Other (Non-ERP)</v>
      </c>
      <c r="B60" s="498">
        <v>188</v>
      </c>
      <c r="C60" s="498">
        <v>436</v>
      </c>
      <c r="D60" s="427">
        <f t="shared" si="14"/>
        <v>248</v>
      </c>
      <c r="E60" s="415">
        <f t="shared" si="15"/>
        <v>1.3191489361702127</v>
      </c>
      <c r="F60" s="425">
        <v>205</v>
      </c>
      <c r="G60" s="510">
        <f t="shared" si="0"/>
        <v>-231</v>
      </c>
      <c r="H60" s="415">
        <f t="shared" si="20"/>
        <v>-0.52981651376146788</v>
      </c>
      <c r="I60" s="498">
        <v>115</v>
      </c>
      <c r="J60" s="510">
        <f t="shared" si="2"/>
        <v>-90</v>
      </c>
      <c r="K60" s="486">
        <f t="shared" si="3"/>
        <v>-0.43902439024390244</v>
      </c>
      <c r="L60" s="425">
        <v>26</v>
      </c>
      <c r="M60" s="837">
        <v>-89</v>
      </c>
      <c r="N60" s="1000">
        <v>-0.77391304347826084</v>
      </c>
      <c r="O60" s="498">
        <v>35</v>
      </c>
      <c r="P60" s="1003">
        <f t="shared" si="4"/>
        <v>9</v>
      </c>
      <c r="Q60" s="833">
        <f t="shared" si="5"/>
        <v>0.34615384615384615</v>
      </c>
      <c r="R60" s="656"/>
      <c r="S60" s="498">
        <f>'Summary Data'!CL62</f>
        <v>43</v>
      </c>
      <c r="T60" s="1003">
        <f t="shared" si="21"/>
        <v>8</v>
      </c>
      <c r="U60" s="833">
        <f t="shared" si="22"/>
        <v>0.22857142857142856</v>
      </c>
      <c r="V60" s="498">
        <f>'Summary Data'!CZ62</f>
        <v>21</v>
      </c>
      <c r="W60" s="1003">
        <f t="shared" si="23"/>
        <v>-22</v>
      </c>
      <c r="X60" s="833">
        <f t="shared" si="24"/>
        <v>-0.51162790697674421</v>
      </c>
      <c r="Y60" s="656"/>
      <c r="Z60" s="498">
        <f>'Summary Data'!DN62</f>
        <v>0</v>
      </c>
      <c r="AA60" s="1003">
        <f t="shared" si="25"/>
        <v>-21</v>
      </c>
      <c r="AB60" s="833">
        <f t="shared" si="26"/>
        <v>-1</v>
      </c>
      <c r="AC60" s="656"/>
      <c r="AD60" s="498">
        <f>'Summary Data'!RB62</f>
        <v>0</v>
      </c>
      <c r="AE60" s="1003">
        <f t="shared" si="12"/>
        <v>0</v>
      </c>
      <c r="AF60" s="833" t="e">
        <f t="shared" si="13"/>
        <v>#DIV/0!</v>
      </c>
      <c r="AG60" s="656"/>
    </row>
    <row r="61" spans="1:33" ht="23.1" customHeight="1" x14ac:dyDescent="0.3">
      <c r="A61" s="828" t="str">
        <f>'Summary Data'!E63</f>
        <v>Number Trained in Classroom</v>
      </c>
      <c r="B61" s="498">
        <v>1703</v>
      </c>
      <c r="C61" s="498">
        <v>1324</v>
      </c>
      <c r="D61" s="427">
        <f t="shared" si="14"/>
        <v>-379</v>
      </c>
      <c r="E61" s="415">
        <f t="shared" si="15"/>
        <v>-0.22254844392248974</v>
      </c>
      <c r="F61" s="425">
        <v>1048</v>
      </c>
      <c r="G61" s="510">
        <f t="shared" si="0"/>
        <v>-276</v>
      </c>
      <c r="H61" s="415">
        <f t="shared" si="20"/>
        <v>-0.20845921450151059</v>
      </c>
      <c r="I61" s="498">
        <v>1780</v>
      </c>
      <c r="J61" s="510">
        <f t="shared" si="2"/>
        <v>732</v>
      </c>
      <c r="K61" s="486">
        <f t="shared" si="3"/>
        <v>0.69847328244274809</v>
      </c>
      <c r="L61" s="425">
        <v>1199</v>
      </c>
      <c r="M61" s="837">
        <v>-581</v>
      </c>
      <c r="N61" s="1000">
        <v>-0.32640449438202246</v>
      </c>
      <c r="O61" s="498">
        <v>2342</v>
      </c>
      <c r="P61" s="1003">
        <f t="shared" si="4"/>
        <v>1143</v>
      </c>
      <c r="Q61" s="833">
        <f t="shared" si="5"/>
        <v>0.95329441201000831</v>
      </c>
      <c r="R61" s="656"/>
      <c r="S61" s="498">
        <f>'Summary Data'!CL63</f>
        <v>2134</v>
      </c>
      <c r="T61" s="1003">
        <f t="shared" si="21"/>
        <v>-208</v>
      </c>
      <c r="U61" s="833">
        <f t="shared" si="22"/>
        <v>-8.8812980358667803E-2</v>
      </c>
      <c r="V61" s="498">
        <f>'Summary Data'!CZ63</f>
        <v>2062</v>
      </c>
      <c r="W61" s="1003">
        <f t="shared" si="23"/>
        <v>-72</v>
      </c>
      <c r="X61" s="833">
        <f t="shared" si="24"/>
        <v>-3.3739456419868794E-2</v>
      </c>
      <c r="Y61" s="656"/>
      <c r="Z61" s="498">
        <f>'Summary Data'!DN63</f>
        <v>1539</v>
      </c>
      <c r="AA61" s="1003">
        <f t="shared" si="25"/>
        <v>-523</v>
      </c>
      <c r="AB61" s="833">
        <f t="shared" si="26"/>
        <v>-0.25363724539282251</v>
      </c>
      <c r="AC61" s="656"/>
      <c r="AD61" s="498">
        <f>'Summary Data'!RB63</f>
        <v>0</v>
      </c>
      <c r="AE61" s="1003">
        <f t="shared" si="12"/>
        <v>-1539</v>
      </c>
      <c r="AF61" s="833">
        <f t="shared" si="13"/>
        <v>-1</v>
      </c>
      <c r="AG61" s="656"/>
    </row>
    <row r="62" spans="1:33" ht="23.1" customHeight="1" thickBot="1" x14ac:dyDescent="0.35">
      <c r="A62" s="829" t="str">
        <f>'Summary Data'!E64</f>
        <v>Number Attending eLearning</v>
      </c>
      <c r="B62" s="507">
        <v>2950</v>
      </c>
      <c r="C62" s="507">
        <v>2407</v>
      </c>
      <c r="D62" s="489">
        <f t="shared" si="14"/>
        <v>-543</v>
      </c>
      <c r="E62" s="490">
        <f t="shared" si="15"/>
        <v>-0.1840677966101695</v>
      </c>
      <c r="F62" s="488">
        <v>1511</v>
      </c>
      <c r="G62" s="511">
        <f t="shared" si="0"/>
        <v>-896</v>
      </c>
      <c r="H62" s="490">
        <f t="shared" si="20"/>
        <v>-0.37224761113419191</v>
      </c>
      <c r="I62" s="507">
        <v>2237</v>
      </c>
      <c r="J62" s="511">
        <f t="shared" si="2"/>
        <v>726</v>
      </c>
      <c r="K62" s="491">
        <f t="shared" si="3"/>
        <v>0.48047650562541361</v>
      </c>
      <c r="L62" s="488">
        <v>611</v>
      </c>
      <c r="M62" s="843">
        <v>-1626</v>
      </c>
      <c r="N62" s="1001">
        <v>-0.72686633884666962</v>
      </c>
      <c r="O62" s="507">
        <v>574</v>
      </c>
      <c r="P62" s="1007">
        <f t="shared" si="4"/>
        <v>-37</v>
      </c>
      <c r="Q62" s="834">
        <f t="shared" si="5"/>
        <v>-6.0556464811783964E-2</v>
      </c>
      <c r="R62" s="656"/>
      <c r="S62" s="507">
        <f>'Summary Data'!CL64</f>
        <v>430</v>
      </c>
      <c r="T62" s="1007">
        <f t="shared" si="21"/>
        <v>-144</v>
      </c>
      <c r="U62" s="834">
        <f t="shared" si="22"/>
        <v>-0.25087108013937282</v>
      </c>
      <c r="V62" s="507">
        <f>'Summary Data'!CZ64</f>
        <v>435</v>
      </c>
      <c r="W62" s="1007">
        <f t="shared" si="23"/>
        <v>5</v>
      </c>
      <c r="X62" s="834">
        <f t="shared" si="24"/>
        <v>1.1627906976744186E-2</v>
      </c>
      <c r="Y62" s="656"/>
      <c r="Z62" s="507">
        <f>'Summary Data'!DN64</f>
        <v>221</v>
      </c>
      <c r="AA62" s="1007">
        <f t="shared" si="25"/>
        <v>-214</v>
      </c>
      <c r="AB62" s="834">
        <f t="shared" si="26"/>
        <v>-0.49195402298850577</v>
      </c>
      <c r="AC62" s="656"/>
      <c r="AD62" s="507">
        <f>'Summary Data'!RB64</f>
        <v>0</v>
      </c>
      <c r="AE62" s="1007">
        <f t="shared" si="12"/>
        <v>-221</v>
      </c>
      <c r="AF62" s="834">
        <f t="shared" si="13"/>
        <v>-1</v>
      </c>
      <c r="AG62" s="656"/>
    </row>
    <row r="63" spans="1:33" ht="20.25" hidden="1" customHeight="1" outlineLevel="1" x14ac:dyDescent="0.3">
      <c r="A63" s="2" t="s">
        <v>4</v>
      </c>
      <c r="B63" s="416" t="e">
        <f>'Summary Data'!#REF!</f>
        <v>#REF!</v>
      </c>
      <c r="C63" s="416">
        <f>'Summary Data'!T65</f>
        <v>0</v>
      </c>
      <c r="D63" s="438" t="e">
        <f t="shared" si="14"/>
        <v>#REF!</v>
      </c>
      <c r="E63" s="415" t="e">
        <f t="shared" si="15"/>
        <v>#REF!</v>
      </c>
      <c r="F63" s="425">
        <f>'Summary Data'!AH65</f>
        <v>0</v>
      </c>
      <c r="G63" s="438">
        <f t="shared" ref="G63:G68" si="39">F63-C63</f>
        <v>0</v>
      </c>
      <c r="H63" s="415" t="e">
        <f t="shared" si="20"/>
        <v>#DIV/0!</v>
      </c>
      <c r="I63" s="425">
        <f>'Summary Data'!AV65</f>
        <v>0</v>
      </c>
      <c r="J63" s="438">
        <f t="shared" si="2"/>
        <v>0</v>
      </c>
      <c r="K63" s="415" t="e">
        <f t="shared" si="3"/>
        <v>#DIV/0!</v>
      </c>
      <c r="L63" s="425">
        <f>'Summary Data'!BJ65</f>
        <v>0</v>
      </c>
      <c r="M63" s="438">
        <f t="shared" ref="M63:M68" si="40">L63-I63</f>
        <v>0</v>
      </c>
      <c r="N63" s="415" t="e">
        <f t="shared" ref="N63:N68" si="41">M63/I63</f>
        <v>#DIV/0!</v>
      </c>
      <c r="O63" s="425">
        <f>'Summary Data'!BX65</f>
        <v>0</v>
      </c>
      <c r="P63" s="438">
        <f t="shared" si="4"/>
        <v>0</v>
      </c>
      <c r="Q63" s="415" t="e">
        <f t="shared" si="5"/>
        <v>#DIV/0!</v>
      </c>
      <c r="S63" s="425">
        <f>'Summary Data'!CL65</f>
        <v>0</v>
      </c>
      <c r="T63" s="438">
        <f t="shared" si="21"/>
        <v>0</v>
      </c>
      <c r="U63" s="415" t="e">
        <f t="shared" si="22"/>
        <v>#DIV/0!</v>
      </c>
      <c r="V63" s="425">
        <f>'Summary Data'!CZ65</f>
        <v>0</v>
      </c>
      <c r="W63" s="438">
        <f t="shared" si="23"/>
        <v>0</v>
      </c>
      <c r="X63" s="415" t="e">
        <f t="shared" si="24"/>
        <v>#DIV/0!</v>
      </c>
      <c r="Z63" s="425">
        <f>'Summary Data'!DN65</f>
        <v>0</v>
      </c>
      <c r="AA63" s="438">
        <f t="shared" si="25"/>
        <v>0</v>
      </c>
      <c r="AB63" s="415" t="e">
        <f t="shared" si="26"/>
        <v>#DIV/0!</v>
      </c>
      <c r="AD63" s="425">
        <f>'Summary Data'!RB65</f>
        <v>0</v>
      </c>
      <c r="AE63" s="438">
        <f t="shared" si="12"/>
        <v>0</v>
      </c>
      <c r="AF63" s="415" t="e">
        <f t="shared" si="13"/>
        <v>#DIV/0!</v>
      </c>
    </row>
    <row r="64" spans="1:33" ht="20.25" hidden="1" customHeight="1" outlineLevel="1" x14ac:dyDescent="0.3">
      <c r="A64" s="2" t="s">
        <v>68</v>
      </c>
      <c r="B64" s="423" t="e">
        <f>'Summary Data'!#REF!</f>
        <v>#REF!</v>
      </c>
      <c r="C64" s="423" t="str">
        <f>'Summary Data'!T66</f>
        <v>-</v>
      </c>
      <c r="D64" s="427" t="e">
        <f t="shared" si="14"/>
        <v>#VALUE!</v>
      </c>
      <c r="E64" s="415" t="e">
        <f t="shared" si="15"/>
        <v>#VALUE!</v>
      </c>
      <c r="F64" s="425" t="str">
        <f>'Summary Data'!AH66</f>
        <v>-</v>
      </c>
      <c r="G64" s="438" t="e">
        <f t="shared" si="39"/>
        <v>#VALUE!</v>
      </c>
      <c r="H64" s="415" t="e">
        <f t="shared" si="20"/>
        <v>#VALUE!</v>
      </c>
      <c r="I64" s="425" t="str">
        <f>'Summary Data'!AV66</f>
        <v>-</v>
      </c>
      <c r="J64" s="438" t="e">
        <f t="shared" si="2"/>
        <v>#VALUE!</v>
      </c>
      <c r="K64" s="415" t="e">
        <f t="shared" si="3"/>
        <v>#VALUE!</v>
      </c>
      <c r="L64" s="425" t="str">
        <f>'Summary Data'!BJ66</f>
        <v>-</v>
      </c>
      <c r="M64" s="438" t="e">
        <f t="shared" si="40"/>
        <v>#VALUE!</v>
      </c>
      <c r="N64" s="415" t="e">
        <f t="shared" si="41"/>
        <v>#VALUE!</v>
      </c>
      <c r="O64" s="425" t="str">
        <f>'Summary Data'!BX66</f>
        <v>-</v>
      </c>
      <c r="P64" s="438" t="e">
        <f t="shared" si="4"/>
        <v>#VALUE!</v>
      </c>
      <c r="Q64" s="415" t="e">
        <f t="shared" si="5"/>
        <v>#VALUE!</v>
      </c>
      <c r="S64" s="425" t="str">
        <f>'Summary Data'!CL66</f>
        <v>-</v>
      </c>
      <c r="T64" s="438" t="e">
        <f t="shared" si="21"/>
        <v>#VALUE!</v>
      </c>
      <c r="U64" s="415" t="e">
        <f t="shared" si="22"/>
        <v>#VALUE!</v>
      </c>
      <c r="V64" s="425" t="str">
        <f>'Summary Data'!CZ66</f>
        <v>-</v>
      </c>
      <c r="W64" s="438" t="e">
        <f t="shared" si="23"/>
        <v>#VALUE!</v>
      </c>
      <c r="X64" s="415" t="e">
        <f t="shared" si="24"/>
        <v>#VALUE!</v>
      </c>
      <c r="Z64" s="425" t="str">
        <f>'Summary Data'!DN66</f>
        <v>-</v>
      </c>
      <c r="AA64" s="438" t="e">
        <f t="shared" si="25"/>
        <v>#VALUE!</v>
      </c>
      <c r="AB64" s="415" t="e">
        <f t="shared" si="26"/>
        <v>#VALUE!</v>
      </c>
      <c r="AD64" s="425">
        <f>'Summary Data'!RB66</f>
        <v>0</v>
      </c>
      <c r="AE64" s="438" t="e">
        <f t="shared" si="12"/>
        <v>#VALUE!</v>
      </c>
      <c r="AF64" s="415" t="e">
        <f t="shared" si="13"/>
        <v>#VALUE!</v>
      </c>
    </row>
    <row r="65" spans="1:32" ht="20.25" hidden="1" customHeight="1" outlineLevel="1" x14ac:dyDescent="0.3">
      <c r="A65" s="2" t="s">
        <v>69</v>
      </c>
      <c r="B65" s="423" t="e">
        <f>'Summary Data'!#REF!</f>
        <v>#REF!</v>
      </c>
      <c r="C65" s="423" t="str">
        <f>'Summary Data'!T67</f>
        <v>-</v>
      </c>
      <c r="D65" s="427" t="e">
        <f t="shared" si="14"/>
        <v>#VALUE!</v>
      </c>
      <c r="E65" s="415" t="e">
        <f t="shared" si="15"/>
        <v>#VALUE!</v>
      </c>
      <c r="F65" s="425" t="str">
        <f>'Summary Data'!AH67</f>
        <v>-</v>
      </c>
      <c r="G65" s="438" t="e">
        <f t="shared" si="39"/>
        <v>#VALUE!</v>
      </c>
      <c r="H65" s="415" t="e">
        <f t="shared" si="20"/>
        <v>#VALUE!</v>
      </c>
      <c r="I65" s="425" t="str">
        <f>'Summary Data'!AV67</f>
        <v>-</v>
      </c>
      <c r="J65" s="438" t="e">
        <f t="shared" si="2"/>
        <v>#VALUE!</v>
      </c>
      <c r="K65" s="415" t="e">
        <f t="shared" si="3"/>
        <v>#VALUE!</v>
      </c>
      <c r="L65" s="425" t="str">
        <f>'Summary Data'!BJ67</f>
        <v>-</v>
      </c>
      <c r="M65" s="438" t="e">
        <f t="shared" si="40"/>
        <v>#VALUE!</v>
      </c>
      <c r="N65" s="415" t="e">
        <f t="shared" si="41"/>
        <v>#VALUE!</v>
      </c>
      <c r="O65" s="425" t="str">
        <f>'Summary Data'!BX67</f>
        <v>-</v>
      </c>
      <c r="P65" s="438" t="e">
        <f t="shared" si="4"/>
        <v>#VALUE!</v>
      </c>
      <c r="Q65" s="415" t="e">
        <f t="shared" si="5"/>
        <v>#VALUE!</v>
      </c>
      <c r="S65" s="425" t="str">
        <f>'Summary Data'!CL67</f>
        <v>-</v>
      </c>
      <c r="T65" s="438" t="e">
        <f t="shared" si="21"/>
        <v>#VALUE!</v>
      </c>
      <c r="U65" s="415" t="e">
        <f t="shared" si="22"/>
        <v>#VALUE!</v>
      </c>
      <c r="V65" s="425" t="str">
        <f>'Summary Data'!CZ67</f>
        <v>-</v>
      </c>
      <c r="W65" s="438" t="e">
        <f t="shared" si="23"/>
        <v>#VALUE!</v>
      </c>
      <c r="X65" s="415" t="e">
        <f t="shared" si="24"/>
        <v>#VALUE!</v>
      </c>
      <c r="Z65" s="425" t="str">
        <f>'Summary Data'!DN67</f>
        <v>-</v>
      </c>
      <c r="AA65" s="438" t="e">
        <f t="shared" si="25"/>
        <v>#VALUE!</v>
      </c>
      <c r="AB65" s="415" t="e">
        <f t="shared" si="26"/>
        <v>#VALUE!</v>
      </c>
      <c r="AD65" s="425">
        <f>'Summary Data'!RB67</f>
        <v>0</v>
      </c>
      <c r="AE65" s="438" t="e">
        <f t="shared" si="12"/>
        <v>#VALUE!</v>
      </c>
      <c r="AF65" s="415" t="e">
        <f t="shared" si="13"/>
        <v>#VALUE!</v>
      </c>
    </row>
    <row r="66" spans="1:32" ht="20.25" hidden="1" customHeight="1" outlineLevel="1" x14ac:dyDescent="0.3">
      <c r="A66" s="2" t="s">
        <v>70</v>
      </c>
      <c r="B66" s="423" t="e">
        <f>'Summary Data'!#REF!</f>
        <v>#REF!</v>
      </c>
      <c r="C66" s="423" t="str">
        <f>'Summary Data'!T68</f>
        <v>-</v>
      </c>
      <c r="D66" s="427" t="e">
        <f t="shared" si="14"/>
        <v>#VALUE!</v>
      </c>
      <c r="E66" s="415" t="e">
        <f t="shared" si="15"/>
        <v>#VALUE!</v>
      </c>
      <c r="F66" s="425" t="str">
        <f>'Summary Data'!AH68</f>
        <v>-</v>
      </c>
      <c r="G66" s="438" t="e">
        <f t="shared" si="39"/>
        <v>#VALUE!</v>
      </c>
      <c r="H66" s="415" t="e">
        <f t="shared" si="20"/>
        <v>#VALUE!</v>
      </c>
      <c r="I66" s="425" t="str">
        <f>'Summary Data'!AV68</f>
        <v>-</v>
      </c>
      <c r="J66" s="438" t="e">
        <f t="shared" si="2"/>
        <v>#VALUE!</v>
      </c>
      <c r="K66" s="415" t="e">
        <f t="shared" si="3"/>
        <v>#VALUE!</v>
      </c>
      <c r="L66" s="425" t="str">
        <f>'Summary Data'!BJ68</f>
        <v>-</v>
      </c>
      <c r="M66" s="438" t="e">
        <f t="shared" si="40"/>
        <v>#VALUE!</v>
      </c>
      <c r="N66" s="415" t="e">
        <f t="shared" si="41"/>
        <v>#VALUE!</v>
      </c>
      <c r="O66" s="425" t="str">
        <f>'Summary Data'!BX68</f>
        <v>-</v>
      </c>
      <c r="P66" s="438" t="e">
        <f t="shared" si="4"/>
        <v>#VALUE!</v>
      </c>
      <c r="Q66" s="415" t="e">
        <f t="shared" si="5"/>
        <v>#VALUE!</v>
      </c>
      <c r="S66" s="425" t="str">
        <f>'Summary Data'!CL68</f>
        <v>-</v>
      </c>
      <c r="T66" s="438" t="e">
        <f t="shared" si="21"/>
        <v>#VALUE!</v>
      </c>
      <c r="U66" s="415" t="e">
        <f t="shared" si="22"/>
        <v>#VALUE!</v>
      </c>
      <c r="V66" s="425" t="str">
        <f>'Summary Data'!CZ68</f>
        <v>-</v>
      </c>
      <c r="W66" s="438" t="e">
        <f t="shared" si="23"/>
        <v>#VALUE!</v>
      </c>
      <c r="X66" s="415" t="e">
        <f t="shared" si="24"/>
        <v>#VALUE!</v>
      </c>
      <c r="Z66" s="425" t="str">
        <f>'Summary Data'!DN68</f>
        <v>-</v>
      </c>
      <c r="AA66" s="438" t="e">
        <f t="shared" si="25"/>
        <v>#VALUE!</v>
      </c>
      <c r="AB66" s="415" t="e">
        <f t="shared" si="26"/>
        <v>#VALUE!</v>
      </c>
      <c r="AD66" s="425">
        <f>'Summary Data'!RB68</f>
        <v>0</v>
      </c>
      <c r="AE66" s="438" t="e">
        <f t="shared" si="12"/>
        <v>#VALUE!</v>
      </c>
      <c r="AF66" s="415" t="e">
        <f t="shared" si="13"/>
        <v>#VALUE!</v>
      </c>
    </row>
    <row r="67" spans="1:32" ht="20.25" hidden="1" customHeight="1" outlineLevel="1" x14ac:dyDescent="0.3">
      <c r="A67" s="2" t="s">
        <v>71</v>
      </c>
      <c r="B67" s="423" t="e">
        <f>'Summary Data'!#REF!</f>
        <v>#REF!</v>
      </c>
      <c r="C67" s="423" t="str">
        <f>'Summary Data'!T69</f>
        <v>-</v>
      </c>
      <c r="D67" s="427" t="e">
        <f t="shared" si="14"/>
        <v>#VALUE!</v>
      </c>
      <c r="E67" s="415" t="e">
        <f t="shared" si="15"/>
        <v>#VALUE!</v>
      </c>
      <c r="F67" s="425" t="str">
        <f>'Summary Data'!AH69</f>
        <v>-</v>
      </c>
      <c r="G67" s="438" t="e">
        <f t="shared" si="39"/>
        <v>#VALUE!</v>
      </c>
      <c r="H67" s="415" t="e">
        <f t="shared" si="20"/>
        <v>#VALUE!</v>
      </c>
      <c r="I67" s="425" t="str">
        <f>'Summary Data'!AV69</f>
        <v>-</v>
      </c>
      <c r="J67" s="438" t="e">
        <f t="shared" si="2"/>
        <v>#VALUE!</v>
      </c>
      <c r="K67" s="415" t="e">
        <f t="shared" si="3"/>
        <v>#VALUE!</v>
      </c>
      <c r="L67" s="425" t="str">
        <f>'Summary Data'!BJ69</f>
        <v>-</v>
      </c>
      <c r="M67" s="438" t="e">
        <f t="shared" si="40"/>
        <v>#VALUE!</v>
      </c>
      <c r="N67" s="415" t="e">
        <f t="shared" si="41"/>
        <v>#VALUE!</v>
      </c>
      <c r="O67" s="425" t="str">
        <f>'Summary Data'!BX69</f>
        <v>-</v>
      </c>
      <c r="P67" s="438" t="e">
        <f t="shared" si="4"/>
        <v>#VALUE!</v>
      </c>
      <c r="Q67" s="415" t="e">
        <f t="shared" si="5"/>
        <v>#VALUE!</v>
      </c>
      <c r="S67" s="425" t="str">
        <f>'Summary Data'!CL69</f>
        <v>-</v>
      </c>
      <c r="T67" s="438" t="e">
        <f t="shared" si="21"/>
        <v>#VALUE!</v>
      </c>
      <c r="U67" s="415" t="e">
        <f t="shared" si="22"/>
        <v>#VALUE!</v>
      </c>
      <c r="V67" s="425" t="str">
        <f>'Summary Data'!CZ69</f>
        <v>-</v>
      </c>
      <c r="W67" s="438" t="e">
        <f t="shared" si="23"/>
        <v>#VALUE!</v>
      </c>
      <c r="X67" s="415" t="e">
        <f t="shared" si="24"/>
        <v>#VALUE!</v>
      </c>
      <c r="Z67" s="425" t="str">
        <f>'Summary Data'!DN69</f>
        <v>-</v>
      </c>
      <c r="AA67" s="438" t="e">
        <f t="shared" si="25"/>
        <v>#VALUE!</v>
      </c>
      <c r="AB67" s="415" t="e">
        <f t="shared" si="26"/>
        <v>#VALUE!</v>
      </c>
      <c r="AD67" s="425">
        <f>'Summary Data'!RB69</f>
        <v>0</v>
      </c>
      <c r="AE67" s="438" t="e">
        <f t="shared" si="12"/>
        <v>#VALUE!</v>
      </c>
      <c r="AF67" s="415" t="e">
        <f t="shared" si="13"/>
        <v>#VALUE!</v>
      </c>
    </row>
    <row r="68" spans="1:32" ht="20.25" hidden="1" customHeight="1" outlineLevel="1" x14ac:dyDescent="0.3">
      <c r="B68" s="434"/>
      <c r="C68" s="434"/>
      <c r="D68" s="427">
        <f t="shared" si="14"/>
        <v>0</v>
      </c>
      <c r="E68" s="415" t="e">
        <f t="shared" si="15"/>
        <v>#DIV/0!</v>
      </c>
      <c r="F68" s="425" t="str">
        <f>'Summary Data'!AH70</f>
        <v>-</v>
      </c>
      <c r="G68" s="438" t="e">
        <f t="shared" si="39"/>
        <v>#VALUE!</v>
      </c>
      <c r="H68" s="415" t="e">
        <f t="shared" si="20"/>
        <v>#VALUE!</v>
      </c>
      <c r="I68" s="425" t="str">
        <f>'Summary Data'!AV70</f>
        <v>-</v>
      </c>
      <c r="J68" s="438" t="e">
        <f t="shared" si="2"/>
        <v>#VALUE!</v>
      </c>
      <c r="K68" s="415" t="e">
        <f t="shared" si="3"/>
        <v>#VALUE!</v>
      </c>
      <c r="L68" s="425" t="str">
        <f>'Summary Data'!BJ70</f>
        <v>-</v>
      </c>
      <c r="M68" s="438" t="e">
        <f t="shared" si="40"/>
        <v>#VALUE!</v>
      </c>
      <c r="N68" s="415" t="e">
        <f t="shared" si="41"/>
        <v>#VALUE!</v>
      </c>
      <c r="O68" s="425" t="str">
        <f>'Summary Data'!BX70</f>
        <v>-</v>
      </c>
      <c r="P68" s="438" t="e">
        <f t="shared" si="4"/>
        <v>#VALUE!</v>
      </c>
      <c r="Q68" s="415" t="e">
        <f t="shared" si="5"/>
        <v>#VALUE!</v>
      </c>
      <c r="S68" s="425" t="str">
        <f>'Summary Data'!CL70</f>
        <v>-</v>
      </c>
      <c r="T68" s="438" t="e">
        <f t="shared" ref="T68" si="42">S68-O68</f>
        <v>#VALUE!</v>
      </c>
      <c r="U68" s="415" t="e">
        <f t="shared" ref="U68" si="43">T68/O68</f>
        <v>#VALUE!</v>
      </c>
      <c r="V68" s="425" t="str">
        <f>'Summary Data'!CZ70</f>
        <v>-</v>
      </c>
      <c r="W68" s="438" t="e">
        <f t="shared" ref="W68" si="44">V68-S68</f>
        <v>#VALUE!</v>
      </c>
      <c r="X68" s="415" t="e">
        <f t="shared" ref="X68" si="45">W68/S68</f>
        <v>#VALUE!</v>
      </c>
      <c r="Z68" s="425" t="str">
        <f>'Summary Data'!DN70</f>
        <v>-</v>
      </c>
      <c r="AA68" s="438" t="e">
        <f t="shared" ref="AA68" si="46">Z68-V68</f>
        <v>#VALUE!</v>
      </c>
      <c r="AB68" s="415" t="e">
        <f t="shared" ref="AB68" si="47">AA68/V68</f>
        <v>#VALUE!</v>
      </c>
      <c r="AD68" s="425">
        <f>'Summary Data'!RB70</f>
        <v>0</v>
      </c>
      <c r="AE68" s="438" t="e">
        <f t="shared" ref="AE68" si="48">AD68-Z68</f>
        <v>#VALUE!</v>
      </c>
      <c r="AF68" s="415" t="e">
        <f t="shared" ref="AF68" si="49">AE68/Z68</f>
        <v>#VALUE!</v>
      </c>
    </row>
    <row r="69" spans="1:32" ht="20.25" customHeight="1" collapsed="1" x14ac:dyDescent="0.3"/>
    <row r="70" spans="1:32" ht="20.25" customHeight="1" x14ac:dyDescent="0.3">
      <c r="B70" s="430"/>
      <c r="C70" s="430"/>
      <c r="D70" s="442"/>
      <c r="F70" s="430"/>
      <c r="I70" s="430"/>
      <c r="L70" s="430"/>
      <c r="O70" s="430"/>
      <c r="S70" s="430"/>
      <c r="V70" s="430"/>
      <c r="Z70" s="430"/>
      <c r="AD70" s="430"/>
    </row>
    <row r="71" spans="1:32" ht="20.25" customHeight="1" x14ac:dyDescent="0.3">
      <c r="B71" s="435"/>
      <c r="C71" s="435"/>
      <c r="F71" s="435"/>
      <c r="I71" s="435"/>
      <c r="L71" s="435"/>
      <c r="O71" s="435"/>
      <c r="S71" s="435"/>
      <c r="V71" s="435"/>
      <c r="Z71" s="435"/>
      <c r="AD71" s="435"/>
    </row>
  </sheetData>
  <sheetProtection sheet="1" objects="1" scenarios="1"/>
  <mergeCells count="8">
    <mergeCell ref="AE2:AF2"/>
    <mergeCell ref="AA2:AB2"/>
    <mergeCell ref="W2:X2"/>
    <mergeCell ref="G2:H2"/>
    <mergeCell ref="J2:K2"/>
    <mergeCell ref="M2:N2"/>
    <mergeCell ref="P2:Q2"/>
    <mergeCell ref="T2:U2"/>
  </mergeCells>
  <conditionalFormatting sqref="R1:R1048576">
    <cfRule type="cellIs" dxfId="13" priority="13" stopIfTrue="1" operator="equal">
      <formula>"+"</formula>
    </cfRule>
    <cfRule type="cellIs" dxfId="12" priority="14" stopIfTrue="1" operator="equal">
      <formula>"-"</formula>
    </cfRule>
    <cfRule type="cellIs" priority="15" stopIfTrue="1" operator="equal">
      <formula>"-"</formula>
    </cfRule>
  </conditionalFormatting>
  <conditionalFormatting sqref="Y1:Y1048576">
    <cfRule type="cellIs" dxfId="11" priority="7" stopIfTrue="1" operator="equal">
      <formula>"+"</formula>
    </cfRule>
    <cfRule type="cellIs" dxfId="10" priority="8" stopIfTrue="1" operator="equal">
      <formula>"-"</formula>
    </cfRule>
    <cfRule type="cellIs" priority="9" stopIfTrue="1" operator="equal">
      <formula>"-"</formula>
    </cfRule>
  </conditionalFormatting>
  <conditionalFormatting sqref="AC1:AC1048576">
    <cfRule type="cellIs" dxfId="9" priority="4" stopIfTrue="1" operator="equal">
      <formula>"+"</formula>
    </cfRule>
    <cfRule type="cellIs" dxfId="8" priority="5" stopIfTrue="1" operator="equal">
      <formula>"-"</formula>
    </cfRule>
    <cfRule type="cellIs" priority="6" stopIfTrue="1" operator="equal">
      <formula>"-"</formula>
    </cfRule>
  </conditionalFormatting>
  <conditionalFormatting sqref="AG1:AG1048576">
    <cfRule type="cellIs" dxfId="7" priority="1" stopIfTrue="1" operator="equal">
      <formula>"+"</formula>
    </cfRule>
    <cfRule type="cellIs" dxfId="6" priority="2" stopIfTrue="1" operator="equal">
      <formula>"-"</formula>
    </cfRule>
    <cfRule type="cellIs" priority="3" stopIfTrue="1" operator="equal">
      <formula>"-"</formula>
    </cfRule>
  </conditionalFormatting>
  <printOptions horizontalCentered="1"/>
  <pageMargins left="0" right="0" top="1.07" bottom="0.75" header="0.5" footer="0.3"/>
  <pageSetup scale="73" orientation="portrait" r:id="rId1"/>
  <headerFooter>
    <oddHeader xml:space="preserve">&amp;C&amp;"-,Bold"&amp;12OSC Integrated HR/Payroll System Metrics
FY Comparison&amp;"-,Regular"&amp;11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3"/>
  <sheetViews>
    <sheetView topLeftCell="A6" zoomScale="80" zoomScaleNormal="80" workbookViewId="0">
      <selection activeCell="S6" sqref="S6"/>
    </sheetView>
  </sheetViews>
  <sheetFormatPr defaultRowHeight="12" outlineLevelRow="1" outlineLevelCol="1" x14ac:dyDescent="0.2"/>
  <cols>
    <col min="1" max="1" width="3.28515625" style="436" customWidth="1"/>
    <col min="2" max="2" width="15.140625" style="525" bestFit="1" customWidth="1"/>
    <col min="3" max="14" width="9.140625" style="436" customWidth="1"/>
    <col min="15" max="15" width="10.7109375" style="436" hidden="1" customWidth="1" outlineLevel="1"/>
    <col min="16" max="16" width="8.5703125" style="436" customWidth="1" collapsed="1"/>
    <col min="17" max="17" width="9.42578125" style="436" customWidth="1"/>
    <col min="18" max="18" width="8.5703125" style="436" customWidth="1"/>
    <col min="19" max="23" width="8.42578125" style="436" customWidth="1"/>
    <col min="24" max="24" width="9" style="436" customWidth="1"/>
    <col min="25" max="26" width="8.42578125" style="436" customWidth="1"/>
    <col min="27" max="16384" width="9.140625" style="436"/>
  </cols>
  <sheetData>
    <row r="1" spans="1:18" s="585" customFormat="1" ht="20.25" hidden="1" customHeight="1" outlineLevel="1" x14ac:dyDescent="0.25">
      <c r="A1" s="1135" t="s">
        <v>294</v>
      </c>
      <c r="B1" s="1139"/>
      <c r="C1" s="1140">
        <v>43312</v>
      </c>
      <c r="D1" s="1141">
        <v>43343</v>
      </c>
      <c r="E1" s="1142">
        <v>43373</v>
      </c>
      <c r="F1" s="1141">
        <v>43404</v>
      </c>
      <c r="G1" s="1143">
        <v>43434</v>
      </c>
      <c r="H1" s="1143">
        <v>43465</v>
      </c>
      <c r="I1" s="1141">
        <v>43496</v>
      </c>
      <c r="J1" s="1143">
        <v>43524</v>
      </c>
      <c r="K1" s="1143">
        <v>43555</v>
      </c>
      <c r="L1" s="1141">
        <v>43585</v>
      </c>
      <c r="M1" s="1143">
        <v>43616</v>
      </c>
      <c r="N1" s="1143">
        <v>43646</v>
      </c>
      <c r="O1" s="1144" t="s">
        <v>177</v>
      </c>
      <c r="P1" s="1145" t="s">
        <v>142</v>
      </c>
      <c r="Q1" s="607" t="s">
        <v>179</v>
      </c>
      <c r="R1" s="736" t="s">
        <v>178</v>
      </c>
    </row>
    <row r="2" spans="1:18" s="524" customFormat="1" ht="20.25" hidden="1" customHeight="1" outlineLevel="1" x14ac:dyDescent="0.25">
      <c r="A2" s="1136"/>
      <c r="B2" s="565" t="s">
        <v>139</v>
      </c>
      <c r="C2" s="856">
        <f>'Summary Data'!DP11</f>
        <v>0</v>
      </c>
      <c r="D2" s="858">
        <f>'Summary Data'!DQ11</f>
        <v>0</v>
      </c>
      <c r="E2" s="527">
        <f>'Summary Data'!DR11</f>
        <v>0</v>
      </c>
      <c r="F2" s="527">
        <f>'Summary Data'!DS11</f>
        <v>0</v>
      </c>
      <c r="G2" s="527">
        <f>'Summary Data'!DT11</f>
        <v>0</v>
      </c>
      <c r="H2" s="527">
        <f>'Summary Data'!DU11</f>
        <v>0</v>
      </c>
      <c r="I2" s="527">
        <f>'Summary Data'!DV11</f>
        <v>0</v>
      </c>
      <c r="J2" s="527">
        <f>'Summary Data'!DW11</f>
        <v>0</v>
      </c>
      <c r="K2" s="527">
        <f>'Summary Data'!DX11</f>
        <v>0</v>
      </c>
      <c r="L2" s="527">
        <f>'Summary Data'!DY11</f>
        <v>0</v>
      </c>
      <c r="M2" s="526">
        <f>'Summary Data'!DZ11</f>
        <v>0</v>
      </c>
      <c r="N2" s="528">
        <f>'Summary Data'!EA11</f>
        <v>0</v>
      </c>
      <c r="O2" s="561">
        <f>COUNTIF(C2:N2,"&gt;0")</f>
        <v>0</v>
      </c>
      <c r="P2" s="554" t="e">
        <f>SUM(C2:N2)/$O$2</f>
        <v>#DIV/0!</v>
      </c>
      <c r="Q2" s="611" t="e">
        <f>P2-P7</f>
        <v>#DIV/0!</v>
      </c>
      <c r="R2" s="651" t="e">
        <f>Q2/P7</f>
        <v>#DIV/0!</v>
      </c>
    </row>
    <row r="3" spans="1:18" s="524" customFormat="1" ht="20.25" hidden="1" customHeight="1" outlineLevel="1" x14ac:dyDescent="0.25">
      <c r="A3" s="1136"/>
      <c r="B3" s="565" t="s">
        <v>138</v>
      </c>
      <c r="C3" s="856">
        <f>'Summary Data'!DP5</f>
        <v>0</v>
      </c>
      <c r="D3" s="858">
        <f>'Summary Data'!DQ5</f>
        <v>0</v>
      </c>
      <c r="E3" s="527">
        <f>'Summary Data'!DR5</f>
        <v>0</v>
      </c>
      <c r="F3" s="527">
        <f>'Summary Data'!DS5</f>
        <v>0</v>
      </c>
      <c r="G3" s="527">
        <f>'Summary Data'!DT5</f>
        <v>0</v>
      </c>
      <c r="H3" s="527">
        <f>'Summary Data'!DU5</f>
        <v>0</v>
      </c>
      <c r="I3" s="527">
        <f>'Summary Data'!DV5</f>
        <v>0</v>
      </c>
      <c r="J3" s="527">
        <f>'Summary Data'!DW5</f>
        <v>0</v>
      </c>
      <c r="K3" s="527">
        <f>'Summary Data'!DX5</f>
        <v>0</v>
      </c>
      <c r="L3" s="527">
        <f>'Summary Data'!DY5</f>
        <v>0</v>
      </c>
      <c r="M3" s="526">
        <f>'Summary Data'!DZ5</f>
        <v>0</v>
      </c>
      <c r="N3" s="528">
        <f>'Summary Data'!EA5</f>
        <v>0</v>
      </c>
      <c r="O3" s="856"/>
      <c r="P3" s="554" t="e">
        <f>SUM(C3:N3)/$O$2</f>
        <v>#DIV/0!</v>
      </c>
      <c r="Q3" s="611" t="e">
        <f>P3-P8</f>
        <v>#DIV/0!</v>
      </c>
      <c r="R3" s="651" t="e">
        <f>Q3/P8</f>
        <v>#DIV/0!</v>
      </c>
    </row>
    <row r="4" spans="1:18" s="524" customFormat="1" ht="20.25" hidden="1" customHeight="1" outlineLevel="1" x14ac:dyDescent="0.25">
      <c r="A4" s="1137"/>
      <c r="B4" s="566" t="s">
        <v>140</v>
      </c>
      <c r="C4" s="552" t="str">
        <f t="shared" ref="C4:N4" si="0">IF(C2=0,"-",(C3/C2))</f>
        <v>-</v>
      </c>
      <c r="D4" s="535" t="str">
        <f t="shared" si="0"/>
        <v>-</v>
      </c>
      <c r="E4" s="535" t="str">
        <f t="shared" si="0"/>
        <v>-</v>
      </c>
      <c r="F4" s="535" t="str">
        <f t="shared" si="0"/>
        <v>-</v>
      </c>
      <c r="G4" s="535" t="str">
        <f t="shared" si="0"/>
        <v>-</v>
      </c>
      <c r="H4" s="535" t="str">
        <f t="shared" si="0"/>
        <v>-</v>
      </c>
      <c r="I4" s="535" t="str">
        <f t="shared" si="0"/>
        <v>-</v>
      </c>
      <c r="J4" s="535" t="str">
        <f t="shared" si="0"/>
        <v>-</v>
      </c>
      <c r="K4" s="535" t="str">
        <f t="shared" si="0"/>
        <v>-</v>
      </c>
      <c r="L4" s="535" t="str">
        <f t="shared" si="0"/>
        <v>-</v>
      </c>
      <c r="M4" s="535" t="str">
        <f t="shared" si="0"/>
        <v>-</v>
      </c>
      <c r="N4" s="558" t="str">
        <f t="shared" si="0"/>
        <v>-</v>
      </c>
      <c r="O4" s="562"/>
      <c r="P4" s="555" t="e">
        <f>SUM(C4:N4)/$O$2</f>
        <v>#DIV/0!</v>
      </c>
      <c r="Q4" s="612" t="e">
        <f>P4-P9</f>
        <v>#DIV/0!</v>
      </c>
      <c r="R4" s="651" t="e">
        <f>Q4/P9</f>
        <v>#DIV/0!</v>
      </c>
    </row>
    <row r="5" spans="1:18" s="524" customFormat="1" ht="20.25" hidden="1" customHeight="1" outlineLevel="1" thickBot="1" x14ac:dyDescent="0.3">
      <c r="A5" s="1138"/>
      <c r="B5" s="568" t="s">
        <v>141</v>
      </c>
      <c r="C5" s="553" t="str">
        <f t="shared" ref="C5:N5" si="1">IF(C4="-","-",(100%-C4))</f>
        <v>-</v>
      </c>
      <c r="D5" s="536" t="str">
        <f t="shared" si="1"/>
        <v>-</v>
      </c>
      <c r="E5" s="536" t="str">
        <f t="shared" si="1"/>
        <v>-</v>
      </c>
      <c r="F5" s="536" t="str">
        <f t="shared" si="1"/>
        <v>-</v>
      </c>
      <c r="G5" s="536" t="str">
        <f t="shared" si="1"/>
        <v>-</v>
      </c>
      <c r="H5" s="536" t="str">
        <f t="shared" si="1"/>
        <v>-</v>
      </c>
      <c r="I5" s="536" t="str">
        <f t="shared" si="1"/>
        <v>-</v>
      </c>
      <c r="J5" s="536" t="str">
        <f t="shared" si="1"/>
        <v>-</v>
      </c>
      <c r="K5" s="536" t="str">
        <f t="shared" si="1"/>
        <v>-</v>
      </c>
      <c r="L5" s="536" t="str">
        <f t="shared" si="1"/>
        <v>-</v>
      </c>
      <c r="M5" s="536" t="str">
        <f t="shared" si="1"/>
        <v>-</v>
      </c>
      <c r="N5" s="559" t="str">
        <f t="shared" si="1"/>
        <v>-</v>
      </c>
      <c r="O5" s="615"/>
      <c r="P5" s="557" t="e">
        <f>SUM(C5:N5)/$O$2</f>
        <v>#DIV/0!</v>
      </c>
      <c r="Q5" s="614" t="e">
        <f>P5-P10</f>
        <v>#DIV/0!</v>
      </c>
      <c r="R5" s="654" t="e">
        <f>Q5/P10</f>
        <v>#DIV/0!</v>
      </c>
    </row>
    <row r="6" spans="1:18" s="585" customFormat="1" ht="20.25" customHeight="1" collapsed="1" x14ac:dyDescent="0.25">
      <c r="A6" s="1042" t="s">
        <v>281</v>
      </c>
      <c r="B6" s="1046"/>
      <c r="C6" s="1047">
        <v>42947</v>
      </c>
      <c r="D6" s="1048">
        <v>42978</v>
      </c>
      <c r="E6" s="1049">
        <v>43008</v>
      </c>
      <c r="F6" s="1048">
        <v>43039</v>
      </c>
      <c r="G6" s="1052">
        <v>43069</v>
      </c>
      <c r="H6" s="1052">
        <v>43100</v>
      </c>
      <c r="I6" s="1048">
        <v>43131</v>
      </c>
      <c r="J6" s="1052">
        <v>43159</v>
      </c>
      <c r="K6" s="1052">
        <v>43190</v>
      </c>
      <c r="L6" s="1048">
        <v>43220</v>
      </c>
      <c r="M6" s="1052">
        <v>43251</v>
      </c>
      <c r="N6" s="1052">
        <v>43281</v>
      </c>
      <c r="O6" s="1050" t="s">
        <v>177</v>
      </c>
      <c r="P6" s="1051" t="s">
        <v>142</v>
      </c>
      <c r="Q6" s="607" t="s">
        <v>179</v>
      </c>
      <c r="R6" s="736" t="s">
        <v>178</v>
      </c>
    </row>
    <row r="7" spans="1:18" s="524" customFormat="1" ht="20.25" customHeight="1" x14ac:dyDescent="0.25">
      <c r="A7" s="1043"/>
      <c r="B7" s="565" t="s">
        <v>139</v>
      </c>
      <c r="C7" s="856">
        <f>'Summary Data'!DB11</f>
        <v>120333</v>
      </c>
      <c r="D7" s="527">
        <f>'Summary Data'!DC11</f>
        <v>120439</v>
      </c>
      <c r="E7" s="527">
        <f>'Summary Data'!DD11</f>
        <v>120457</v>
      </c>
      <c r="F7" s="527">
        <f>'Summary Data'!DE11</f>
        <v>123696</v>
      </c>
      <c r="G7" s="527">
        <f>'Summary Data'!DF11</f>
        <v>123112</v>
      </c>
      <c r="H7" s="527">
        <f>'Summary Data'!DG11</f>
        <v>150674</v>
      </c>
      <c r="I7" s="527">
        <f>'Summary Data'!DH11</f>
        <v>122749</v>
      </c>
      <c r="J7" s="527">
        <f>'Summary Data'!DI11</f>
        <v>122426</v>
      </c>
      <c r="K7" s="527">
        <f>'Summary Data'!DJ11</f>
        <v>122432</v>
      </c>
      <c r="L7" s="527">
        <f>'Summary Data'!DK11</f>
        <v>123204</v>
      </c>
      <c r="M7" s="527">
        <f>'Summary Data'!DL11</f>
        <v>0</v>
      </c>
      <c r="N7" s="527">
        <f>'Summary Data'!DM11</f>
        <v>0</v>
      </c>
      <c r="O7" s="561">
        <f>COUNTIF(C7:N7,"&gt;0")</f>
        <v>10</v>
      </c>
      <c r="P7" s="554">
        <f>SUM(C7:N7)/$O$7</f>
        <v>124952.2</v>
      </c>
      <c r="Q7" s="611">
        <f>P7-P12</f>
        <v>205.94999999999709</v>
      </c>
      <c r="R7" s="651">
        <f>Q7/P12</f>
        <v>1.6509514314057303E-3</v>
      </c>
    </row>
    <row r="8" spans="1:18" s="524" customFormat="1" ht="20.25" customHeight="1" x14ac:dyDescent="0.25">
      <c r="A8" s="1043"/>
      <c r="B8" s="565" t="s">
        <v>138</v>
      </c>
      <c r="C8" s="856">
        <f>'Summary Data'!DB5</f>
        <v>39</v>
      </c>
      <c r="D8" s="527">
        <f>'Summary Data'!DC5</f>
        <v>42</v>
      </c>
      <c r="E8" s="527">
        <f>'Summary Data'!DD5</f>
        <v>46</v>
      </c>
      <c r="F8" s="527">
        <f>'Summary Data'!DE5</f>
        <v>41</v>
      </c>
      <c r="G8" s="527">
        <f>'Summary Data'!DF5</f>
        <v>29</v>
      </c>
      <c r="H8" s="527">
        <f>'Summary Data'!DG5</f>
        <v>39</v>
      </c>
      <c r="I8" s="527">
        <f>'Summary Data'!DH5</f>
        <v>48</v>
      </c>
      <c r="J8" s="527">
        <f>'Summary Data'!DI5</f>
        <v>35</v>
      </c>
      <c r="K8" s="527">
        <f>'Summary Data'!DJ5</f>
        <v>23</v>
      </c>
      <c r="L8" s="527">
        <f>'Summary Data'!DK5</f>
        <v>56</v>
      </c>
      <c r="M8" s="527">
        <f>'Summary Data'!DL5</f>
        <v>0</v>
      </c>
      <c r="N8" s="527">
        <f>'Summary Data'!DM5</f>
        <v>0</v>
      </c>
      <c r="O8" s="856"/>
      <c r="P8" s="554">
        <f>SUM(C8:N8)/$O$7</f>
        <v>39.799999999999997</v>
      </c>
      <c r="Q8" s="611">
        <f>P8-P13</f>
        <v>-3.6166666666666671</v>
      </c>
      <c r="R8" s="651">
        <f>Q8/P13</f>
        <v>-8.3301343570057598E-2</v>
      </c>
    </row>
    <row r="9" spans="1:18" s="524" customFormat="1" ht="20.25" customHeight="1" x14ac:dyDescent="0.25">
      <c r="A9" s="1044"/>
      <c r="B9" s="566" t="s">
        <v>140</v>
      </c>
      <c r="C9" s="552">
        <f t="shared" ref="C9:N9" si="2">IF(C7=0,"-",(C8/C7))</f>
        <v>3.2410062077734285E-4</v>
      </c>
      <c r="D9" s="535">
        <f t="shared" si="2"/>
        <v>3.4872425045043547E-4</v>
      </c>
      <c r="E9" s="535">
        <f t="shared" si="2"/>
        <v>3.8187901076732774E-4</v>
      </c>
      <c r="F9" s="535">
        <f t="shared" si="2"/>
        <v>3.3145776742982797E-4</v>
      </c>
      <c r="G9" s="535">
        <f t="shared" si="2"/>
        <v>2.3555786600818767E-4</v>
      </c>
      <c r="H9" s="535">
        <f t="shared" si="2"/>
        <v>2.5883695926304473E-4</v>
      </c>
      <c r="I9" s="535">
        <f t="shared" si="2"/>
        <v>3.910418822149264E-4</v>
      </c>
      <c r="J9" s="535">
        <f t="shared" si="2"/>
        <v>2.8588698479081243E-4</v>
      </c>
      <c r="K9" s="535">
        <f t="shared" si="2"/>
        <v>1.8785938316779927E-4</v>
      </c>
      <c r="L9" s="535">
        <f t="shared" si="2"/>
        <v>4.5453069705529041E-4</v>
      </c>
      <c r="M9" s="535" t="str">
        <f t="shared" si="2"/>
        <v>-</v>
      </c>
      <c r="N9" s="558" t="str">
        <f t="shared" si="2"/>
        <v>-</v>
      </c>
      <c r="O9" s="562"/>
      <c r="P9" s="555">
        <f>SUM(C9:N9)/$O$7</f>
        <v>3.1998754219249954E-4</v>
      </c>
      <c r="Q9" s="612">
        <f>P9-P14</f>
        <v>-2.935581281186166E-5</v>
      </c>
      <c r="R9" s="651">
        <f>Q9/P14</f>
        <v>-8.403140460907059E-2</v>
      </c>
    </row>
    <row r="10" spans="1:18" s="524" customFormat="1" ht="20.25" customHeight="1" thickBot="1" x14ac:dyDescent="0.3">
      <c r="A10" s="1045"/>
      <c r="B10" s="568" t="s">
        <v>141</v>
      </c>
      <c r="C10" s="553">
        <f t="shared" ref="C10:N10" si="3">IF(C9="-","-",(100%-C9))</f>
        <v>0.99967589937922263</v>
      </c>
      <c r="D10" s="536">
        <f t="shared" si="3"/>
        <v>0.99965127574954959</v>
      </c>
      <c r="E10" s="536">
        <f t="shared" si="3"/>
        <v>0.99961812098923264</v>
      </c>
      <c r="F10" s="536">
        <f t="shared" si="3"/>
        <v>0.99966854223257018</v>
      </c>
      <c r="G10" s="536">
        <f t="shared" si="3"/>
        <v>0.99976444213399185</v>
      </c>
      <c r="H10" s="536">
        <f t="shared" si="3"/>
        <v>0.9997411630407369</v>
      </c>
      <c r="I10" s="536">
        <f t="shared" si="3"/>
        <v>0.99960895811778505</v>
      </c>
      <c r="J10" s="536">
        <f t="shared" si="3"/>
        <v>0.99971411301520918</v>
      </c>
      <c r="K10" s="536">
        <f t="shared" si="3"/>
        <v>0.99981214061683221</v>
      </c>
      <c r="L10" s="536">
        <f t="shared" si="3"/>
        <v>0.99954546930294474</v>
      </c>
      <c r="M10" s="536" t="str">
        <f t="shared" si="3"/>
        <v>-</v>
      </c>
      <c r="N10" s="559" t="str">
        <f t="shared" si="3"/>
        <v>-</v>
      </c>
      <c r="O10" s="615"/>
      <c r="P10" s="557">
        <f>SUM(C10:N10)/$O$7</f>
        <v>0.99968001245780747</v>
      </c>
      <c r="Q10" s="614">
        <f>P10-P15</f>
        <v>2.9355812811715509E-5</v>
      </c>
      <c r="R10" s="654">
        <f>Q10/P15</f>
        <v>2.9366071653710312E-5</v>
      </c>
    </row>
    <row r="11" spans="1:18" s="585" customFormat="1" ht="20.25" customHeight="1" x14ac:dyDescent="0.25">
      <c r="A11" s="987" t="s">
        <v>269</v>
      </c>
      <c r="B11" s="988"/>
      <c r="C11" s="989">
        <v>42582</v>
      </c>
      <c r="D11" s="990">
        <v>42613</v>
      </c>
      <c r="E11" s="991">
        <v>42643</v>
      </c>
      <c r="F11" s="990">
        <v>42674</v>
      </c>
      <c r="G11" s="990">
        <v>42704</v>
      </c>
      <c r="H11" s="990">
        <v>42705</v>
      </c>
      <c r="I11" s="990">
        <v>42766</v>
      </c>
      <c r="J11" s="992">
        <v>42794</v>
      </c>
      <c r="K11" s="990">
        <v>42825</v>
      </c>
      <c r="L11" s="990">
        <v>42855</v>
      </c>
      <c r="M11" s="990">
        <v>42886</v>
      </c>
      <c r="N11" s="993">
        <v>42916</v>
      </c>
      <c r="O11" s="994" t="s">
        <v>177</v>
      </c>
      <c r="P11" s="995" t="s">
        <v>142</v>
      </c>
      <c r="Q11" s="607" t="s">
        <v>179</v>
      </c>
      <c r="R11" s="736" t="s">
        <v>178</v>
      </c>
    </row>
    <row r="12" spans="1:18" s="524" customFormat="1" ht="20.25" customHeight="1" x14ac:dyDescent="0.25">
      <c r="A12" s="996"/>
      <c r="B12" s="565" t="s">
        <v>139</v>
      </c>
      <c r="C12" s="856">
        <f>'Summary Data'!CN11</f>
        <v>145790</v>
      </c>
      <c r="D12" s="527">
        <f>'Summary Data'!CO11</f>
        <v>116206</v>
      </c>
      <c r="E12" s="527">
        <f>'Summary Data'!CP11</f>
        <v>115029</v>
      </c>
      <c r="F12" s="527">
        <f>'Summary Data'!CQ11</f>
        <v>119153</v>
      </c>
      <c r="G12" s="527">
        <f>'Summary Data'!CR11</f>
        <v>118608</v>
      </c>
      <c r="H12" s="527">
        <f>'Summary Data'!CS11</f>
        <v>138463</v>
      </c>
      <c r="I12" s="527">
        <f>'Summary Data'!CT11</f>
        <v>122677</v>
      </c>
      <c r="J12" s="527">
        <f>'Summary Data'!CU11</f>
        <v>118351</v>
      </c>
      <c r="K12" s="527">
        <f>'Summary Data'!CV11</f>
        <v>118694</v>
      </c>
      <c r="L12" s="527">
        <f>'Summary Data'!CW11</f>
        <v>118948</v>
      </c>
      <c r="M12" s="527">
        <f>'Summary Data'!CX11</f>
        <v>119134</v>
      </c>
      <c r="N12" s="528">
        <f>'Summary Data'!CY11</f>
        <v>145902</v>
      </c>
      <c r="O12" s="561">
        <f>COUNTIF(C12:N12,"&gt;0")</f>
        <v>12</v>
      </c>
      <c r="P12" s="554">
        <f>SUM(C12:N12)/$O$12</f>
        <v>124746.25</v>
      </c>
      <c r="Q12" s="611">
        <f>P12-P17</f>
        <v>196.58333333332848</v>
      </c>
      <c r="R12" s="651">
        <f>Q12/P17</f>
        <v>1.5783529462141887E-3</v>
      </c>
    </row>
    <row r="13" spans="1:18" s="524" customFormat="1" ht="20.25" customHeight="1" x14ac:dyDescent="0.25">
      <c r="A13" s="996"/>
      <c r="B13" s="565" t="s">
        <v>138</v>
      </c>
      <c r="C13" s="856">
        <f>'Summary Data'!CN5</f>
        <v>64</v>
      </c>
      <c r="D13" s="527">
        <f>'Summary Data'!CO5</f>
        <v>49</v>
      </c>
      <c r="E13" s="527">
        <f>'Summary Data'!CP5</f>
        <v>37</v>
      </c>
      <c r="F13" s="527">
        <f>'Summary Data'!CQ5</f>
        <v>42</v>
      </c>
      <c r="G13" s="527">
        <f>'Summary Data'!CR5</f>
        <v>35</v>
      </c>
      <c r="H13" s="527">
        <f>'Summary Data'!CS5</f>
        <v>58</v>
      </c>
      <c r="I13" s="527">
        <f>'Summary Data'!CT5</f>
        <v>11</v>
      </c>
      <c r="J13" s="527">
        <f>'Summary Data'!CU5</f>
        <v>102</v>
      </c>
      <c r="K13" s="527">
        <f>'Summary Data'!CV5</f>
        <v>18</v>
      </c>
      <c r="L13" s="527">
        <f>'Summary Data'!CW5</f>
        <v>31</v>
      </c>
      <c r="M13" s="527">
        <f>'Summary Data'!CX5</f>
        <v>47</v>
      </c>
      <c r="N13" s="528">
        <f>'Summary Data'!CY5</f>
        <v>27</v>
      </c>
      <c r="O13" s="856"/>
      <c r="P13" s="554">
        <f>SUM(C13:N13)/$O$12</f>
        <v>43.416666666666664</v>
      </c>
      <c r="Q13" s="611">
        <f>P13-P18</f>
        <v>-1.6666666666666714</v>
      </c>
      <c r="R13" s="651">
        <f>Q13/P18</f>
        <v>-3.6968576709796773E-2</v>
      </c>
    </row>
    <row r="14" spans="1:18" s="524" customFormat="1" ht="20.25" customHeight="1" x14ac:dyDescent="0.25">
      <c r="A14" s="997"/>
      <c r="B14" s="566" t="s">
        <v>140</v>
      </c>
      <c r="C14" s="552">
        <f t="shared" ref="C14:N14" si="4">IF(C12=0,"-",(C13/C12))</f>
        <v>4.3898758488236504E-4</v>
      </c>
      <c r="D14" s="535">
        <f t="shared" si="4"/>
        <v>4.2166497426983119E-4</v>
      </c>
      <c r="E14" s="535">
        <f t="shared" si="4"/>
        <v>3.2165801667405613E-4</v>
      </c>
      <c r="F14" s="535">
        <f t="shared" si="4"/>
        <v>3.5248797764219112E-4</v>
      </c>
      <c r="G14" s="535">
        <f t="shared" si="4"/>
        <v>2.9508970727101037E-4</v>
      </c>
      <c r="H14" s="535">
        <f t="shared" si="4"/>
        <v>4.1888446733062261E-4</v>
      </c>
      <c r="I14" s="535">
        <f t="shared" si="4"/>
        <v>8.9666359627314004E-5</v>
      </c>
      <c r="J14" s="535">
        <f t="shared" si="4"/>
        <v>8.6184316144350282E-4</v>
      </c>
      <c r="K14" s="535">
        <f t="shared" si="4"/>
        <v>1.5165046253391072E-4</v>
      </c>
      <c r="L14" s="535">
        <f t="shared" si="4"/>
        <v>2.6061808521370681E-4</v>
      </c>
      <c r="M14" s="535">
        <f t="shared" si="4"/>
        <v>3.9451374082965401E-4</v>
      </c>
      <c r="N14" s="558">
        <f t="shared" si="4"/>
        <v>1.850557223341695E-4</v>
      </c>
      <c r="O14" s="562"/>
      <c r="P14" s="555">
        <f>SUM(C14:N14)/$O$12</f>
        <v>3.493433550043612E-4</v>
      </c>
      <c r="Q14" s="612">
        <f>P14-P19</f>
        <v>-1.6816630644371857E-5</v>
      </c>
      <c r="R14" s="651">
        <f>Q14/P19</f>
        <v>-4.5927002685936566E-2</v>
      </c>
    </row>
    <row r="15" spans="1:18" s="524" customFormat="1" ht="20.25" customHeight="1" thickBot="1" x14ac:dyDescent="0.3">
      <c r="A15" s="998"/>
      <c r="B15" s="568" t="s">
        <v>141</v>
      </c>
      <c r="C15" s="553">
        <f t="shared" ref="C15:N15" si="5">IF(C14="-","-",(100%-C14))</f>
        <v>0.99956101241511763</v>
      </c>
      <c r="D15" s="536">
        <f t="shared" si="5"/>
        <v>0.99957833502573012</v>
      </c>
      <c r="E15" s="536">
        <f t="shared" si="5"/>
        <v>0.99967834198332595</v>
      </c>
      <c r="F15" s="536">
        <f t="shared" si="5"/>
        <v>0.9996475120223578</v>
      </c>
      <c r="G15" s="536">
        <f t="shared" si="5"/>
        <v>0.99970491029272901</v>
      </c>
      <c r="H15" s="536">
        <f t="shared" si="5"/>
        <v>0.99958111553266937</v>
      </c>
      <c r="I15" s="536">
        <f t="shared" si="5"/>
        <v>0.99991033364037274</v>
      </c>
      <c r="J15" s="536">
        <f t="shared" si="5"/>
        <v>0.99913815683855645</v>
      </c>
      <c r="K15" s="536">
        <f t="shared" si="5"/>
        <v>0.99984834953746604</v>
      </c>
      <c r="L15" s="536">
        <f t="shared" si="5"/>
        <v>0.99973938191478628</v>
      </c>
      <c r="M15" s="536">
        <f t="shared" si="5"/>
        <v>0.99960548625917034</v>
      </c>
      <c r="N15" s="559">
        <f t="shared" si="5"/>
        <v>0.99981494427766582</v>
      </c>
      <c r="O15" s="615"/>
      <c r="P15" s="557">
        <f>SUM(C15:N15)/$O$12</f>
        <v>0.99965065664499575</v>
      </c>
      <c r="Q15" s="614">
        <f>P15-P20</f>
        <v>1.681663064423411E-5</v>
      </c>
      <c r="R15" s="654">
        <f>Q15/P20</f>
        <v>1.6822790476953719E-5</v>
      </c>
    </row>
    <row r="16" spans="1:18" s="585" customFormat="1" ht="20.25" customHeight="1" x14ac:dyDescent="0.25">
      <c r="A16" s="919" t="s">
        <v>252</v>
      </c>
      <c r="B16" s="923"/>
      <c r="C16" s="924">
        <v>42216</v>
      </c>
      <c r="D16" s="925">
        <v>42247</v>
      </c>
      <c r="E16" s="926">
        <v>42277</v>
      </c>
      <c r="F16" s="925">
        <v>42308</v>
      </c>
      <c r="G16" s="925">
        <v>42338</v>
      </c>
      <c r="H16" s="925">
        <v>42339</v>
      </c>
      <c r="I16" s="925">
        <v>42400</v>
      </c>
      <c r="J16" s="927">
        <v>42428</v>
      </c>
      <c r="K16" s="925">
        <v>42460</v>
      </c>
      <c r="L16" s="925">
        <v>42490</v>
      </c>
      <c r="M16" s="925">
        <v>42521</v>
      </c>
      <c r="N16" s="928">
        <v>42551</v>
      </c>
      <c r="O16" s="929" t="s">
        <v>177</v>
      </c>
      <c r="P16" s="930" t="s">
        <v>142</v>
      </c>
      <c r="Q16" s="607" t="s">
        <v>179</v>
      </c>
      <c r="R16" s="736" t="s">
        <v>178</v>
      </c>
    </row>
    <row r="17" spans="1:18" s="524" customFormat="1" ht="20.25" customHeight="1" x14ac:dyDescent="0.25">
      <c r="A17" s="920"/>
      <c r="B17" s="565" t="s">
        <v>139</v>
      </c>
      <c r="C17" s="856">
        <f>'Summary Data'!BZ11</f>
        <v>148617</v>
      </c>
      <c r="D17" s="527">
        <f>'Summary Data'!CA11</f>
        <v>121181</v>
      </c>
      <c r="E17" s="527">
        <f>'Summary Data'!CB11</f>
        <v>120655</v>
      </c>
      <c r="F17" s="527">
        <f>'Summary Data'!CC11</f>
        <v>120725</v>
      </c>
      <c r="G17" s="527">
        <f>'Summary Data'!CD11</f>
        <v>120484</v>
      </c>
      <c r="H17" s="527">
        <f>'Summary Data'!CE11</f>
        <v>146930</v>
      </c>
      <c r="I17" s="527">
        <f>'Summary Data'!CF11</f>
        <v>122677</v>
      </c>
      <c r="J17" s="527">
        <f>'Summary Data'!CG11</f>
        <v>118613</v>
      </c>
      <c r="K17" s="527">
        <f>'Summary Data'!CH11</f>
        <v>117993</v>
      </c>
      <c r="L17" s="527">
        <f>'Summary Data'!CI11</f>
        <v>118591</v>
      </c>
      <c r="M17" s="527">
        <f>'Summary Data'!CJ11</f>
        <v>118832</v>
      </c>
      <c r="N17" s="528">
        <f>'Summary Data'!CK11</f>
        <v>119298</v>
      </c>
      <c r="O17" s="561">
        <f>COUNTIF(C17:N17,"&gt;0")</f>
        <v>12</v>
      </c>
      <c r="P17" s="554">
        <f>SUM(C17:N17)/$O$17</f>
        <v>124549.66666666667</v>
      </c>
      <c r="Q17" s="611">
        <f>P17-P22</f>
        <v>5088.9166666666715</v>
      </c>
      <c r="R17" s="651">
        <f>Q17/P22</f>
        <v>4.2599068452748468E-2</v>
      </c>
    </row>
    <row r="18" spans="1:18" s="524" customFormat="1" ht="20.25" customHeight="1" x14ac:dyDescent="0.25">
      <c r="A18" s="920"/>
      <c r="B18" s="565" t="s">
        <v>138</v>
      </c>
      <c r="C18" s="856">
        <f>'Summary Data'!BZ5</f>
        <v>24</v>
      </c>
      <c r="D18" s="527">
        <f>'Summary Data'!CA5</f>
        <v>31</v>
      </c>
      <c r="E18" s="527">
        <f>'Summary Data'!CB5</f>
        <v>28</v>
      </c>
      <c r="F18" s="527">
        <f>'Summary Data'!CC5</f>
        <v>25</v>
      </c>
      <c r="G18" s="527">
        <f>'Summary Data'!CD5</f>
        <v>165</v>
      </c>
      <c r="H18" s="527">
        <f>'Summary Data'!CE5</f>
        <v>54</v>
      </c>
      <c r="I18" s="527">
        <f>'Summary Data'!CF5</f>
        <v>11</v>
      </c>
      <c r="J18" s="527">
        <f>'Summary Data'!CG5</f>
        <v>36</v>
      </c>
      <c r="K18" s="527">
        <f>'Summary Data'!CH5</f>
        <v>48</v>
      </c>
      <c r="L18" s="527">
        <f>'Summary Data'!CI5</f>
        <v>44</v>
      </c>
      <c r="M18" s="527">
        <f>'Summary Data'!CJ5</f>
        <v>24</v>
      </c>
      <c r="N18" s="528">
        <f>'Summary Data'!CK5</f>
        <v>51</v>
      </c>
      <c r="O18" s="856"/>
      <c r="P18" s="554">
        <f>SUM(C18:N18)/$O$17</f>
        <v>45.083333333333336</v>
      </c>
      <c r="Q18" s="611">
        <f>P18-P23</f>
        <v>-5.6666666666666643</v>
      </c>
      <c r="R18" s="651">
        <f>Q18/P23</f>
        <v>-0.11165845648604264</v>
      </c>
    </row>
    <row r="19" spans="1:18" s="524" customFormat="1" ht="20.25" customHeight="1" x14ac:dyDescent="0.25">
      <c r="A19" s="921"/>
      <c r="B19" s="566" t="s">
        <v>140</v>
      </c>
      <c r="C19" s="552">
        <f t="shared" ref="C19:N19" si="6">IF(C17=0,"-",(C18/C17))</f>
        <v>1.6148892791537981E-4</v>
      </c>
      <c r="D19" s="535">
        <f t="shared" si="6"/>
        <v>2.5581568067601355E-4</v>
      </c>
      <c r="E19" s="535">
        <f t="shared" si="6"/>
        <v>2.3206663627698811E-4</v>
      </c>
      <c r="F19" s="535">
        <f t="shared" si="6"/>
        <v>2.0708221163802029E-4</v>
      </c>
      <c r="G19" s="535">
        <f t="shared" si="6"/>
        <v>1.3694764450051459E-3</v>
      </c>
      <c r="H19" s="535">
        <f t="shared" si="6"/>
        <v>3.6752194922752329E-4</v>
      </c>
      <c r="I19" s="535">
        <f t="shared" si="6"/>
        <v>8.9666359627314004E-5</v>
      </c>
      <c r="J19" s="535">
        <f t="shared" si="6"/>
        <v>3.0350804717863976E-4</v>
      </c>
      <c r="K19" s="535">
        <f t="shared" si="6"/>
        <v>4.0680379344537387E-4</v>
      </c>
      <c r="L19" s="535">
        <f t="shared" si="6"/>
        <v>3.7102309618773768E-4</v>
      </c>
      <c r="M19" s="535">
        <f t="shared" si="6"/>
        <v>2.0196580045778916E-4</v>
      </c>
      <c r="N19" s="558">
        <f t="shared" si="6"/>
        <v>4.2750088014887087E-4</v>
      </c>
      <c r="O19" s="562"/>
      <c r="P19" s="555">
        <f>SUM(C19:N19)/$O$17</f>
        <v>3.6615998564873306E-4</v>
      </c>
      <c r="Q19" s="612">
        <f>P19-P24</f>
        <v>-6.6960305831562138E-5</v>
      </c>
      <c r="R19" s="651">
        <f>Q19/P24</f>
        <v>-0.1545997893626937</v>
      </c>
    </row>
    <row r="20" spans="1:18" s="524" customFormat="1" ht="20.25" customHeight="1" thickBot="1" x14ac:dyDescent="0.3">
      <c r="A20" s="922"/>
      <c r="B20" s="568" t="s">
        <v>141</v>
      </c>
      <c r="C20" s="553">
        <f t="shared" ref="C20:N20" si="7">IF(C19="-","-",(100%-C19))</f>
        <v>0.99983851107208466</v>
      </c>
      <c r="D20" s="536">
        <f t="shared" si="7"/>
        <v>0.99974418431932399</v>
      </c>
      <c r="E20" s="536">
        <f t="shared" si="7"/>
        <v>0.99976793336372305</v>
      </c>
      <c r="F20" s="536">
        <f t="shared" si="7"/>
        <v>0.99979291778836199</v>
      </c>
      <c r="G20" s="536">
        <f t="shared" si="7"/>
        <v>0.99863052355499482</v>
      </c>
      <c r="H20" s="536">
        <f t="shared" si="7"/>
        <v>0.99963247805077249</v>
      </c>
      <c r="I20" s="536">
        <f t="shared" si="7"/>
        <v>0.99991033364037274</v>
      </c>
      <c r="J20" s="536">
        <f t="shared" si="7"/>
        <v>0.9996964919528214</v>
      </c>
      <c r="K20" s="536">
        <f t="shared" si="7"/>
        <v>0.99959319620655462</v>
      </c>
      <c r="L20" s="536">
        <f t="shared" si="7"/>
        <v>0.99962897690381225</v>
      </c>
      <c r="M20" s="536">
        <f t="shared" si="7"/>
        <v>0.99979803419954216</v>
      </c>
      <c r="N20" s="559">
        <f t="shared" si="7"/>
        <v>0.99957249911985113</v>
      </c>
      <c r="O20" s="615"/>
      <c r="P20" s="557">
        <f>SUM(C20:N20)/$O$17</f>
        <v>0.99963384001435152</v>
      </c>
      <c r="Q20" s="614">
        <f>P20-P25</f>
        <v>6.6960305831975653E-5</v>
      </c>
      <c r="R20" s="654">
        <f>Q20/P25</f>
        <v>6.6989320265895298E-5</v>
      </c>
    </row>
    <row r="21" spans="1:18" s="585" customFormat="1" ht="20.25" customHeight="1" x14ac:dyDescent="0.25">
      <c r="A21" s="844" t="s">
        <v>217</v>
      </c>
      <c r="B21" s="848"/>
      <c r="C21" s="849">
        <v>41851</v>
      </c>
      <c r="D21" s="850">
        <v>41882</v>
      </c>
      <c r="E21" s="851">
        <v>41912</v>
      </c>
      <c r="F21" s="850">
        <v>41943</v>
      </c>
      <c r="G21" s="850">
        <v>41973</v>
      </c>
      <c r="H21" s="850">
        <v>41974</v>
      </c>
      <c r="I21" s="850">
        <v>42035</v>
      </c>
      <c r="J21" s="852">
        <v>42063</v>
      </c>
      <c r="K21" s="850">
        <v>42094</v>
      </c>
      <c r="L21" s="850">
        <v>42124</v>
      </c>
      <c r="M21" s="850">
        <v>42155</v>
      </c>
      <c r="N21" s="853">
        <v>42185</v>
      </c>
      <c r="O21" s="854" t="s">
        <v>177</v>
      </c>
      <c r="P21" s="855" t="s">
        <v>142</v>
      </c>
      <c r="Q21" s="607" t="s">
        <v>179</v>
      </c>
      <c r="R21" s="736" t="s">
        <v>178</v>
      </c>
    </row>
    <row r="22" spans="1:18" s="524" customFormat="1" ht="20.25" customHeight="1" x14ac:dyDescent="0.25">
      <c r="A22" s="845"/>
      <c r="B22" s="565" t="s">
        <v>139</v>
      </c>
      <c r="C22" s="856">
        <f>'Summary Data'!BL11</f>
        <v>113834</v>
      </c>
      <c r="D22" s="858">
        <f>'Summary Data'!BM11</f>
        <v>115414</v>
      </c>
      <c r="E22" s="527">
        <f>'Summary Data'!BN11</f>
        <v>115875</v>
      </c>
      <c r="F22" s="527">
        <f>'Summary Data'!BO11</f>
        <v>116600</v>
      </c>
      <c r="G22" s="527">
        <f>'Summary Data'!BP11</f>
        <v>117464</v>
      </c>
      <c r="H22" s="527">
        <f>'Summary Data'!BQ11</f>
        <v>117293</v>
      </c>
      <c r="I22" s="527">
        <f>'Summary Data'!BR11</f>
        <v>142567</v>
      </c>
      <c r="J22" s="527">
        <f>'Summary Data'!BS11</f>
        <v>117052</v>
      </c>
      <c r="K22" s="527">
        <f>'Summary Data'!BT11</f>
        <v>117471</v>
      </c>
      <c r="L22" s="527">
        <f>'Summary Data'!BU11</f>
        <v>118989</v>
      </c>
      <c r="M22" s="527">
        <f>'Summary Data'!BV11</f>
        <v>119836</v>
      </c>
      <c r="N22" s="528">
        <f>'Summary Data'!BW11</f>
        <v>121134</v>
      </c>
      <c r="O22" s="561">
        <f>COUNTIF(C22:N22,"&gt;0")</f>
        <v>12</v>
      </c>
      <c r="P22" s="554">
        <f>SUM(C22:N22)/$O$22</f>
        <v>119460.75</v>
      </c>
      <c r="Q22" s="611">
        <f>P22-P27</f>
        <v>3788.5833333333285</v>
      </c>
      <c r="R22" s="651">
        <f>Q22/P27</f>
        <v>3.2752765358419512E-2</v>
      </c>
    </row>
    <row r="23" spans="1:18" s="524" customFormat="1" ht="20.25" customHeight="1" x14ac:dyDescent="0.25">
      <c r="A23" s="845"/>
      <c r="B23" s="565" t="s">
        <v>138</v>
      </c>
      <c r="C23" s="856">
        <f>'Summary Data'!BL5</f>
        <v>124</v>
      </c>
      <c r="D23" s="527">
        <f>'Summary Data'!BM5</f>
        <v>32</v>
      </c>
      <c r="E23" s="527">
        <f>'Summary Data'!BN5</f>
        <v>74</v>
      </c>
      <c r="F23" s="527">
        <f>'Summary Data'!BO5</f>
        <v>25</v>
      </c>
      <c r="G23" s="527">
        <f>'Summary Data'!BP5</f>
        <v>17</v>
      </c>
      <c r="H23" s="527">
        <f>'Summary Data'!BQ5</f>
        <v>46</v>
      </c>
      <c r="I23" s="527">
        <f>'Summary Data'!BR5</f>
        <v>19</v>
      </c>
      <c r="J23" s="527">
        <f>'Summary Data'!BS5</f>
        <v>66</v>
      </c>
      <c r="K23" s="527">
        <f>'Summary Data'!BT5</f>
        <v>156</v>
      </c>
      <c r="L23" s="527">
        <f>'Summary Data'!BU5</f>
        <v>17</v>
      </c>
      <c r="M23" s="527">
        <f>'Summary Data'!BV5</f>
        <v>6</v>
      </c>
      <c r="N23" s="527">
        <f>'Summary Data'!BW5</f>
        <v>27</v>
      </c>
      <c r="O23" s="561"/>
      <c r="P23" s="554">
        <f>SUM(C23:N23)/$O$22</f>
        <v>50.75</v>
      </c>
      <c r="Q23" s="611">
        <f>P23-P28</f>
        <v>14.833333333333336</v>
      </c>
      <c r="R23" s="651">
        <f>Q23/P28</f>
        <v>0.41299303944315552</v>
      </c>
    </row>
    <row r="24" spans="1:18" s="524" customFormat="1" ht="20.25" customHeight="1" x14ac:dyDescent="0.25">
      <c r="A24" s="846"/>
      <c r="B24" s="566" t="s">
        <v>140</v>
      </c>
      <c r="C24" s="552">
        <f t="shared" ref="C24:N24" si="8">IF(C22=0,"-",(C23/C22))</f>
        <v>1.0893054799093417E-3</v>
      </c>
      <c r="D24" s="535">
        <f t="shared" si="8"/>
        <v>2.7726272375968252E-4</v>
      </c>
      <c r="E24" s="535">
        <f t="shared" si="8"/>
        <v>6.3861920172599788E-4</v>
      </c>
      <c r="F24" s="535">
        <f t="shared" si="8"/>
        <v>2.144082332761578E-4</v>
      </c>
      <c r="G24" s="535">
        <f t="shared" si="8"/>
        <v>1.4472519239937343E-4</v>
      </c>
      <c r="H24" s="535">
        <f t="shared" si="8"/>
        <v>3.9218026651206806E-4</v>
      </c>
      <c r="I24" s="535">
        <f t="shared" si="8"/>
        <v>1.3327067273632748E-4</v>
      </c>
      <c r="J24" s="535">
        <f t="shared" si="8"/>
        <v>5.6385196323001743E-4</v>
      </c>
      <c r="K24" s="535">
        <f t="shared" si="8"/>
        <v>1.3279873330439003E-3</v>
      </c>
      <c r="L24" s="535">
        <f t="shared" si="8"/>
        <v>1.4287034936002487E-4</v>
      </c>
      <c r="M24" s="535">
        <f t="shared" si="8"/>
        <v>5.0068426850028375E-5</v>
      </c>
      <c r="N24" s="558">
        <f t="shared" si="8"/>
        <v>2.2289365496062211E-4</v>
      </c>
      <c r="O24" s="562"/>
      <c r="P24" s="555">
        <f>SUM(C24:N24)/$O$22</f>
        <v>4.331202914802952E-4</v>
      </c>
      <c r="Q24" s="612">
        <f>P24-P29</f>
        <v>1.1833164100309875E-4</v>
      </c>
      <c r="R24" s="651">
        <f>Q24/P29</f>
        <v>0.37590821912961819</v>
      </c>
    </row>
    <row r="25" spans="1:18" s="524" customFormat="1" ht="20.25" customHeight="1" thickBot="1" x14ac:dyDescent="0.3">
      <c r="A25" s="847"/>
      <c r="B25" s="568" t="s">
        <v>141</v>
      </c>
      <c r="C25" s="553">
        <f t="shared" ref="C25:N25" si="9">IF(C24="-","-",(100%-C24))</f>
        <v>0.99891069452009063</v>
      </c>
      <c r="D25" s="536">
        <f t="shared" si="9"/>
        <v>0.99972273727624028</v>
      </c>
      <c r="E25" s="536">
        <f t="shared" si="9"/>
        <v>0.99936138079827397</v>
      </c>
      <c r="F25" s="536">
        <f t="shared" si="9"/>
        <v>0.99978559176672388</v>
      </c>
      <c r="G25" s="536">
        <f t="shared" si="9"/>
        <v>0.99985527480760061</v>
      </c>
      <c r="H25" s="536">
        <f t="shared" si="9"/>
        <v>0.99960781973348789</v>
      </c>
      <c r="I25" s="536">
        <f t="shared" si="9"/>
        <v>0.99986672932726373</v>
      </c>
      <c r="J25" s="536">
        <f t="shared" si="9"/>
        <v>0.99943614803676994</v>
      </c>
      <c r="K25" s="536">
        <f t="shared" si="9"/>
        <v>0.99867201266695615</v>
      </c>
      <c r="L25" s="536">
        <f t="shared" si="9"/>
        <v>0.99985712965064</v>
      </c>
      <c r="M25" s="536">
        <f t="shared" si="9"/>
        <v>0.99994993157314993</v>
      </c>
      <c r="N25" s="559">
        <f t="shared" si="9"/>
        <v>0.99977710634503936</v>
      </c>
      <c r="O25" s="615"/>
      <c r="P25" s="557">
        <f>SUM(C25:N25)/$O$22</f>
        <v>0.99956687970851954</v>
      </c>
      <c r="Q25" s="614">
        <f>P25-P30</f>
        <v>-1.1833164100316651E-4</v>
      </c>
      <c r="R25" s="654">
        <f>Q25/P30</f>
        <v>-1.1836890219014543E-4</v>
      </c>
    </row>
    <row r="26" spans="1:18" s="585" customFormat="1" ht="20.25" customHeight="1" x14ac:dyDescent="0.25">
      <c r="A26" s="727" t="s">
        <v>191</v>
      </c>
      <c r="B26" s="728"/>
      <c r="C26" s="729">
        <v>41486</v>
      </c>
      <c r="D26" s="730">
        <v>41517</v>
      </c>
      <c r="E26" s="731">
        <v>41547</v>
      </c>
      <c r="F26" s="730">
        <v>41578</v>
      </c>
      <c r="G26" s="730">
        <v>41608</v>
      </c>
      <c r="H26" s="730">
        <v>41609</v>
      </c>
      <c r="I26" s="730">
        <v>41670</v>
      </c>
      <c r="J26" s="732">
        <v>41698</v>
      </c>
      <c r="K26" s="730">
        <v>41729</v>
      </c>
      <c r="L26" s="730">
        <v>41759</v>
      </c>
      <c r="M26" s="730">
        <v>41790</v>
      </c>
      <c r="N26" s="733">
        <v>41820</v>
      </c>
      <c r="O26" s="734" t="s">
        <v>177</v>
      </c>
      <c r="P26" s="735" t="s">
        <v>142</v>
      </c>
      <c r="Q26" s="607" t="s">
        <v>179</v>
      </c>
      <c r="R26" s="736" t="s">
        <v>178</v>
      </c>
    </row>
    <row r="27" spans="1:18" s="524" customFormat="1" ht="20.25" customHeight="1" x14ac:dyDescent="0.25">
      <c r="A27" s="724"/>
      <c r="B27" s="565" t="s">
        <v>139</v>
      </c>
      <c r="C27" s="549">
        <f>'Summary Data'!AX11</f>
        <v>112399</v>
      </c>
      <c r="D27" s="527">
        <f>'Summary Data'!AY11</f>
        <v>133843</v>
      </c>
      <c r="E27" s="526">
        <f>'Summary Data'!AZ11</f>
        <v>110716</v>
      </c>
      <c r="F27" s="603">
        <f>'Summary Data'!BA11</f>
        <v>110651</v>
      </c>
      <c r="G27" s="603">
        <f>'Summary Data'!BB11</f>
        <v>110119</v>
      </c>
      <c r="H27" s="603">
        <f>'Summary Data'!BC11</f>
        <v>109794</v>
      </c>
      <c r="I27" s="603">
        <f>'Summary Data'!BD11</f>
        <v>123268</v>
      </c>
      <c r="J27" s="603">
        <f>'Summary Data'!BE11</f>
        <v>109540</v>
      </c>
      <c r="K27" s="603">
        <f>'Summary Data'!BF11</f>
        <v>109775</v>
      </c>
      <c r="L27" s="603">
        <f>'Summary Data'!BG11</f>
        <v>110455</v>
      </c>
      <c r="M27" s="603">
        <f>'Summary Data'!BH11</f>
        <v>111303</v>
      </c>
      <c r="N27" s="604">
        <f>'Summary Data'!BI11</f>
        <v>136203</v>
      </c>
      <c r="O27" s="561">
        <f>COUNTIF(C27:N27,"&gt;0")</f>
        <v>12</v>
      </c>
      <c r="P27" s="554">
        <f>SUM(C27:N27)/$O$27</f>
        <v>115672.16666666667</v>
      </c>
      <c r="Q27" s="611">
        <f>P27-P32</f>
        <v>545.08333333334303</v>
      </c>
      <c r="R27" s="651">
        <f>Q27/P32</f>
        <v>4.7346229709922848E-3</v>
      </c>
    </row>
    <row r="28" spans="1:18" s="524" customFormat="1" ht="20.25" customHeight="1" x14ac:dyDescent="0.25">
      <c r="A28" s="724"/>
      <c r="B28" s="565" t="s">
        <v>138</v>
      </c>
      <c r="C28" s="549">
        <f>'Summary Data'!AX5</f>
        <v>27</v>
      </c>
      <c r="D28" s="527">
        <f>'Summary Data'!AY5</f>
        <v>22</v>
      </c>
      <c r="E28" s="526">
        <f>'Summary Data'!AZ5</f>
        <v>68</v>
      </c>
      <c r="F28" s="603">
        <f>'Summary Data'!BA5</f>
        <v>86</v>
      </c>
      <c r="G28" s="603">
        <f>'Summary Data'!BB5</f>
        <v>13</v>
      </c>
      <c r="H28" s="603">
        <f>'Summary Data'!BC5</f>
        <v>42</v>
      </c>
      <c r="I28" s="603">
        <f>'Summary Data'!BD5</f>
        <v>27</v>
      </c>
      <c r="J28" s="603">
        <f>'Summary Data'!BE5</f>
        <v>21</v>
      </c>
      <c r="K28" s="603">
        <f>'Summary Data'!BF5</f>
        <v>32</v>
      </c>
      <c r="L28" s="603">
        <f>'Summary Data'!BG5</f>
        <v>32</v>
      </c>
      <c r="M28" s="603">
        <f>'Summary Data'!BH5</f>
        <v>25</v>
      </c>
      <c r="N28" s="604">
        <f>'Summary Data'!BI5</f>
        <v>36</v>
      </c>
      <c r="O28" s="561"/>
      <c r="P28" s="554">
        <f>SUM(C28:N28)/$O$27</f>
        <v>35.916666666666664</v>
      </c>
      <c r="Q28" s="611">
        <f>P28-P33</f>
        <v>15.249999999999996</v>
      </c>
      <c r="R28" s="651">
        <f>Q28/P33</f>
        <v>0.7379032258064514</v>
      </c>
    </row>
    <row r="29" spans="1:18" s="524" customFormat="1" ht="20.25" customHeight="1" x14ac:dyDescent="0.25">
      <c r="A29" s="725"/>
      <c r="B29" s="566" t="s">
        <v>140</v>
      </c>
      <c r="C29" s="552">
        <f t="shared" ref="C29:N29" si="10">IF(C27=0,"-",(C28/C27))</f>
        <v>2.402156602816751E-4</v>
      </c>
      <c r="D29" s="535">
        <f t="shared" si="10"/>
        <v>1.6437168921796432E-4</v>
      </c>
      <c r="E29" s="535">
        <f t="shared" si="10"/>
        <v>6.1418403844069511E-4</v>
      </c>
      <c r="F29" s="535">
        <f t="shared" si="10"/>
        <v>7.7721846164969133E-4</v>
      </c>
      <c r="G29" s="535">
        <f t="shared" si="10"/>
        <v>1.1805410510447789E-4</v>
      </c>
      <c r="H29" s="535">
        <f t="shared" si="10"/>
        <v>3.8253456473031315E-4</v>
      </c>
      <c r="I29" s="535">
        <f t="shared" si="10"/>
        <v>2.1903494824285298E-4</v>
      </c>
      <c r="J29" s="535">
        <f t="shared" si="10"/>
        <v>1.9171079057878402E-4</v>
      </c>
      <c r="K29" s="535">
        <f t="shared" si="10"/>
        <v>2.9150535185606925E-4</v>
      </c>
      <c r="L29" s="535">
        <f t="shared" si="10"/>
        <v>2.8971074193110319E-4</v>
      </c>
      <c r="M29" s="535">
        <f t="shared" si="10"/>
        <v>2.2461209491208683E-4</v>
      </c>
      <c r="N29" s="558">
        <f t="shared" si="10"/>
        <v>2.6431135878064358E-4</v>
      </c>
      <c r="O29" s="562"/>
      <c r="P29" s="555">
        <f>SUM(C29:N29)/$O$27</f>
        <v>3.1478865047719645E-4</v>
      </c>
      <c r="Q29" s="612">
        <f>P29-P34</f>
        <v>1.3364778824260921E-4</v>
      </c>
      <c r="R29" s="651">
        <f>Q29/P34</f>
        <v>0.7378113728393767</v>
      </c>
    </row>
    <row r="30" spans="1:18" s="524" customFormat="1" ht="20.25" customHeight="1" thickBot="1" x14ac:dyDescent="0.3">
      <c r="A30" s="726"/>
      <c r="B30" s="568" t="s">
        <v>141</v>
      </c>
      <c r="C30" s="553">
        <f t="shared" ref="C30:N30" si="11">IF(C29="-","-",(100%-C29))</f>
        <v>0.99975978433971835</v>
      </c>
      <c r="D30" s="536">
        <f t="shared" si="11"/>
        <v>0.99983562831078199</v>
      </c>
      <c r="E30" s="536">
        <f t="shared" si="11"/>
        <v>0.99938581596155929</v>
      </c>
      <c r="F30" s="536">
        <f t="shared" si="11"/>
        <v>0.99922278153835031</v>
      </c>
      <c r="G30" s="536">
        <f t="shared" si="11"/>
        <v>0.99988194589489554</v>
      </c>
      <c r="H30" s="536">
        <f t="shared" si="11"/>
        <v>0.99961746543526964</v>
      </c>
      <c r="I30" s="536">
        <f t="shared" si="11"/>
        <v>0.99978096505175718</v>
      </c>
      <c r="J30" s="536">
        <f t="shared" si="11"/>
        <v>0.99980828920942122</v>
      </c>
      <c r="K30" s="536">
        <f t="shared" si="11"/>
        <v>0.99970849464814393</v>
      </c>
      <c r="L30" s="536">
        <f t="shared" si="11"/>
        <v>0.99971028925806893</v>
      </c>
      <c r="M30" s="536">
        <f t="shared" si="11"/>
        <v>0.99977538790508791</v>
      </c>
      <c r="N30" s="559">
        <f t="shared" si="11"/>
        <v>0.99973568864121931</v>
      </c>
      <c r="O30" s="615"/>
      <c r="P30" s="557">
        <f>SUM(C30:N30)/$O$27</f>
        <v>0.99968521134952271</v>
      </c>
      <c r="Q30" s="614">
        <f>P30-P35</f>
        <v>-1.3364778824265233E-4</v>
      </c>
      <c r="R30" s="654">
        <f>Q30/P35</f>
        <v>-1.3367200170429769E-4</v>
      </c>
    </row>
    <row r="31" spans="1:18" s="585" customFormat="1" ht="20.25" customHeight="1" x14ac:dyDescent="0.25">
      <c r="A31" s="594" t="s">
        <v>156</v>
      </c>
      <c r="B31" s="595"/>
      <c r="C31" s="596">
        <v>41121</v>
      </c>
      <c r="D31" s="597">
        <v>41152</v>
      </c>
      <c r="E31" s="598">
        <v>41182</v>
      </c>
      <c r="F31" s="597">
        <v>41213</v>
      </c>
      <c r="G31" s="597">
        <v>41243</v>
      </c>
      <c r="H31" s="599">
        <v>41274</v>
      </c>
      <c r="I31" s="597">
        <v>41305</v>
      </c>
      <c r="J31" s="599">
        <v>41333</v>
      </c>
      <c r="K31" s="597">
        <v>41364</v>
      </c>
      <c r="L31" s="597">
        <v>41394</v>
      </c>
      <c r="M31" s="597">
        <v>41425</v>
      </c>
      <c r="N31" s="600">
        <v>41455</v>
      </c>
      <c r="O31" s="601" t="s">
        <v>177</v>
      </c>
      <c r="P31" s="602" t="s">
        <v>142</v>
      </c>
      <c r="Q31" s="609" t="s">
        <v>179</v>
      </c>
      <c r="R31" s="653" t="s">
        <v>178</v>
      </c>
    </row>
    <row r="32" spans="1:18" s="524" customFormat="1" ht="20.25" customHeight="1" x14ac:dyDescent="0.25">
      <c r="A32" s="546"/>
      <c r="B32" s="565" t="s">
        <v>139</v>
      </c>
      <c r="C32" s="549">
        <v>111549</v>
      </c>
      <c r="D32" s="527">
        <v>134889</v>
      </c>
      <c r="E32" s="526">
        <v>111390</v>
      </c>
      <c r="F32" s="603">
        <v>111467</v>
      </c>
      <c r="G32" s="603">
        <v>111297</v>
      </c>
      <c r="H32" s="603">
        <v>111106</v>
      </c>
      <c r="I32" s="603">
        <v>111020</v>
      </c>
      <c r="J32" s="603">
        <v>132508</v>
      </c>
      <c r="K32" s="603">
        <v>110944</v>
      </c>
      <c r="L32" s="603">
        <v>111316</v>
      </c>
      <c r="M32" s="603">
        <v>111603</v>
      </c>
      <c r="N32" s="604">
        <v>112436</v>
      </c>
      <c r="O32" s="561">
        <f>COUNTIF(C32:N32,"&gt;0")</f>
        <v>12</v>
      </c>
      <c r="P32" s="554">
        <f>SUM(C32:N32)/$O$32</f>
        <v>115127.08333333333</v>
      </c>
      <c r="Q32" s="611">
        <f>P32-P37</f>
        <v>-12900.5</v>
      </c>
      <c r="R32" s="651">
        <f>Q32/P37</f>
        <v>-0.10076344225300407</v>
      </c>
    </row>
    <row r="33" spans="1:47" s="524" customFormat="1" ht="20.25" customHeight="1" x14ac:dyDescent="0.25">
      <c r="A33" s="546"/>
      <c r="B33" s="565" t="s">
        <v>138</v>
      </c>
      <c r="C33" s="549">
        <v>20</v>
      </c>
      <c r="D33" s="527">
        <v>20</v>
      </c>
      <c r="E33" s="526">
        <v>21</v>
      </c>
      <c r="F33" s="603">
        <v>21</v>
      </c>
      <c r="G33" s="603">
        <v>20</v>
      </c>
      <c r="H33" s="603">
        <v>23</v>
      </c>
      <c r="I33" s="603">
        <v>28</v>
      </c>
      <c r="J33" s="603">
        <v>14</v>
      </c>
      <c r="K33" s="603">
        <v>10</v>
      </c>
      <c r="L33" s="857">
        <v>19</v>
      </c>
      <c r="M33" s="603">
        <v>20</v>
      </c>
      <c r="N33" s="604">
        <v>32</v>
      </c>
      <c r="O33" s="561"/>
      <c r="P33" s="554">
        <f>SUM(C33:N33)/$O$32</f>
        <v>20.666666666666668</v>
      </c>
      <c r="Q33" s="611">
        <f>P33-P38</f>
        <v>-44</v>
      </c>
      <c r="R33" s="651">
        <f>Q33/P38</f>
        <v>-0.68041237113402053</v>
      </c>
    </row>
    <row r="34" spans="1:47" s="524" customFormat="1" ht="20.25" customHeight="1" x14ac:dyDescent="0.25">
      <c r="A34" s="547"/>
      <c r="B34" s="566" t="s">
        <v>140</v>
      </c>
      <c r="C34" s="552">
        <f t="shared" ref="C34:N34" si="12">IF(C32=0,"-",(C33/C32))</f>
        <v>1.792934046921084E-4</v>
      </c>
      <c r="D34" s="535">
        <f t="shared" si="12"/>
        <v>1.4827005908561855E-4</v>
      </c>
      <c r="E34" s="535">
        <f t="shared" si="12"/>
        <v>1.8852679773767844E-4</v>
      </c>
      <c r="F34" s="535">
        <f t="shared" si="12"/>
        <v>1.8839656579974342E-4</v>
      </c>
      <c r="G34" s="535">
        <f t="shared" si="12"/>
        <v>1.7969936296575829E-4</v>
      </c>
      <c r="H34" s="535">
        <f t="shared" si="12"/>
        <v>2.0700952243803215E-4</v>
      </c>
      <c r="I34" s="535">
        <f t="shared" si="12"/>
        <v>2.5220680958385876E-4</v>
      </c>
      <c r="J34" s="535">
        <f t="shared" si="12"/>
        <v>1.0565399824916231E-4</v>
      </c>
      <c r="K34" s="535">
        <f t="shared" si="12"/>
        <v>9.0135563888087689E-5</v>
      </c>
      <c r="L34" s="535">
        <f t="shared" si="12"/>
        <v>1.7068525638722196E-4</v>
      </c>
      <c r="M34" s="535">
        <f t="shared" si="12"/>
        <v>1.7920665215092783E-4</v>
      </c>
      <c r="N34" s="558">
        <f t="shared" si="12"/>
        <v>2.8460635383684943E-4</v>
      </c>
      <c r="O34" s="562"/>
      <c r="P34" s="555">
        <f>SUM(C34:N34)/$O$32</f>
        <v>1.8114086223458724E-4</v>
      </c>
      <c r="Q34" s="612">
        <f>P34-P39</f>
        <v>-3.2829231740799279E-4</v>
      </c>
      <c r="R34" s="651">
        <f>Q34/P39</f>
        <v>-0.64442665010222488</v>
      </c>
    </row>
    <row r="35" spans="1:47" s="524" customFormat="1" ht="20.25" customHeight="1" thickBot="1" x14ac:dyDescent="0.3">
      <c r="A35" s="548"/>
      <c r="B35" s="568" t="s">
        <v>141</v>
      </c>
      <c r="C35" s="553">
        <f t="shared" ref="C35:N35" si="13">IF(C34="-","-",(100%-C34))</f>
        <v>0.99982070659530786</v>
      </c>
      <c r="D35" s="536">
        <f t="shared" si="13"/>
        <v>0.99985172994091442</v>
      </c>
      <c r="E35" s="536">
        <f t="shared" si="13"/>
        <v>0.99981147320226227</v>
      </c>
      <c r="F35" s="536">
        <f t="shared" si="13"/>
        <v>0.99981160343420028</v>
      </c>
      <c r="G35" s="536">
        <f t="shared" si="13"/>
        <v>0.9998203006370342</v>
      </c>
      <c r="H35" s="536">
        <f t="shared" si="13"/>
        <v>0.99979299047756198</v>
      </c>
      <c r="I35" s="536">
        <f t="shared" si="13"/>
        <v>0.99974779319041618</v>
      </c>
      <c r="J35" s="536">
        <f t="shared" si="13"/>
        <v>0.99989434600175087</v>
      </c>
      <c r="K35" s="536">
        <f t="shared" si="13"/>
        <v>0.99990986443611196</v>
      </c>
      <c r="L35" s="536">
        <f t="shared" si="13"/>
        <v>0.99982931474361281</v>
      </c>
      <c r="M35" s="536">
        <f t="shared" si="13"/>
        <v>0.99982079334784912</v>
      </c>
      <c r="N35" s="559">
        <f t="shared" si="13"/>
        <v>0.99971539364616313</v>
      </c>
      <c r="O35" s="615"/>
      <c r="P35" s="557">
        <f>SUM(C35:N35)/$O$32</f>
        <v>0.99981885913776536</v>
      </c>
      <c r="Q35" s="614">
        <f>P35-P40</f>
        <v>3.2829231740783005E-4</v>
      </c>
      <c r="R35" s="654">
        <f>Q35/P40</f>
        <v>3.2845964564949754E-4</v>
      </c>
    </row>
    <row r="36" spans="1:47" s="585" customFormat="1" ht="20.25" customHeight="1" x14ac:dyDescent="0.25">
      <c r="A36" s="586" t="s">
        <v>143</v>
      </c>
      <c r="B36" s="587"/>
      <c r="C36" s="588">
        <v>40755</v>
      </c>
      <c r="D36" s="589">
        <v>40786</v>
      </c>
      <c r="E36" s="590">
        <v>40816</v>
      </c>
      <c r="F36" s="589">
        <v>40847</v>
      </c>
      <c r="G36" s="589">
        <v>40877</v>
      </c>
      <c r="H36" s="589">
        <v>40908</v>
      </c>
      <c r="I36" s="589">
        <v>40939</v>
      </c>
      <c r="J36" s="589">
        <v>40968</v>
      </c>
      <c r="K36" s="589">
        <v>40999</v>
      </c>
      <c r="L36" s="589">
        <v>41029</v>
      </c>
      <c r="M36" s="589">
        <v>41060</v>
      </c>
      <c r="N36" s="591">
        <v>41090</v>
      </c>
      <c r="O36" s="592" t="s">
        <v>177</v>
      </c>
      <c r="P36" s="593" t="s">
        <v>142</v>
      </c>
      <c r="Q36" s="609" t="s">
        <v>179</v>
      </c>
      <c r="R36" s="653" t="s">
        <v>178</v>
      </c>
    </row>
    <row r="37" spans="1:47" s="524" customFormat="1" ht="20.25" customHeight="1" x14ac:dyDescent="0.25">
      <c r="A37" s="543"/>
      <c r="B37" s="565" t="s">
        <v>139</v>
      </c>
      <c r="C37" s="549">
        <v>125806</v>
      </c>
      <c r="D37" s="527">
        <v>158093</v>
      </c>
      <c r="E37" s="526">
        <v>127601</v>
      </c>
      <c r="F37" s="527">
        <v>127126</v>
      </c>
      <c r="G37" s="527">
        <v>127310</v>
      </c>
      <c r="H37" s="527">
        <v>126982</v>
      </c>
      <c r="I37" s="527">
        <v>159360</v>
      </c>
      <c r="J37" s="527">
        <v>126853</v>
      </c>
      <c r="K37" s="527">
        <v>124326</v>
      </c>
      <c r="L37" s="527">
        <v>124270</v>
      </c>
      <c r="M37" s="527">
        <v>101154</v>
      </c>
      <c r="N37" s="528">
        <v>107450</v>
      </c>
      <c r="O37" s="560">
        <f>COUNTIF(C37:N37,"&gt;0")</f>
        <v>12</v>
      </c>
      <c r="P37" s="554">
        <f>SUM(C37:N37)/$O$37</f>
        <v>128027.58333333333</v>
      </c>
      <c r="Q37" s="611">
        <f>P37-P42</f>
        <v>-915.41666666667152</v>
      </c>
      <c r="R37" s="651">
        <f>Q37/P42</f>
        <v>-7.0993901698166752E-3</v>
      </c>
    </row>
    <row r="38" spans="1:47" s="524" customFormat="1" ht="20.25" customHeight="1" x14ac:dyDescent="0.25">
      <c r="A38" s="543"/>
      <c r="B38" s="565" t="s">
        <v>138</v>
      </c>
      <c r="C38" s="549">
        <v>32</v>
      </c>
      <c r="D38" s="527">
        <v>21</v>
      </c>
      <c r="E38" s="526">
        <v>67</v>
      </c>
      <c r="F38" s="527">
        <v>5</v>
      </c>
      <c r="G38" s="527">
        <v>112</v>
      </c>
      <c r="H38" s="527">
        <v>427</v>
      </c>
      <c r="I38" s="527">
        <v>25</v>
      </c>
      <c r="J38" s="527">
        <v>16</v>
      </c>
      <c r="K38" s="527">
        <v>10</v>
      </c>
      <c r="L38" s="527">
        <v>21</v>
      </c>
      <c r="M38" s="527">
        <v>25</v>
      </c>
      <c r="N38" s="528">
        <v>15</v>
      </c>
      <c r="O38" s="561"/>
      <c r="P38" s="554">
        <f>SUM(C38:N38)/$O$37</f>
        <v>64.666666666666671</v>
      </c>
      <c r="Q38" s="611">
        <f>P38-P43</f>
        <v>7.5833333333333357</v>
      </c>
      <c r="R38" s="651">
        <f>Q38/P43</f>
        <v>0.1328467153284672</v>
      </c>
    </row>
    <row r="39" spans="1:47" s="524" customFormat="1" ht="20.25" customHeight="1" x14ac:dyDescent="0.25">
      <c r="A39" s="544"/>
      <c r="B39" s="566" t="s">
        <v>140</v>
      </c>
      <c r="C39" s="550">
        <f t="shared" ref="C39:N39" si="14">C38/C37</f>
        <v>2.5435988744574982E-4</v>
      </c>
      <c r="D39" s="530">
        <f t="shared" si="14"/>
        <v>1.3283320577128652E-4</v>
      </c>
      <c r="E39" s="529">
        <f t="shared" si="14"/>
        <v>5.2507425490395845E-4</v>
      </c>
      <c r="F39" s="530">
        <f t="shared" si="14"/>
        <v>3.9331057376146498E-5</v>
      </c>
      <c r="G39" s="530">
        <f t="shared" si="14"/>
        <v>8.7974236116565867E-4</v>
      </c>
      <c r="H39" s="530">
        <f t="shared" si="14"/>
        <v>3.3626813249121924E-3</v>
      </c>
      <c r="I39" s="530">
        <f t="shared" si="14"/>
        <v>1.5687751004016064E-4</v>
      </c>
      <c r="J39" s="530">
        <f t="shared" si="14"/>
        <v>1.261302452444956E-4</v>
      </c>
      <c r="K39" s="530">
        <f t="shared" si="14"/>
        <v>8.0433698502324538E-5</v>
      </c>
      <c r="L39" s="530">
        <f t="shared" si="14"/>
        <v>1.6898688339905046E-4</v>
      </c>
      <c r="M39" s="530">
        <f t="shared" si="14"/>
        <v>2.4714791308302192E-4</v>
      </c>
      <c r="N39" s="531">
        <f t="shared" si="14"/>
        <v>1.3959981386691485E-4</v>
      </c>
      <c r="O39" s="562"/>
      <c r="P39" s="555">
        <f>SUM(C39:N39)/$O$37</f>
        <v>5.0943317964258E-4</v>
      </c>
      <c r="Q39" s="612">
        <f>P39-P44</f>
        <v>6.1525162727991826E-5</v>
      </c>
      <c r="R39" s="651">
        <f>Q39/P44</f>
        <v>0.13736115542607957</v>
      </c>
    </row>
    <row r="40" spans="1:47" s="524" customFormat="1" ht="20.25" customHeight="1" thickBot="1" x14ac:dyDescent="0.3">
      <c r="A40" s="545"/>
      <c r="B40" s="567" t="s">
        <v>141</v>
      </c>
      <c r="C40" s="551">
        <f t="shared" ref="C40:N40" si="15">100%-C39</f>
        <v>0.99974564011255429</v>
      </c>
      <c r="D40" s="533">
        <f t="shared" si="15"/>
        <v>0.99986716679422871</v>
      </c>
      <c r="E40" s="532">
        <f t="shared" si="15"/>
        <v>0.999474925745096</v>
      </c>
      <c r="F40" s="533">
        <f t="shared" si="15"/>
        <v>0.99996066894262381</v>
      </c>
      <c r="G40" s="533">
        <f t="shared" si="15"/>
        <v>0.99912025763883439</v>
      </c>
      <c r="H40" s="533">
        <f t="shared" si="15"/>
        <v>0.99663731867508776</v>
      </c>
      <c r="I40" s="533">
        <f t="shared" si="15"/>
        <v>0.99984312248995988</v>
      </c>
      <c r="J40" s="533">
        <f t="shared" si="15"/>
        <v>0.99987386975475545</v>
      </c>
      <c r="K40" s="533">
        <f t="shared" si="15"/>
        <v>0.9999195663014977</v>
      </c>
      <c r="L40" s="533">
        <f t="shared" si="15"/>
        <v>0.99983101311660094</v>
      </c>
      <c r="M40" s="533">
        <f t="shared" si="15"/>
        <v>0.999752852086917</v>
      </c>
      <c r="N40" s="534">
        <f t="shared" si="15"/>
        <v>0.99986040018613309</v>
      </c>
      <c r="O40" s="563"/>
      <c r="P40" s="556">
        <f>SUM(C40:N40)/$O$37</f>
        <v>0.99949056682035753</v>
      </c>
      <c r="Q40" s="613">
        <f>P40-P45</f>
        <v>-6.1525162727726901E-5</v>
      </c>
      <c r="R40" s="652">
        <f>Q40/P45</f>
        <v>-6.1552732690161834E-5</v>
      </c>
    </row>
    <row r="41" spans="1:47" s="585" customFormat="1" ht="20.25" customHeight="1" thickTop="1" x14ac:dyDescent="0.25">
      <c r="A41" s="577" t="s">
        <v>107</v>
      </c>
      <c r="B41" s="578"/>
      <c r="C41" s="579">
        <v>40390</v>
      </c>
      <c r="D41" s="580">
        <v>40421</v>
      </c>
      <c r="E41" s="581">
        <v>40451</v>
      </c>
      <c r="F41" s="580">
        <v>40482</v>
      </c>
      <c r="G41" s="580">
        <v>40512</v>
      </c>
      <c r="H41" s="580">
        <v>40543</v>
      </c>
      <c r="I41" s="580">
        <v>40574</v>
      </c>
      <c r="J41" s="580">
        <v>40602</v>
      </c>
      <c r="K41" s="580">
        <v>40633</v>
      </c>
      <c r="L41" s="580">
        <v>40663</v>
      </c>
      <c r="M41" s="580">
        <v>40694</v>
      </c>
      <c r="N41" s="582">
        <v>40724</v>
      </c>
      <c r="O41" s="583" t="s">
        <v>177</v>
      </c>
      <c r="P41" s="584" t="s">
        <v>142</v>
      </c>
      <c r="Q41" s="609" t="s">
        <v>179</v>
      </c>
      <c r="R41" s="610" t="s">
        <v>178</v>
      </c>
    </row>
    <row r="42" spans="1:47" s="524" customFormat="1" ht="20.25" customHeight="1" x14ac:dyDescent="0.25">
      <c r="A42" s="540"/>
      <c r="B42" s="565" t="s">
        <v>139</v>
      </c>
      <c r="C42" s="549">
        <v>126699</v>
      </c>
      <c r="D42" s="527">
        <v>126741</v>
      </c>
      <c r="E42" s="526">
        <v>126838</v>
      </c>
      <c r="F42" s="527">
        <v>126572</v>
      </c>
      <c r="G42" s="527">
        <v>126945</v>
      </c>
      <c r="H42" s="527">
        <v>126740</v>
      </c>
      <c r="I42" s="527">
        <v>126515</v>
      </c>
      <c r="J42" s="527">
        <v>125849</v>
      </c>
      <c r="K42" s="527">
        <v>156184</v>
      </c>
      <c r="L42" s="527">
        <v>126852</v>
      </c>
      <c r="M42" s="527">
        <v>126190</v>
      </c>
      <c r="N42" s="528">
        <v>125191</v>
      </c>
      <c r="O42" s="560">
        <f>COUNTIF(C42:N42,"&gt;0")</f>
        <v>12</v>
      </c>
      <c r="P42" s="554">
        <f>SUM(C42:N42)/$O$42</f>
        <v>128943</v>
      </c>
      <c r="Q42" s="611">
        <f>P42-P47</f>
        <v>6968.2222222222335</v>
      </c>
      <c r="R42" s="651">
        <f>Q42/P47</f>
        <v>5.7128386287511268E-2</v>
      </c>
    </row>
    <row r="43" spans="1:47" s="524" customFormat="1" ht="20.25" customHeight="1" x14ac:dyDescent="0.25">
      <c r="A43" s="540"/>
      <c r="B43" s="565" t="s">
        <v>138</v>
      </c>
      <c r="C43" s="549">
        <v>19</v>
      </c>
      <c r="D43" s="527">
        <v>56</v>
      </c>
      <c r="E43" s="526">
        <v>5</v>
      </c>
      <c r="F43" s="527">
        <v>346</v>
      </c>
      <c r="G43" s="527">
        <v>96</v>
      </c>
      <c r="H43" s="527">
        <v>37</v>
      </c>
      <c r="I43" s="527">
        <v>9</v>
      </c>
      <c r="J43" s="527">
        <v>14</v>
      </c>
      <c r="K43" s="527">
        <v>26</v>
      </c>
      <c r="L43" s="527">
        <v>11</v>
      </c>
      <c r="M43" s="527">
        <v>14</v>
      </c>
      <c r="N43" s="528">
        <v>52</v>
      </c>
      <c r="O43" s="560"/>
      <c r="P43" s="554">
        <f>SUM(C43:N43)/$O$42</f>
        <v>57.083333333333336</v>
      </c>
      <c r="Q43" s="611">
        <f>P43-P48</f>
        <v>9.0833333333333357</v>
      </c>
      <c r="R43" s="651">
        <f>Q43/P48</f>
        <v>0.18923611111111116</v>
      </c>
    </row>
    <row r="44" spans="1:47" s="524" customFormat="1" ht="20.25" customHeight="1" x14ac:dyDescent="0.25">
      <c r="A44" s="541"/>
      <c r="B44" s="566" t="s">
        <v>140</v>
      </c>
      <c r="C44" s="550">
        <f t="shared" ref="C44:N44" si="16">C43/C42</f>
        <v>1.4996172029771348E-4</v>
      </c>
      <c r="D44" s="530">
        <f t="shared" si="16"/>
        <v>4.4184596933904578E-4</v>
      </c>
      <c r="E44" s="529">
        <f t="shared" si="16"/>
        <v>3.9420362982702345E-5</v>
      </c>
      <c r="F44" s="530">
        <f t="shared" si="16"/>
        <v>2.7336219701039723E-3</v>
      </c>
      <c r="G44" s="530">
        <f t="shared" si="16"/>
        <v>7.5623301429753043E-4</v>
      </c>
      <c r="H44" s="530">
        <f t="shared" si="16"/>
        <v>2.9193624743569511E-4</v>
      </c>
      <c r="I44" s="530">
        <f t="shared" si="16"/>
        <v>7.1137809745879934E-5</v>
      </c>
      <c r="J44" s="530">
        <f t="shared" si="16"/>
        <v>1.1124442784606949E-4</v>
      </c>
      <c r="K44" s="530">
        <f t="shared" si="16"/>
        <v>1.6647031706192695E-4</v>
      </c>
      <c r="L44" s="530">
        <f t="shared" si="16"/>
        <v>8.6715227193895247E-5</v>
      </c>
      <c r="M44" s="530">
        <f t="shared" si="16"/>
        <v>1.1094381488232031E-4</v>
      </c>
      <c r="N44" s="531">
        <f t="shared" si="16"/>
        <v>4.1536532178830749E-4</v>
      </c>
      <c r="O44" s="560"/>
      <c r="P44" s="555">
        <f>SUM(C44:N44)/$O$42</f>
        <v>4.4790801691458817E-4</v>
      </c>
      <c r="Q44" s="612">
        <f>P44-P49</f>
        <v>4.8069109904144626E-5</v>
      </c>
      <c r="R44" s="651">
        <f>Q44/P49</f>
        <v>0.12022119173832448</v>
      </c>
    </row>
    <row r="45" spans="1:47" s="524" customFormat="1" ht="20.25" customHeight="1" thickBot="1" x14ac:dyDescent="0.3">
      <c r="A45" s="542"/>
      <c r="B45" s="567" t="s">
        <v>141</v>
      </c>
      <c r="C45" s="551">
        <f t="shared" ref="C45:N45" si="17">100%-C44</f>
        <v>0.99985003827970231</v>
      </c>
      <c r="D45" s="533">
        <f t="shared" si="17"/>
        <v>0.99955815403066095</v>
      </c>
      <c r="E45" s="532">
        <f t="shared" si="17"/>
        <v>0.99996057963701734</v>
      </c>
      <c r="F45" s="533">
        <f t="shared" si="17"/>
        <v>0.99726637802989604</v>
      </c>
      <c r="G45" s="533">
        <f t="shared" si="17"/>
        <v>0.9992437669857025</v>
      </c>
      <c r="H45" s="533">
        <f t="shared" si="17"/>
        <v>0.99970806375256427</v>
      </c>
      <c r="I45" s="533">
        <f t="shared" si="17"/>
        <v>0.99992886219025412</v>
      </c>
      <c r="J45" s="533">
        <f t="shared" si="17"/>
        <v>0.99988875557215395</v>
      </c>
      <c r="K45" s="533">
        <f t="shared" si="17"/>
        <v>0.99983352968293804</v>
      </c>
      <c r="L45" s="533">
        <f t="shared" si="17"/>
        <v>0.99991328477280605</v>
      </c>
      <c r="M45" s="533">
        <f t="shared" si="17"/>
        <v>0.9998890561851177</v>
      </c>
      <c r="N45" s="534">
        <f t="shared" si="17"/>
        <v>0.99958463467821168</v>
      </c>
      <c r="O45" s="564"/>
      <c r="P45" s="556">
        <f>SUM(C45:N45)/$O$42</f>
        <v>0.99955209198308526</v>
      </c>
      <c r="Q45" s="613">
        <f>P45-P50</f>
        <v>-4.8069109904402829E-5</v>
      </c>
      <c r="R45" s="652">
        <f>Q45/P50</f>
        <v>-4.8088337492705858E-5</v>
      </c>
    </row>
    <row r="46" spans="1:47" s="576" customFormat="1" ht="20.25" customHeight="1" thickTop="1" x14ac:dyDescent="0.25">
      <c r="A46" s="569" t="s">
        <v>106</v>
      </c>
      <c r="B46" s="570"/>
      <c r="C46" s="571">
        <v>39995</v>
      </c>
      <c r="D46" s="572">
        <v>40056</v>
      </c>
      <c r="E46" s="573">
        <v>40086</v>
      </c>
      <c r="F46" s="572">
        <v>40117</v>
      </c>
      <c r="G46" s="572">
        <v>40147</v>
      </c>
      <c r="H46" s="572">
        <v>40178</v>
      </c>
      <c r="I46" s="572">
        <v>40209</v>
      </c>
      <c r="J46" s="572">
        <v>40237</v>
      </c>
      <c r="K46" s="572">
        <v>40268</v>
      </c>
      <c r="L46" s="572">
        <v>40298</v>
      </c>
      <c r="M46" s="572">
        <v>40329</v>
      </c>
      <c r="N46" s="574">
        <v>40359</v>
      </c>
      <c r="O46" s="616" t="s">
        <v>177</v>
      </c>
      <c r="P46" s="575" t="s">
        <v>142</v>
      </c>
      <c r="Q46" s="607" t="s">
        <v>179</v>
      </c>
      <c r="R46" s="608" t="s">
        <v>178</v>
      </c>
      <c r="AJ46" s="524"/>
      <c r="AK46" s="524"/>
      <c r="AL46" s="524"/>
      <c r="AM46" s="524"/>
      <c r="AN46" s="524"/>
      <c r="AO46" s="524"/>
      <c r="AP46" s="524"/>
      <c r="AQ46" s="524"/>
      <c r="AR46" s="524"/>
      <c r="AS46" s="524"/>
      <c r="AT46" s="524"/>
      <c r="AU46" s="524"/>
    </row>
    <row r="47" spans="1:47" s="524" customFormat="1" ht="20.25" customHeight="1" x14ac:dyDescent="0.25">
      <c r="A47" s="537"/>
      <c r="B47" s="565" t="s">
        <v>139</v>
      </c>
      <c r="C47" s="549">
        <v>96293.333333333328</v>
      </c>
      <c r="D47" s="527">
        <v>96362</v>
      </c>
      <c r="E47" s="526">
        <v>124865</v>
      </c>
      <c r="F47" s="527">
        <v>124639</v>
      </c>
      <c r="G47" s="527">
        <v>124801</v>
      </c>
      <c r="H47" s="527">
        <v>123894</v>
      </c>
      <c r="I47" s="527">
        <v>121550</v>
      </c>
      <c r="J47" s="527">
        <v>123674</v>
      </c>
      <c r="K47" s="527">
        <v>123573</v>
      </c>
      <c r="L47" s="527">
        <v>152913</v>
      </c>
      <c r="M47" s="527">
        <v>124924</v>
      </c>
      <c r="N47" s="528">
        <v>126209</v>
      </c>
      <c r="O47" s="560">
        <f>COUNTIF(C47:N47,"&gt;0")</f>
        <v>12</v>
      </c>
      <c r="P47" s="554">
        <f>SUM(C47:N47)/$O$47</f>
        <v>121974.77777777777</v>
      </c>
      <c r="Q47" s="720" t="s">
        <v>29</v>
      </c>
      <c r="R47" s="721" t="s">
        <v>29</v>
      </c>
    </row>
    <row r="48" spans="1:47" s="524" customFormat="1" ht="20.25" customHeight="1" x14ac:dyDescent="0.25">
      <c r="A48" s="537"/>
      <c r="B48" s="565" t="s">
        <v>138</v>
      </c>
      <c r="C48" s="549">
        <v>39</v>
      </c>
      <c r="D48" s="527">
        <v>35</v>
      </c>
      <c r="E48" s="526">
        <v>150</v>
      </c>
      <c r="F48" s="527">
        <v>17</v>
      </c>
      <c r="G48" s="527">
        <v>12</v>
      </c>
      <c r="H48" s="527">
        <v>8</v>
      </c>
      <c r="I48" s="527">
        <v>3</v>
      </c>
      <c r="J48" s="527">
        <v>206</v>
      </c>
      <c r="K48" s="527">
        <v>35</v>
      </c>
      <c r="L48" s="527">
        <v>5</v>
      </c>
      <c r="M48" s="527">
        <v>27</v>
      </c>
      <c r="N48" s="528">
        <v>39</v>
      </c>
      <c r="O48" s="561"/>
      <c r="P48" s="554">
        <f>SUM(C48:N48)/$O$47</f>
        <v>48</v>
      </c>
      <c r="Q48" s="720" t="s">
        <v>29</v>
      </c>
      <c r="R48" s="721" t="s">
        <v>29</v>
      </c>
    </row>
    <row r="49" spans="1:18" s="524" customFormat="1" ht="20.25" customHeight="1" x14ac:dyDescent="0.25">
      <c r="A49" s="538"/>
      <c r="B49" s="566" t="s">
        <v>140</v>
      </c>
      <c r="C49" s="550">
        <f>C48/C47</f>
        <v>4.050124619219053E-4</v>
      </c>
      <c r="D49" s="530">
        <f t="shared" ref="D49:N49" si="18">D48/D47</f>
        <v>3.6321371494987652E-4</v>
      </c>
      <c r="E49" s="529">
        <f t="shared" si="18"/>
        <v>1.2012974011932887E-3</v>
      </c>
      <c r="F49" s="530">
        <f t="shared" si="18"/>
        <v>1.3639390559937097E-4</v>
      </c>
      <c r="G49" s="530">
        <f t="shared" si="18"/>
        <v>9.6153075696508848E-5</v>
      </c>
      <c r="H49" s="530">
        <f t="shared" si="18"/>
        <v>6.4571327102200268E-5</v>
      </c>
      <c r="I49" s="530">
        <f t="shared" si="18"/>
        <v>2.4681201151789388E-5</v>
      </c>
      <c r="J49" s="530">
        <f t="shared" si="18"/>
        <v>1.665669421220305E-3</v>
      </c>
      <c r="K49" s="530">
        <f t="shared" si="18"/>
        <v>2.8323339240772662E-4</v>
      </c>
      <c r="L49" s="605">
        <f t="shared" si="18"/>
        <v>3.2698331731115075E-5</v>
      </c>
      <c r="M49" s="530">
        <f t="shared" si="18"/>
        <v>2.1613140789600077E-4</v>
      </c>
      <c r="N49" s="531">
        <f t="shared" si="18"/>
        <v>3.0901124325523539E-4</v>
      </c>
      <c r="O49" s="562"/>
      <c r="P49" s="555">
        <f>SUM(C49:N49)/$O$47</f>
        <v>3.9983890701044355E-4</v>
      </c>
      <c r="Q49" s="720" t="s">
        <v>29</v>
      </c>
      <c r="R49" s="721" t="s">
        <v>29</v>
      </c>
    </row>
    <row r="50" spans="1:18" s="524" customFormat="1" ht="20.25" customHeight="1" thickBot="1" x14ac:dyDescent="0.3">
      <c r="A50" s="539"/>
      <c r="B50" s="567" t="s">
        <v>141</v>
      </c>
      <c r="C50" s="551">
        <f>100%-C49</f>
        <v>0.99959498753807807</v>
      </c>
      <c r="D50" s="533">
        <f t="shared" ref="D50:N50" si="19">100%-D49</f>
        <v>0.99963678628505015</v>
      </c>
      <c r="E50" s="532">
        <f t="shared" si="19"/>
        <v>0.99879870259880676</v>
      </c>
      <c r="F50" s="533">
        <f t="shared" si="19"/>
        <v>0.99986360609440061</v>
      </c>
      <c r="G50" s="533">
        <f t="shared" si="19"/>
        <v>0.99990384692430345</v>
      </c>
      <c r="H50" s="533">
        <f t="shared" si="19"/>
        <v>0.99993542867289775</v>
      </c>
      <c r="I50" s="533">
        <f t="shared" si="19"/>
        <v>0.99997531879884816</v>
      </c>
      <c r="J50" s="533">
        <f t="shared" si="19"/>
        <v>0.99833433057877974</v>
      </c>
      <c r="K50" s="533">
        <f t="shared" si="19"/>
        <v>0.99971676660759223</v>
      </c>
      <c r="L50" s="606">
        <f t="shared" si="19"/>
        <v>0.99996730166826886</v>
      </c>
      <c r="M50" s="533">
        <f t="shared" si="19"/>
        <v>0.999783868592104</v>
      </c>
      <c r="N50" s="534">
        <f t="shared" si="19"/>
        <v>0.99969098875674478</v>
      </c>
      <c r="O50" s="563"/>
      <c r="P50" s="556">
        <f>SUM(C50:N50)/$O$47</f>
        <v>0.99960016109298966</v>
      </c>
      <c r="Q50" s="722" t="s">
        <v>29</v>
      </c>
      <c r="R50" s="723" t="s">
        <v>29</v>
      </c>
    </row>
    <row r="51" spans="1:18" ht="12.75" thickTop="1" x14ac:dyDescent="0.2"/>
    <row r="53" spans="1:18" x14ac:dyDescent="0.2">
      <c r="B53" s="525" t="s">
        <v>76</v>
      </c>
      <c r="C53" s="436" t="s">
        <v>140</v>
      </c>
    </row>
    <row r="54" spans="1:18" hidden="1" outlineLevel="1" x14ac:dyDescent="0.2">
      <c r="B54" s="774">
        <f>I31</f>
        <v>41305</v>
      </c>
      <c r="C54" s="775">
        <f>I34</f>
        <v>2.5220680958385876E-4</v>
      </c>
    </row>
    <row r="55" spans="1:18" collapsed="1" x14ac:dyDescent="0.2">
      <c r="B55" s="774">
        <f>J31</f>
        <v>41333</v>
      </c>
      <c r="C55" s="775">
        <f>J34</f>
        <v>1.0565399824916231E-4</v>
      </c>
    </row>
    <row r="56" spans="1:18" x14ac:dyDescent="0.2">
      <c r="B56" s="774">
        <f>K31</f>
        <v>41364</v>
      </c>
      <c r="C56" s="775">
        <f>K34</f>
        <v>9.0135563888087689E-5</v>
      </c>
    </row>
    <row r="57" spans="1:18" x14ac:dyDescent="0.2">
      <c r="B57" s="774">
        <f>L31</f>
        <v>41394</v>
      </c>
      <c r="C57" s="775">
        <f>L34</f>
        <v>1.7068525638722196E-4</v>
      </c>
    </row>
    <row r="58" spans="1:18" x14ac:dyDescent="0.2">
      <c r="B58" s="774">
        <f>M31</f>
        <v>41425</v>
      </c>
      <c r="C58" s="775">
        <f>M34</f>
        <v>1.7920665215092783E-4</v>
      </c>
    </row>
    <row r="59" spans="1:18" x14ac:dyDescent="0.2">
      <c r="B59" s="774">
        <f>N31</f>
        <v>41455</v>
      </c>
      <c r="C59" s="775">
        <f>N34</f>
        <v>2.8460635383684943E-4</v>
      </c>
    </row>
    <row r="60" spans="1:18" x14ac:dyDescent="0.2">
      <c r="B60" s="774">
        <f>C26</f>
        <v>41486</v>
      </c>
      <c r="C60" s="775">
        <f>C29</f>
        <v>2.402156602816751E-4</v>
      </c>
    </row>
    <row r="61" spans="1:18" x14ac:dyDescent="0.2">
      <c r="B61" s="774">
        <f>D26</f>
        <v>41517</v>
      </c>
      <c r="C61" s="775">
        <f>D29</f>
        <v>1.6437168921796432E-4</v>
      </c>
    </row>
    <row r="62" spans="1:18" x14ac:dyDescent="0.2">
      <c r="B62" s="774">
        <f>E26</f>
        <v>41547</v>
      </c>
      <c r="C62" s="775">
        <f>E29</f>
        <v>6.1418403844069511E-4</v>
      </c>
    </row>
    <row r="63" spans="1:18" x14ac:dyDescent="0.2">
      <c r="B63" s="774">
        <f>F26</f>
        <v>41578</v>
      </c>
      <c r="C63" s="775">
        <f>F29</f>
        <v>7.7721846164969133E-4</v>
      </c>
    </row>
    <row r="64" spans="1:18" x14ac:dyDescent="0.2">
      <c r="B64" s="774">
        <f>G26</f>
        <v>41608</v>
      </c>
      <c r="C64" s="775">
        <f>G29</f>
        <v>1.1805410510447789E-4</v>
      </c>
    </row>
    <row r="65" spans="2:3" x14ac:dyDescent="0.2">
      <c r="B65" s="774">
        <f>H26</f>
        <v>41609</v>
      </c>
      <c r="C65" s="775">
        <f>H29</f>
        <v>3.8253456473031315E-4</v>
      </c>
    </row>
    <row r="66" spans="2:3" x14ac:dyDescent="0.2">
      <c r="B66" s="774">
        <f>I26</f>
        <v>41670</v>
      </c>
      <c r="C66" s="775">
        <f>I29</f>
        <v>2.1903494824285298E-4</v>
      </c>
    </row>
    <row r="67" spans="2:3" hidden="1" outlineLevel="1" x14ac:dyDescent="0.2">
      <c r="B67" s="774">
        <f>J26</f>
        <v>41698</v>
      </c>
      <c r="C67" s="775">
        <f>J29</f>
        <v>1.9171079057878402E-4</v>
      </c>
    </row>
    <row r="68" spans="2:3" hidden="1" outlineLevel="1" x14ac:dyDescent="0.2">
      <c r="B68" s="774">
        <f>K26</f>
        <v>41729</v>
      </c>
      <c r="C68" s="775">
        <f>K29</f>
        <v>2.9150535185606925E-4</v>
      </c>
    </row>
    <row r="69" spans="2:3" hidden="1" outlineLevel="1" x14ac:dyDescent="0.2">
      <c r="B69" s="774">
        <f>L26</f>
        <v>41759</v>
      </c>
      <c r="C69" s="775">
        <f>L29</f>
        <v>2.8971074193110319E-4</v>
      </c>
    </row>
    <row r="70" spans="2:3" hidden="1" outlineLevel="1" x14ac:dyDescent="0.2">
      <c r="B70" s="774">
        <f>M26</f>
        <v>41790</v>
      </c>
      <c r="C70" s="775">
        <f>M29</f>
        <v>2.2461209491208683E-4</v>
      </c>
    </row>
    <row r="71" spans="2:3" hidden="1" outlineLevel="1" x14ac:dyDescent="0.2">
      <c r="B71" s="774">
        <f>N26</f>
        <v>41820</v>
      </c>
      <c r="C71" s="775">
        <f>N29</f>
        <v>2.6431135878064358E-4</v>
      </c>
    </row>
    <row r="72" spans="2:3" collapsed="1" x14ac:dyDescent="0.2">
      <c r="B72" s="774">
        <v>41851</v>
      </c>
    </row>
    <row r="73" spans="2:3" x14ac:dyDescent="0.2">
      <c r="B73" s="774">
        <v>41882</v>
      </c>
    </row>
    <row r="74" spans="2:3" x14ac:dyDescent="0.2">
      <c r="B74" s="774">
        <v>41912</v>
      </c>
    </row>
    <row r="75" spans="2:3" x14ac:dyDescent="0.2">
      <c r="B75" s="774">
        <v>41943</v>
      </c>
    </row>
    <row r="76" spans="2:3" x14ac:dyDescent="0.2">
      <c r="B76" s="774">
        <v>41973</v>
      </c>
    </row>
    <row r="77" spans="2:3" x14ac:dyDescent="0.2">
      <c r="B77" s="774">
        <v>41974</v>
      </c>
    </row>
    <row r="78" spans="2:3" x14ac:dyDescent="0.2">
      <c r="B78" s="774">
        <v>42035</v>
      </c>
    </row>
    <row r="79" spans="2:3" x14ac:dyDescent="0.2">
      <c r="B79" s="774">
        <v>42063</v>
      </c>
    </row>
    <row r="80" spans="2:3" x14ac:dyDescent="0.2">
      <c r="B80" s="774">
        <v>42094</v>
      </c>
    </row>
    <row r="81" spans="2:2" x14ac:dyDescent="0.2">
      <c r="B81" s="774">
        <v>42124</v>
      </c>
    </row>
    <row r="82" spans="2:2" x14ac:dyDescent="0.2">
      <c r="B82" s="774">
        <v>42155</v>
      </c>
    </row>
    <row r="83" spans="2:2" x14ac:dyDescent="0.2">
      <c r="B83" s="774">
        <v>42185</v>
      </c>
    </row>
  </sheetData>
  <sheetProtection sheet="1" objects="1" scenarios="1"/>
  <conditionalFormatting sqref="Q26:R1048576">
    <cfRule type="cellIs" dxfId="5" priority="6" stopIfTrue="1" operator="lessThan">
      <formula>0</formula>
    </cfRule>
  </conditionalFormatting>
  <conditionalFormatting sqref="Q21:R25">
    <cfRule type="cellIs" dxfId="4" priority="5" stopIfTrue="1" operator="lessThan">
      <formula>0</formula>
    </cfRule>
  </conditionalFormatting>
  <conditionalFormatting sqref="Q16:R20">
    <cfRule type="cellIs" dxfId="3" priority="4" stopIfTrue="1" operator="lessThan">
      <formula>0</formula>
    </cfRule>
  </conditionalFormatting>
  <conditionalFormatting sqref="Q11:R15">
    <cfRule type="cellIs" dxfId="2" priority="3" stopIfTrue="1" operator="lessThan">
      <formula>0</formula>
    </cfRule>
  </conditionalFormatting>
  <conditionalFormatting sqref="Q6:R10">
    <cfRule type="cellIs" dxfId="1" priority="2" stopIfTrue="1" operator="lessThan">
      <formula>0</formula>
    </cfRule>
  </conditionalFormatting>
  <conditionalFormatting sqref="Q1:R5">
    <cfRule type="cellIs" dxfId="0" priority="1" stopIfTrue="1" operator="lessThan">
      <formula>0</formula>
    </cfRule>
  </conditionalFormatting>
  <printOptions horizontalCentered="1"/>
  <pageMargins left="0.25" right="0.25" top="0.86" bottom="0.75" header="0.44" footer="0.3"/>
  <pageSetup scale="72" orientation="landscape" r:id="rId1"/>
  <headerFooter>
    <oddHeader xml:space="preserve">&amp;C&amp;"-,Bold"&amp;14OSC Integrated HR/Payroll System Payroll Processing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2"/>
  <sheetViews>
    <sheetView topLeftCell="IW1" workbookViewId="0">
      <selection activeCell="IW1" sqref="IW1"/>
    </sheetView>
  </sheetViews>
  <sheetFormatPr defaultRowHeight="15" outlineLevelCol="1" x14ac:dyDescent="0.25"/>
  <cols>
    <col min="1" max="1" width="18.85546875" style="308" hidden="1" customWidth="1" outlineLevel="1"/>
    <col min="2" max="2" width="14" style="308" hidden="1" customWidth="1" outlineLevel="1"/>
    <col min="3" max="3" width="138.28515625" style="309" hidden="1" customWidth="1" outlineLevel="1"/>
    <col min="4" max="256" width="9.140625" style="308" hidden="1" customWidth="1" outlineLevel="1"/>
    <col min="257" max="257" width="9.140625" collapsed="1"/>
  </cols>
  <sheetData>
    <row r="1" spans="1:3" x14ac:dyDescent="0.25">
      <c r="A1" s="308" t="s">
        <v>114</v>
      </c>
      <c r="B1" s="308" t="s">
        <v>111</v>
      </c>
      <c r="C1" s="309" t="s">
        <v>113</v>
      </c>
    </row>
    <row r="2" spans="1:3" ht="30" x14ac:dyDescent="0.25">
      <c r="A2" s="308" t="s">
        <v>110</v>
      </c>
      <c r="B2" s="310" t="s">
        <v>112</v>
      </c>
      <c r="C2" s="309" t="s">
        <v>115</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Summary Data</vt:lpstr>
      <vt:lpstr>Notes</vt:lpstr>
      <vt:lpstr>FY Comp</vt:lpstr>
      <vt:lpstr>PR Processing Table</vt:lpstr>
      <vt:lpstr>Chg</vt:lpstr>
      <vt:lpstr>1st Call Resolution</vt:lpstr>
      <vt:lpstr>Call Volume </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Ritchie B</cp:lastModifiedBy>
  <cp:lastPrinted>2018-05-08T14:48:13Z</cp:lastPrinted>
  <dcterms:created xsi:type="dcterms:W3CDTF">2009-03-26T16:04:32Z</dcterms:created>
  <dcterms:modified xsi:type="dcterms:W3CDTF">2018-05-08T14:50:28Z</dcterms:modified>
</cp:coreProperties>
</file>